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03B0613E-B2A5-4299-8565-014D5A05EC2C}" xr6:coauthVersionLast="47" xr6:coauthVersionMax="47" xr10:uidLastSave="{00000000-0000-0000-0000-000000000000}"/>
  <bookViews>
    <workbookView xWindow="29385" yWindow="390" windowWidth="25575" windowHeight="11835" activeTab="1" xr2:uid="{64A861E2-78F4-4568-A736-EA3B658A8F41}"/>
  </bookViews>
  <sheets>
    <sheet name="Key" sheetId="148" r:id="rId1"/>
    <sheet name="IGT Commitment Suggestions" sheetId="102" r:id="rId2"/>
    <sheet name="Summary" sheetId="71" r:id="rId3"/>
    <sheet name="90% of ACR" sheetId="139" r:id="rId4"/>
    <sheet name="CHIRP Payment Calc" sheetId="1" r:id="rId5"/>
    <sheet name="FeeCalc" sheetId="166" r:id="rId6"/>
    <sheet name="June IGT" sheetId="168" r:id="rId7"/>
    <sheet name="Final PGY4 AA Payment Summary" sheetId="83" state="hidden" r:id="rId8"/>
    <sheet name="MCO IMD Query from 2021 UPL" sheetId="87" state="hidden" r:id="rId9"/>
  </sheets>
  <externalReferences>
    <externalReference r:id="rId10"/>
    <externalReference r:id="rId11"/>
    <externalReference r:id="rId12"/>
  </externalReferences>
  <definedNames>
    <definedName name="\0" localSheetId="7">#REF!</definedName>
    <definedName name="_Fill" localSheetId="3" hidden="1">#REF!</definedName>
    <definedName name="_Fill" localSheetId="5" hidden="1">#REF!</definedName>
    <definedName name="_Fill" localSheetId="7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3" hidden="1">'90% of ACR'!$A$3:$R$60</definedName>
    <definedName name="_xlnm._FilterDatabase" localSheetId="4" hidden="1">'CHIRP Payment Calc'!$A$5:$AR$411</definedName>
    <definedName name="_xlnm._FilterDatabase" localSheetId="7" hidden="1">'Final PGY4 AA Payment Summary'!$A$1:$M$584</definedName>
    <definedName name="_xlnm._FilterDatabase" localSheetId="1" hidden="1">'IGT Commitment Suggestions'!$A$4:$G$17</definedName>
    <definedName name="_xlnm._FilterDatabase" localSheetId="2" hidden="1">Summary!$A$4:$Q$61</definedName>
    <definedName name="_whatisthis" localSheetId="7">[1]DIS00!#REF!</definedName>
    <definedName name="aaaaaa" localSheetId="7">[2]A83I!#REF!</definedName>
    <definedName name="adj_fact" localSheetId="7">#REF!</definedName>
    <definedName name="ccccc" localSheetId="3" hidden="1">#REF!</definedName>
    <definedName name="ccccc" localSheetId="7" hidden="1">#REF!</definedName>
    <definedName name="ccccc" localSheetId="1" hidden="1">#REF!</definedName>
    <definedName name="ccccc" localSheetId="2" hidden="1">#REF!</definedName>
    <definedName name="ccccc" hidden="1">#REF!</definedName>
    <definedName name="cccccc" localSheetId="7">[1]DIS00!#REF!</definedName>
    <definedName name="combined_cap" localSheetId="7">#REF!</definedName>
    <definedName name="Create_Summary_by_TPI" localSheetId="7">#REF!</definedName>
    <definedName name="eeeeee" localSheetId="7">#REF!</definedName>
    <definedName name="ExportDataSource" localSheetId="7">#REF!</definedName>
    <definedName name="FMAP_StateShr">'CHIRP Payment Calc'!$AQ$3</definedName>
    <definedName name="MCO_AdminFee">FeeCalc!$B$7</definedName>
    <definedName name="MCO_PremiumTax">FeeCalc!$B$8</definedName>
    <definedName name="Ownership_List" localSheetId="7">#REF!</definedName>
    <definedName name="RiskMargin_STAR">FeeCalc!$B$5</definedName>
    <definedName name="RiskMargin_STARPLUS">FeeCalc!$B$6</definedName>
    <definedName name="sort1_beg" localSheetId="7">#REF!</definedName>
    <definedName name="STAR_Fee">FeeCalc!$B$10</definedName>
    <definedName name="STARPLUS_Fee">FeeCalc!$B$11</definedName>
    <definedName name="STATE_OWNED_with_Outlier_and_Inflation" localSheetId="7">#REF!</definedName>
    <definedName name="Traditional_Settlements_Between_10_1_2013___9_30_2014" localSheetId="7">'[3] Cost Report Settlements'!#REF!</definedName>
    <definedName name="tttttt" localSheetId="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02" l="1"/>
  <c r="F6" i="102"/>
  <c r="F7" i="102"/>
  <c r="F8" i="102"/>
  <c r="F9" i="102"/>
  <c r="F10" i="102"/>
  <c r="F11" i="102"/>
  <c r="F12" i="102"/>
  <c r="F13" i="102"/>
  <c r="F14" i="102"/>
  <c r="F15" i="102"/>
  <c r="F16" i="102"/>
  <c r="F17" i="102"/>
  <c r="I411" i="166" l="1"/>
  <c r="J411" i="166"/>
  <c r="K411" i="166"/>
  <c r="H411" i="166"/>
  <c r="L411" i="166" l="1"/>
  <c r="M411" i="166"/>
  <c r="M6" i="166" l="1"/>
  <c r="M7" i="166"/>
  <c r="M8" i="166"/>
  <c r="M9" i="166"/>
  <c r="M10" i="166"/>
  <c r="M11" i="166"/>
  <c r="M12" i="166"/>
  <c r="M13" i="166"/>
  <c r="M14" i="166"/>
  <c r="M15" i="166"/>
  <c r="M16" i="166"/>
  <c r="M17" i="166"/>
  <c r="M18" i="166"/>
  <c r="M19" i="166"/>
  <c r="M20" i="166"/>
  <c r="M21" i="166"/>
  <c r="M22" i="166"/>
  <c r="M23" i="166"/>
  <c r="M24" i="166"/>
  <c r="M25" i="166"/>
  <c r="M26" i="166"/>
  <c r="M27" i="166"/>
  <c r="M28" i="166"/>
  <c r="M29" i="166"/>
  <c r="M30" i="166"/>
  <c r="M31" i="166"/>
  <c r="M32" i="166"/>
  <c r="M33" i="166"/>
  <c r="M34" i="166"/>
  <c r="M35" i="166"/>
  <c r="M36" i="166"/>
  <c r="M37" i="166"/>
  <c r="M38" i="166"/>
  <c r="M39" i="166"/>
  <c r="M40" i="166"/>
  <c r="M41" i="166"/>
  <c r="M42" i="166"/>
  <c r="M43" i="166"/>
  <c r="M44" i="166"/>
  <c r="M45" i="166"/>
  <c r="M46" i="166"/>
  <c r="I383" i="1" s="1"/>
  <c r="M47" i="166"/>
  <c r="M48" i="166"/>
  <c r="M49" i="166"/>
  <c r="M50" i="166"/>
  <c r="M51" i="166"/>
  <c r="M52" i="166"/>
  <c r="M53" i="166"/>
  <c r="M54" i="166"/>
  <c r="M55" i="166"/>
  <c r="M56" i="166"/>
  <c r="M57" i="166"/>
  <c r="M58" i="166"/>
  <c r="M59" i="166"/>
  <c r="M60" i="166"/>
  <c r="M61" i="166"/>
  <c r="M62" i="166"/>
  <c r="M63" i="166"/>
  <c r="M64" i="166"/>
  <c r="M65" i="166"/>
  <c r="M66" i="166"/>
  <c r="M67" i="166"/>
  <c r="M68" i="166"/>
  <c r="M69" i="166"/>
  <c r="M70" i="166"/>
  <c r="M71" i="166"/>
  <c r="M72" i="166"/>
  <c r="M73" i="166"/>
  <c r="M74" i="166"/>
  <c r="M75" i="166"/>
  <c r="M76" i="166"/>
  <c r="M77" i="166"/>
  <c r="M78" i="166"/>
  <c r="M79" i="166"/>
  <c r="M80" i="166"/>
  <c r="M81" i="166"/>
  <c r="M82" i="166"/>
  <c r="M83" i="166"/>
  <c r="M84" i="166"/>
  <c r="M85" i="166"/>
  <c r="M86" i="166"/>
  <c r="M87" i="166"/>
  <c r="M88" i="166"/>
  <c r="M89" i="166"/>
  <c r="M90" i="166"/>
  <c r="M91" i="166"/>
  <c r="M92" i="166"/>
  <c r="M93" i="166"/>
  <c r="M94" i="166"/>
  <c r="M95" i="166"/>
  <c r="M96" i="166"/>
  <c r="M97" i="166"/>
  <c r="M98" i="166"/>
  <c r="M99" i="166"/>
  <c r="M100" i="166"/>
  <c r="M101" i="166"/>
  <c r="M102" i="166"/>
  <c r="M103" i="166"/>
  <c r="M104" i="166"/>
  <c r="M105" i="166"/>
  <c r="M106" i="166"/>
  <c r="M107" i="166"/>
  <c r="M108" i="166"/>
  <c r="M109" i="166"/>
  <c r="M110" i="166"/>
  <c r="M111" i="166"/>
  <c r="M112" i="166"/>
  <c r="M113" i="166"/>
  <c r="M114" i="166"/>
  <c r="M115" i="166"/>
  <c r="M116" i="166"/>
  <c r="M117" i="166"/>
  <c r="M118" i="166"/>
  <c r="M119" i="166"/>
  <c r="M120" i="166"/>
  <c r="M121" i="166"/>
  <c r="M122" i="166"/>
  <c r="M123" i="166"/>
  <c r="M124" i="166"/>
  <c r="M125" i="166"/>
  <c r="M126" i="166"/>
  <c r="M127" i="166"/>
  <c r="M128" i="166"/>
  <c r="M129" i="166"/>
  <c r="I225" i="1" s="1"/>
  <c r="M130" i="166"/>
  <c r="M131" i="166"/>
  <c r="M132" i="166"/>
  <c r="M133" i="166"/>
  <c r="M134" i="166"/>
  <c r="M135" i="166"/>
  <c r="M136" i="166"/>
  <c r="M137" i="166"/>
  <c r="M138" i="166"/>
  <c r="M139" i="166"/>
  <c r="M140" i="166"/>
  <c r="M141" i="166"/>
  <c r="M142" i="166"/>
  <c r="M143" i="166"/>
  <c r="M144" i="166"/>
  <c r="M145" i="166"/>
  <c r="M146" i="166"/>
  <c r="M147" i="166"/>
  <c r="M148" i="166"/>
  <c r="M149" i="166"/>
  <c r="M150" i="166"/>
  <c r="M151" i="166"/>
  <c r="M152" i="166"/>
  <c r="M153" i="166"/>
  <c r="M154" i="166"/>
  <c r="M155" i="166"/>
  <c r="M156" i="166"/>
  <c r="M157" i="166"/>
  <c r="M158" i="166"/>
  <c r="M159" i="166"/>
  <c r="M160" i="166"/>
  <c r="M161" i="166"/>
  <c r="M162" i="166"/>
  <c r="M163" i="166"/>
  <c r="M164" i="166"/>
  <c r="M165" i="166"/>
  <c r="M166" i="166"/>
  <c r="M167" i="166"/>
  <c r="M168" i="166"/>
  <c r="M169" i="166"/>
  <c r="M170" i="166"/>
  <c r="M171" i="166"/>
  <c r="M172" i="166"/>
  <c r="M173" i="166"/>
  <c r="M174" i="166"/>
  <c r="M175" i="166"/>
  <c r="M176" i="166"/>
  <c r="M177" i="166"/>
  <c r="M178" i="166"/>
  <c r="M179" i="166"/>
  <c r="I255" i="1" s="1"/>
  <c r="M180" i="166"/>
  <c r="M181" i="166"/>
  <c r="M182" i="166"/>
  <c r="M183" i="166"/>
  <c r="M184" i="166"/>
  <c r="M185" i="166"/>
  <c r="M186" i="166"/>
  <c r="M187" i="166"/>
  <c r="M188" i="166"/>
  <c r="M189" i="166"/>
  <c r="M190" i="166"/>
  <c r="M191" i="166"/>
  <c r="M192" i="166"/>
  <c r="M193" i="166"/>
  <c r="M194" i="166"/>
  <c r="M195" i="166"/>
  <c r="M196" i="166"/>
  <c r="M197" i="166"/>
  <c r="M198" i="166"/>
  <c r="M199" i="166"/>
  <c r="M200" i="166"/>
  <c r="M201" i="166"/>
  <c r="M202" i="166"/>
  <c r="M203" i="166"/>
  <c r="M204" i="166"/>
  <c r="M205" i="166"/>
  <c r="M206" i="166"/>
  <c r="M207" i="166"/>
  <c r="M208" i="166"/>
  <c r="I251" i="1" s="1"/>
  <c r="M209" i="166"/>
  <c r="M210" i="166"/>
  <c r="M211" i="166"/>
  <c r="M212" i="166"/>
  <c r="M213" i="166"/>
  <c r="M214" i="166"/>
  <c r="M215" i="166"/>
  <c r="M216" i="166"/>
  <c r="M217" i="166"/>
  <c r="M218" i="166"/>
  <c r="M219" i="166"/>
  <c r="M220" i="166"/>
  <c r="M221" i="166"/>
  <c r="M222" i="166"/>
  <c r="M223" i="166"/>
  <c r="M224" i="166"/>
  <c r="M225" i="166"/>
  <c r="M226" i="166"/>
  <c r="M227" i="166"/>
  <c r="M228" i="166"/>
  <c r="M229" i="166"/>
  <c r="M230" i="166"/>
  <c r="M231" i="166"/>
  <c r="M232" i="166"/>
  <c r="M233" i="166"/>
  <c r="M234" i="166"/>
  <c r="M235" i="166"/>
  <c r="M236" i="166"/>
  <c r="M237" i="166"/>
  <c r="M238" i="166"/>
  <c r="M239" i="166"/>
  <c r="M240" i="166"/>
  <c r="M241" i="166"/>
  <c r="M242" i="166"/>
  <c r="M243" i="166"/>
  <c r="M244" i="166"/>
  <c r="M245" i="166"/>
  <c r="M246" i="166"/>
  <c r="M247" i="166"/>
  <c r="M248" i="166"/>
  <c r="M249" i="166"/>
  <c r="M250" i="166"/>
  <c r="M251" i="166"/>
  <c r="M252" i="166"/>
  <c r="M253" i="166"/>
  <c r="M254" i="166"/>
  <c r="M255" i="166"/>
  <c r="M256" i="166"/>
  <c r="M257" i="166"/>
  <c r="M258" i="166"/>
  <c r="M259" i="166"/>
  <c r="M260" i="166"/>
  <c r="M261" i="166"/>
  <c r="M262" i="166"/>
  <c r="M263" i="166"/>
  <c r="M264" i="166"/>
  <c r="M265" i="166"/>
  <c r="M266" i="166"/>
  <c r="M267" i="166"/>
  <c r="M268" i="166"/>
  <c r="M269" i="166"/>
  <c r="M270" i="166"/>
  <c r="M271" i="166"/>
  <c r="M272" i="166"/>
  <c r="M273" i="166"/>
  <c r="M274" i="166"/>
  <c r="M275" i="166"/>
  <c r="M276" i="166"/>
  <c r="M277" i="166"/>
  <c r="M278" i="166"/>
  <c r="M279" i="166"/>
  <c r="M280" i="166"/>
  <c r="M281" i="166"/>
  <c r="M282" i="166"/>
  <c r="M283" i="166"/>
  <c r="M284" i="166"/>
  <c r="M285" i="166"/>
  <c r="M286" i="166"/>
  <c r="M287" i="166"/>
  <c r="M288" i="166"/>
  <c r="M289" i="166"/>
  <c r="M290" i="166"/>
  <c r="M291" i="166"/>
  <c r="M292" i="166"/>
  <c r="M293" i="166"/>
  <c r="M294" i="166"/>
  <c r="M295" i="166"/>
  <c r="M296" i="166"/>
  <c r="M297" i="166"/>
  <c r="M298" i="166"/>
  <c r="M299" i="166"/>
  <c r="M300" i="166"/>
  <c r="M301" i="166"/>
  <c r="M302" i="166"/>
  <c r="M303" i="166"/>
  <c r="M304" i="166"/>
  <c r="M305" i="166"/>
  <c r="M306" i="166"/>
  <c r="M307" i="166"/>
  <c r="M308" i="166"/>
  <c r="M309" i="166"/>
  <c r="M310" i="166"/>
  <c r="M311" i="166"/>
  <c r="M312" i="166"/>
  <c r="M313" i="166"/>
  <c r="M314" i="166"/>
  <c r="M315" i="166"/>
  <c r="M316" i="166"/>
  <c r="M317" i="166"/>
  <c r="M318" i="166"/>
  <c r="M319" i="166"/>
  <c r="M320" i="166"/>
  <c r="I240" i="1" s="1"/>
  <c r="M321" i="166"/>
  <c r="M322" i="166"/>
  <c r="M323" i="166"/>
  <c r="M324" i="166"/>
  <c r="M325" i="166"/>
  <c r="M326" i="166"/>
  <c r="M327" i="166"/>
  <c r="M328" i="166"/>
  <c r="M329" i="166"/>
  <c r="M330" i="166"/>
  <c r="M331" i="166"/>
  <c r="M332" i="166"/>
  <c r="M333" i="166"/>
  <c r="M334" i="166"/>
  <c r="M335" i="166"/>
  <c r="M336" i="166"/>
  <c r="M337" i="166"/>
  <c r="M338" i="166"/>
  <c r="M339" i="166"/>
  <c r="M340" i="166"/>
  <c r="M341" i="166"/>
  <c r="M342" i="166"/>
  <c r="M343" i="166"/>
  <c r="M344" i="166"/>
  <c r="M345" i="166"/>
  <c r="M346" i="166"/>
  <c r="M347" i="166"/>
  <c r="M348" i="166"/>
  <c r="M349" i="166"/>
  <c r="I368" i="1" s="1"/>
  <c r="M350" i="166"/>
  <c r="M351" i="166"/>
  <c r="M352" i="166"/>
  <c r="M353" i="166"/>
  <c r="M354" i="166"/>
  <c r="M355" i="166"/>
  <c r="M356" i="166"/>
  <c r="M357" i="166"/>
  <c r="M358" i="166"/>
  <c r="M359" i="166"/>
  <c r="M360" i="166"/>
  <c r="M361" i="166"/>
  <c r="M362" i="166"/>
  <c r="M363" i="166"/>
  <c r="M364" i="166"/>
  <c r="M365" i="166"/>
  <c r="I384" i="1" s="1"/>
  <c r="M366" i="166"/>
  <c r="M367" i="166"/>
  <c r="M368" i="166"/>
  <c r="M369" i="166"/>
  <c r="M370" i="166"/>
  <c r="M371" i="166"/>
  <c r="M372" i="166"/>
  <c r="M373" i="166"/>
  <c r="M374" i="166"/>
  <c r="M375" i="166"/>
  <c r="M376" i="166"/>
  <c r="M377" i="166"/>
  <c r="M378" i="166"/>
  <c r="M379" i="166"/>
  <c r="M380" i="166"/>
  <c r="M381" i="166"/>
  <c r="M382" i="166"/>
  <c r="M383" i="166"/>
  <c r="M384" i="166"/>
  <c r="M385" i="166"/>
  <c r="M386" i="166"/>
  <c r="M387" i="166"/>
  <c r="M388" i="166"/>
  <c r="M389" i="166"/>
  <c r="M390" i="166"/>
  <c r="M391" i="166"/>
  <c r="M392" i="166"/>
  <c r="M393" i="166"/>
  <c r="M394" i="166"/>
  <c r="M395" i="166"/>
  <c r="M396" i="166"/>
  <c r="M397" i="166"/>
  <c r="M398" i="166"/>
  <c r="M399" i="166"/>
  <c r="M400" i="166"/>
  <c r="M401" i="166"/>
  <c r="M402" i="166"/>
  <c r="M403" i="166"/>
  <c r="M404" i="166"/>
  <c r="M405" i="166"/>
  <c r="M406" i="166"/>
  <c r="M407" i="166"/>
  <c r="M408" i="166"/>
  <c r="M409" i="166"/>
  <c r="M410" i="166"/>
  <c r="M5" i="166"/>
  <c r="L6" i="166"/>
  <c r="L7" i="166"/>
  <c r="L8" i="166"/>
  <c r="L9" i="166"/>
  <c r="L10" i="166"/>
  <c r="L11" i="166"/>
  <c r="L12" i="166"/>
  <c r="L13" i="166"/>
  <c r="L14" i="166"/>
  <c r="L15" i="166"/>
  <c r="L16" i="166"/>
  <c r="L17" i="166"/>
  <c r="L18" i="166"/>
  <c r="L19" i="166"/>
  <c r="L20" i="166"/>
  <c r="L21" i="166"/>
  <c r="L22" i="166"/>
  <c r="L23" i="166"/>
  <c r="L24" i="166"/>
  <c r="L25" i="166"/>
  <c r="L26" i="166"/>
  <c r="L27" i="166"/>
  <c r="L28" i="166"/>
  <c r="L29" i="166"/>
  <c r="L30" i="166"/>
  <c r="L31" i="166"/>
  <c r="L32" i="166"/>
  <c r="L33" i="166"/>
  <c r="L34" i="166"/>
  <c r="L35" i="166"/>
  <c r="L36" i="166"/>
  <c r="L37" i="166"/>
  <c r="L38" i="166"/>
  <c r="L39" i="166"/>
  <c r="L40" i="166"/>
  <c r="L41" i="166"/>
  <c r="L42" i="166"/>
  <c r="L43" i="166"/>
  <c r="L44" i="166"/>
  <c r="L45" i="166"/>
  <c r="L46" i="166"/>
  <c r="J383" i="1" s="1"/>
  <c r="L47" i="166"/>
  <c r="L48" i="166"/>
  <c r="L49" i="166"/>
  <c r="L50" i="166"/>
  <c r="L51" i="166"/>
  <c r="L52" i="166"/>
  <c r="L53" i="166"/>
  <c r="L54" i="166"/>
  <c r="L55" i="166"/>
  <c r="L56" i="166"/>
  <c r="L57" i="166"/>
  <c r="L58" i="166"/>
  <c r="L59" i="166"/>
  <c r="L60" i="166"/>
  <c r="L61" i="166"/>
  <c r="L62" i="166"/>
  <c r="L63" i="166"/>
  <c r="L64" i="166"/>
  <c r="L65" i="166"/>
  <c r="L66" i="166"/>
  <c r="L67" i="166"/>
  <c r="L68" i="166"/>
  <c r="L69" i="166"/>
  <c r="L70" i="166"/>
  <c r="L71" i="166"/>
  <c r="L72" i="166"/>
  <c r="L73" i="166"/>
  <c r="L74" i="166"/>
  <c r="L75" i="166"/>
  <c r="L76" i="166"/>
  <c r="L77" i="166"/>
  <c r="L78" i="166"/>
  <c r="L79" i="166"/>
  <c r="L80" i="166"/>
  <c r="L81" i="166"/>
  <c r="L82" i="166"/>
  <c r="L83" i="166"/>
  <c r="L84" i="166"/>
  <c r="L85" i="166"/>
  <c r="L86" i="166"/>
  <c r="L87" i="166"/>
  <c r="L88" i="166"/>
  <c r="L89" i="166"/>
  <c r="L90" i="166"/>
  <c r="L91" i="166"/>
  <c r="L92" i="166"/>
  <c r="L93" i="166"/>
  <c r="L94" i="166"/>
  <c r="L95" i="166"/>
  <c r="L96" i="166"/>
  <c r="L97" i="166"/>
  <c r="L98" i="166"/>
  <c r="L99" i="166"/>
  <c r="L100" i="166"/>
  <c r="L101" i="166"/>
  <c r="L102" i="166"/>
  <c r="L103" i="166"/>
  <c r="L104" i="166"/>
  <c r="L105" i="166"/>
  <c r="L106" i="166"/>
  <c r="L107" i="166"/>
  <c r="L108" i="166"/>
  <c r="L109" i="166"/>
  <c r="L110" i="166"/>
  <c r="L111" i="166"/>
  <c r="L112" i="166"/>
  <c r="L113" i="166"/>
  <c r="L114" i="166"/>
  <c r="L115" i="166"/>
  <c r="L116" i="166"/>
  <c r="L117" i="166"/>
  <c r="L118" i="166"/>
  <c r="L119" i="166"/>
  <c r="L120" i="166"/>
  <c r="L121" i="166"/>
  <c r="L122" i="166"/>
  <c r="L123" i="166"/>
  <c r="L124" i="166"/>
  <c r="L125" i="166"/>
  <c r="L126" i="166"/>
  <c r="L127" i="166"/>
  <c r="L128" i="166"/>
  <c r="L129" i="166"/>
  <c r="J225" i="1" s="1"/>
  <c r="L130" i="166"/>
  <c r="L131" i="166"/>
  <c r="L132" i="166"/>
  <c r="L133" i="166"/>
  <c r="L134" i="166"/>
  <c r="L135" i="166"/>
  <c r="L136" i="166"/>
  <c r="L137" i="166"/>
  <c r="L138" i="166"/>
  <c r="L139" i="166"/>
  <c r="L140" i="166"/>
  <c r="L141" i="166"/>
  <c r="L142" i="166"/>
  <c r="L143" i="166"/>
  <c r="L144" i="166"/>
  <c r="L145" i="166"/>
  <c r="L146" i="166"/>
  <c r="L147" i="166"/>
  <c r="L148" i="166"/>
  <c r="L149" i="166"/>
  <c r="L150" i="166"/>
  <c r="L151" i="166"/>
  <c r="L152" i="166"/>
  <c r="L153" i="166"/>
  <c r="L154" i="166"/>
  <c r="L155" i="166"/>
  <c r="L156" i="166"/>
  <c r="L157" i="166"/>
  <c r="L158" i="166"/>
  <c r="L159" i="166"/>
  <c r="L160" i="166"/>
  <c r="L161" i="166"/>
  <c r="L162" i="166"/>
  <c r="L163" i="166"/>
  <c r="L164" i="166"/>
  <c r="L165" i="166"/>
  <c r="L166" i="166"/>
  <c r="L167" i="166"/>
  <c r="L168" i="166"/>
  <c r="L169" i="166"/>
  <c r="L170" i="166"/>
  <c r="L171" i="166"/>
  <c r="L172" i="166"/>
  <c r="L173" i="166"/>
  <c r="L174" i="166"/>
  <c r="L175" i="166"/>
  <c r="L176" i="166"/>
  <c r="L177" i="166"/>
  <c r="L178" i="166"/>
  <c r="L179" i="166"/>
  <c r="J255" i="1" s="1"/>
  <c r="L180" i="166"/>
  <c r="L181" i="166"/>
  <c r="L182" i="166"/>
  <c r="L183" i="166"/>
  <c r="L184" i="166"/>
  <c r="L185" i="166"/>
  <c r="L186" i="166"/>
  <c r="L187" i="166"/>
  <c r="L188" i="166"/>
  <c r="L189" i="166"/>
  <c r="L190" i="166"/>
  <c r="L191" i="166"/>
  <c r="L192" i="166"/>
  <c r="L193" i="166"/>
  <c r="L194" i="166"/>
  <c r="L195" i="166"/>
  <c r="L196" i="166"/>
  <c r="L197" i="166"/>
  <c r="L198" i="166"/>
  <c r="L199" i="166"/>
  <c r="L200" i="166"/>
  <c r="L201" i="166"/>
  <c r="L202" i="166"/>
  <c r="L203" i="166"/>
  <c r="L204" i="166"/>
  <c r="L205" i="166"/>
  <c r="L206" i="166"/>
  <c r="L207" i="166"/>
  <c r="L208" i="166"/>
  <c r="J251" i="1" s="1"/>
  <c r="L209" i="166"/>
  <c r="L210" i="166"/>
  <c r="L211" i="166"/>
  <c r="L212" i="166"/>
  <c r="L213" i="166"/>
  <c r="L214" i="166"/>
  <c r="L215" i="166"/>
  <c r="L216" i="166"/>
  <c r="L217" i="166"/>
  <c r="L218" i="166"/>
  <c r="L219" i="166"/>
  <c r="L220" i="166"/>
  <c r="L221" i="166"/>
  <c r="L222" i="166"/>
  <c r="L223" i="166"/>
  <c r="L224" i="166"/>
  <c r="L225" i="166"/>
  <c r="L226" i="166"/>
  <c r="L227" i="166"/>
  <c r="L228" i="166"/>
  <c r="L229" i="166"/>
  <c r="L230" i="166"/>
  <c r="L231" i="166"/>
  <c r="L232" i="166"/>
  <c r="L233" i="166"/>
  <c r="L234" i="166"/>
  <c r="L235" i="166"/>
  <c r="L236" i="166"/>
  <c r="L237" i="166"/>
  <c r="L238" i="166"/>
  <c r="L239" i="166"/>
  <c r="L240" i="166"/>
  <c r="L241" i="166"/>
  <c r="L242" i="166"/>
  <c r="L243" i="166"/>
  <c r="L244" i="166"/>
  <c r="L245" i="166"/>
  <c r="L246" i="166"/>
  <c r="L247" i="166"/>
  <c r="L248" i="166"/>
  <c r="L249" i="166"/>
  <c r="L250" i="166"/>
  <c r="L251" i="166"/>
  <c r="L252" i="166"/>
  <c r="L253" i="166"/>
  <c r="L254" i="166"/>
  <c r="L255" i="166"/>
  <c r="L256" i="166"/>
  <c r="L257" i="166"/>
  <c r="L258" i="166"/>
  <c r="L259" i="166"/>
  <c r="L260" i="166"/>
  <c r="L261" i="166"/>
  <c r="L262" i="166"/>
  <c r="L263" i="166"/>
  <c r="L264" i="166"/>
  <c r="L265" i="166"/>
  <c r="L266" i="166"/>
  <c r="L267" i="166"/>
  <c r="L268" i="166"/>
  <c r="L269" i="166"/>
  <c r="L270" i="166"/>
  <c r="L271" i="166"/>
  <c r="L272" i="166"/>
  <c r="L273" i="166"/>
  <c r="L274" i="166"/>
  <c r="L275" i="166"/>
  <c r="L276" i="166"/>
  <c r="L277" i="166"/>
  <c r="L278" i="166"/>
  <c r="L279" i="166"/>
  <c r="L280" i="166"/>
  <c r="L281" i="166"/>
  <c r="L282" i="166"/>
  <c r="L283" i="166"/>
  <c r="L284" i="166"/>
  <c r="L285" i="166"/>
  <c r="L286" i="166"/>
  <c r="L287" i="166"/>
  <c r="L288" i="166"/>
  <c r="L289" i="166"/>
  <c r="L290" i="166"/>
  <c r="L291" i="166"/>
  <c r="L292" i="166"/>
  <c r="L293" i="166"/>
  <c r="L294" i="166"/>
  <c r="L295" i="166"/>
  <c r="L296" i="166"/>
  <c r="L297" i="166"/>
  <c r="L298" i="166"/>
  <c r="L299" i="166"/>
  <c r="L300" i="166"/>
  <c r="L301" i="166"/>
  <c r="L302" i="166"/>
  <c r="L303" i="166"/>
  <c r="L304" i="166"/>
  <c r="L305" i="166"/>
  <c r="L306" i="166"/>
  <c r="L307" i="166"/>
  <c r="L308" i="166"/>
  <c r="L309" i="166"/>
  <c r="L310" i="166"/>
  <c r="L311" i="166"/>
  <c r="L312" i="166"/>
  <c r="L313" i="166"/>
  <c r="L314" i="166"/>
  <c r="L315" i="166"/>
  <c r="L316" i="166"/>
  <c r="L317" i="166"/>
  <c r="L318" i="166"/>
  <c r="L319" i="166"/>
  <c r="L320" i="166"/>
  <c r="J240" i="1" s="1"/>
  <c r="L321" i="166"/>
  <c r="L322" i="166"/>
  <c r="L323" i="166"/>
  <c r="L324" i="166"/>
  <c r="L325" i="166"/>
  <c r="L326" i="166"/>
  <c r="L327" i="166"/>
  <c r="L328" i="166"/>
  <c r="L329" i="166"/>
  <c r="L330" i="166"/>
  <c r="L331" i="166"/>
  <c r="L332" i="166"/>
  <c r="L333" i="166"/>
  <c r="L334" i="166"/>
  <c r="L335" i="166"/>
  <c r="L336" i="166"/>
  <c r="L337" i="166"/>
  <c r="L338" i="166"/>
  <c r="L339" i="166"/>
  <c r="L340" i="166"/>
  <c r="L341" i="166"/>
  <c r="L342" i="166"/>
  <c r="L343" i="166"/>
  <c r="L344" i="166"/>
  <c r="L345" i="166"/>
  <c r="L346" i="166"/>
  <c r="L347" i="166"/>
  <c r="L348" i="166"/>
  <c r="L349" i="166"/>
  <c r="J368" i="1" s="1"/>
  <c r="L350" i="166"/>
  <c r="L351" i="166"/>
  <c r="L352" i="166"/>
  <c r="L353" i="166"/>
  <c r="L354" i="166"/>
  <c r="L355" i="166"/>
  <c r="L356" i="166"/>
  <c r="L357" i="166"/>
  <c r="L358" i="166"/>
  <c r="L359" i="166"/>
  <c r="L360" i="166"/>
  <c r="L361" i="166"/>
  <c r="L362" i="166"/>
  <c r="L363" i="166"/>
  <c r="L364" i="166"/>
  <c r="L365" i="166"/>
  <c r="J384" i="1" s="1"/>
  <c r="L366" i="166"/>
  <c r="L367" i="166"/>
  <c r="L368" i="166"/>
  <c r="L369" i="166"/>
  <c r="L370" i="166"/>
  <c r="L371" i="166"/>
  <c r="L372" i="166"/>
  <c r="L373" i="166"/>
  <c r="L374" i="166"/>
  <c r="L375" i="166"/>
  <c r="L376" i="166"/>
  <c r="L377" i="166"/>
  <c r="L378" i="166"/>
  <c r="L379" i="166"/>
  <c r="L380" i="166"/>
  <c r="L381" i="166"/>
  <c r="L382" i="166"/>
  <c r="L383" i="166"/>
  <c r="L384" i="166"/>
  <c r="L385" i="166"/>
  <c r="L386" i="166"/>
  <c r="L387" i="166"/>
  <c r="L388" i="166"/>
  <c r="L389" i="166"/>
  <c r="L390" i="166"/>
  <c r="L391" i="166"/>
  <c r="L392" i="166"/>
  <c r="L393" i="166"/>
  <c r="L394" i="166"/>
  <c r="L395" i="166"/>
  <c r="L396" i="166"/>
  <c r="L397" i="166"/>
  <c r="L398" i="166"/>
  <c r="L399" i="166"/>
  <c r="L400" i="166"/>
  <c r="L401" i="166"/>
  <c r="L402" i="166"/>
  <c r="L403" i="166"/>
  <c r="L404" i="166"/>
  <c r="L405" i="166"/>
  <c r="L406" i="166"/>
  <c r="L407" i="166"/>
  <c r="L408" i="166"/>
  <c r="L409" i="166"/>
  <c r="L410" i="166"/>
  <c r="L5" i="166"/>
  <c r="AI11" i="1" l="1"/>
  <c r="AI13" i="1"/>
  <c r="AI25" i="1"/>
  <c r="AI29" i="1"/>
  <c r="AI30" i="1"/>
  <c r="AI32" i="1"/>
  <c r="AI46" i="1"/>
  <c r="AI47" i="1"/>
  <c r="AI80" i="1"/>
  <c r="AI81" i="1"/>
  <c r="AI102" i="1"/>
  <c r="AI228" i="1"/>
  <c r="AI263" i="1"/>
  <c r="AI292" i="1"/>
  <c r="AH11" i="1"/>
  <c r="AH13" i="1"/>
  <c r="AH25" i="1"/>
  <c r="AH29" i="1"/>
  <c r="AH30" i="1"/>
  <c r="AH32" i="1"/>
  <c r="AH46" i="1"/>
  <c r="AH47" i="1"/>
  <c r="AH80" i="1"/>
  <c r="AH81" i="1"/>
  <c r="AH102" i="1"/>
  <c r="AH228" i="1"/>
  <c r="AH263" i="1"/>
  <c r="AH292" i="1"/>
  <c r="AD292" i="1"/>
  <c r="AD263" i="1"/>
  <c r="AD228" i="1"/>
  <c r="AD102" i="1"/>
  <c r="AD81" i="1"/>
  <c r="AD80" i="1"/>
  <c r="AD47" i="1"/>
  <c r="AD46" i="1"/>
  <c r="AD32" i="1"/>
  <c r="AD30" i="1"/>
  <c r="AD29" i="1"/>
  <c r="AD25" i="1"/>
  <c r="AD13" i="1"/>
  <c r="AD11" i="1"/>
  <c r="AC11" i="1"/>
  <c r="AC13" i="1"/>
  <c r="AC25" i="1"/>
  <c r="AC29" i="1"/>
  <c r="AC30" i="1"/>
  <c r="AC32" i="1"/>
  <c r="AC46" i="1"/>
  <c r="AC47" i="1"/>
  <c r="AC80" i="1"/>
  <c r="AC81" i="1"/>
  <c r="AC102" i="1"/>
  <c r="AC228" i="1"/>
  <c r="AC263" i="1"/>
  <c r="AC292" i="1"/>
  <c r="AD383" i="1" l="1"/>
  <c r="AD225" i="1"/>
  <c r="AD255" i="1"/>
  <c r="AD251" i="1"/>
  <c r="AD240" i="1"/>
  <c r="AD368" i="1"/>
  <c r="AD384" i="1"/>
  <c r="AC383" i="1"/>
  <c r="AC225" i="1"/>
  <c r="AC255" i="1"/>
  <c r="AC251" i="1"/>
  <c r="AC240" i="1"/>
  <c r="AC368" i="1"/>
  <c r="AC384" i="1"/>
  <c r="AF225" i="1" l="1"/>
  <c r="AF368" i="1"/>
  <c r="AF383" i="1"/>
  <c r="AF384" i="1"/>
  <c r="AE383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S348" i="1" l="1"/>
  <c r="S283" i="1"/>
  <c r="S402" i="1"/>
  <c r="S162" i="1"/>
  <c r="S154" i="1"/>
  <c r="S138" i="1"/>
  <c r="R387" i="1"/>
  <c r="R297" i="1"/>
  <c r="R365" i="1"/>
  <c r="S369" i="1"/>
  <c r="S305" i="1"/>
  <c r="S193" i="1"/>
  <c r="S153" i="1"/>
  <c r="S137" i="1"/>
  <c r="S113" i="1"/>
  <c r="S376" i="1"/>
  <c r="S304" i="1"/>
  <c r="S216" i="1"/>
  <c r="S136" i="1"/>
  <c r="S391" i="1"/>
  <c r="S350" i="1"/>
  <c r="S405" i="1"/>
  <c r="S341" i="1"/>
  <c r="S317" i="1"/>
  <c r="S213" i="1"/>
  <c r="S133" i="1"/>
  <c r="J51" i="1"/>
  <c r="I51" i="1"/>
  <c r="I43" i="1"/>
  <c r="J43" i="1"/>
  <c r="J35" i="1"/>
  <c r="I35" i="1"/>
  <c r="J27" i="1"/>
  <c r="I27" i="1"/>
  <c r="J19" i="1"/>
  <c r="I19" i="1"/>
  <c r="J11" i="1"/>
  <c r="I11" i="1"/>
  <c r="J408" i="1"/>
  <c r="I408" i="1"/>
  <c r="J400" i="1"/>
  <c r="I400" i="1"/>
  <c r="I392" i="1"/>
  <c r="J392" i="1"/>
  <c r="I382" i="1"/>
  <c r="J382" i="1"/>
  <c r="J374" i="1"/>
  <c r="I374" i="1"/>
  <c r="I365" i="1"/>
  <c r="J365" i="1"/>
  <c r="J357" i="1"/>
  <c r="I357" i="1"/>
  <c r="I349" i="1"/>
  <c r="J349" i="1"/>
  <c r="J341" i="1"/>
  <c r="I341" i="1"/>
  <c r="I333" i="1"/>
  <c r="J333" i="1"/>
  <c r="J325" i="1"/>
  <c r="I325" i="1"/>
  <c r="I317" i="1"/>
  <c r="J317" i="1"/>
  <c r="J309" i="1"/>
  <c r="I309" i="1"/>
  <c r="I301" i="1"/>
  <c r="J301" i="1"/>
  <c r="J293" i="1"/>
  <c r="I293" i="1"/>
  <c r="J285" i="1"/>
  <c r="I285" i="1"/>
  <c r="J277" i="1"/>
  <c r="I277" i="1"/>
  <c r="I269" i="1"/>
  <c r="J269" i="1"/>
  <c r="I261" i="1"/>
  <c r="J261" i="1"/>
  <c r="J252" i="1"/>
  <c r="I252" i="1"/>
  <c r="J243" i="1"/>
  <c r="I243" i="1"/>
  <c r="AC243" i="1" s="1"/>
  <c r="I234" i="1"/>
  <c r="J234" i="1"/>
  <c r="J226" i="1"/>
  <c r="I226" i="1"/>
  <c r="I217" i="1"/>
  <c r="J217" i="1"/>
  <c r="I209" i="1"/>
  <c r="J209" i="1"/>
  <c r="J201" i="1"/>
  <c r="I201" i="1"/>
  <c r="I193" i="1"/>
  <c r="J193" i="1"/>
  <c r="I185" i="1"/>
  <c r="AC185" i="1" s="1"/>
  <c r="J185" i="1"/>
  <c r="I177" i="1"/>
  <c r="J177" i="1"/>
  <c r="J169" i="1"/>
  <c r="I169" i="1"/>
  <c r="I161" i="1"/>
  <c r="J161" i="1"/>
  <c r="J153" i="1"/>
  <c r="I153" i="1"/>
  <c r="J145" i="1"/>
  <c r="I145" i="1"/>
  <c r="J137" i="1"/>
  <c r="I137" i="1"/>
  <c r="J129" i="1"/>
  <c r="I129" i="1"/>
  <c r="J121" i="1"/>
  <c r="I121" i="1"/>
  <c r="J113" i="1"/>
  <c r="I113" i="1"/>
  <c r="J105" i="1"/>
  <c r="I105" i="1"/>
  <c r="I97" i="1"/>
  <c r="J97" i="1"/>
  <c r="I89" i="1"/>
  <c r="J89" i="1"/>
  <c r="I81" i="1"/>
  <c r="J81" i="1"/>
  <c r="AF81" i="1" s="1"/>
  <c r="I73" i="1"/>
  <c r="J73" i="1"/>
  <c r="J65" i="1"/>
  <c r="I65" i="1"/>
  <c r="J57" i="1"/>
  <c r="I57" i="1"/>
  <c r="J50" i="1"/>
  <c r="I50" i="1"/>
  <c r="I42" i="1"/>
  <c r="J42" i="1"/>
  <c r="J34" i="1"/>
  <c r="I34" i="1"/>
  <c r="J26" i="1"/>
  <c r="I26" i="1"/>
  <c r="I18" i="1"/>
  <c r="J18" i="1"/>
  <c r="I10" i="1"/>
  <c r="J10" i="1"/>
  <c r="I407" i="1"/>
  <c r="J407" i="1"/>
  <c r="J399" i="1"/>
  <c r="I399" i="1"/>
  <c r="J391" i="1"/>
  <c r="I391" i="1"/>
  <c r="J381" i="1"/>
  <c r="I381" i="1"/>
  <c r="J373" i="1"/>
  <c r="I373" i="1"/>
  <c r="J364" i="1"/>
  <c r="I364" i="1"/>
  <c r="I356" i="1"/>
  <c r="J356" i="1"/>
  <c r="I348" i="1"/>
  <c r="J348" i="1"/>
  <c r="J340" i="1"/>
  <c r="I340" i="1"/>
  <c r="J332" i="1"/>
  <c r="I332" i="1"/>
  <c r="I324" i="1"/>
  <c r="J324" i="1"/>
  <c r="J316" i="1"/>
  <c r="I316" i="1"/>
  <c r="J308" i="1"/>
  <c r="I308" i="1"/>
  <c r="I300" i="1"/>
  <c r="J300" i="1"/>
  <c r="J292" i="1"/>
  <c r="AF292" i="1" s="1"/>
  <c r="I292" i="1"/>
  <c r="J284" i="1"/>
  <c r="I284" i="1"/>
  <c r="J276" i="1"/>
  <c r="I276" i="1"/>
  <c r="J268" i="1"/>
  <c r="I268" i="1"/>
  <c r="AC268" i="1" s="1"/>
  <c r="J260" i="1"/>
  <c r="I260" i="1"/>
  <c r="J250" i="1"/>
  <c r="I250" i="1"/>
  <c r="J242" i="1"/>
  <c r="I242" i="1"/>
  <c r="J233" i="1"/>
  <c r="I233" i="1"/>
  <c r="J224" i="1"/>
  <c r="I224" i="1"/>
  <c r="J216" i="1"/>
  <c r="I216" i="1"/>
  <c r="J208" i="1"/>
  <c r="I208" i="1"/>
  <c r="J200" i="1"/>
  <c r="I200" i="1"/>
  <c r="I192" i="1"/>
  <c r="J192" i="1"/>
  <c r="J184" i="1"/>
  <c r="I184" i="1"/>
  <c r="J176" i="1"/>
  <c r="I176" i="1"/>
  <c r="J168" i="1"/>
  <c r="I168" i="1"/>
  <c r="J160" i="1"/>
  <c r="I160" i="1"/>
  <c r="I152" i="1"/>
  <c r="J152" i="1"/>
  <c r="I144" i="1"/>
  <c r="J144" i="1"/>
  <c r="I136" i="1"/>
  <c r="J136" i="1"/>
  <c r="J128" i="1"/>
  <c r="I128" i="1"/>
  <c r="AC128" i="1" s="1"/>
  <c r="J120" i="1"/>
  <c r="I120" i="1"/>
  <c r="I112" i="1"/>
  <c r="J112" i="1"/>
  <c r="I104" i="1"/>
  <c r="J104" i="1"/>
  <c r="I96" i="1"/>
  <c r="J96" i="1"/>
  <c r="J88" i="1"/>
  <c r="I88" i="1"/>
  <c r="I80" i="1"/>
  <c r="J80" i="1"/>
  <c r="J72" i="1"/>
  <c r="I72" i="1"/>
  <c r="J64" i="1"/>
  <c r="I64" i="1"/>
  <c r="J56" i="1"/>
  <c r="I56" i="1"/>
  <c r="J49" i="1"/>
  <c r="I49" i="1"/>
  <c r="J41" i="1"/>
  <c r="I41" i="1"/>
  <c r="I33" i="1"/>
  <c r="J33" i="1"/>
  <c r="J25" i="1"/>
  <c r="I25" i="1"/>
  <c r="J17" i="1"/>
  <c r="I17" i="1"/>
  <c r="I9" i="1"/>
  <c r="J9" i="1"/>
  <c r="I406" i="1"/>
  <c r="J406" i="1"/>
  <c r="I398" i="1"/>
  <c r="J398" i="1"/>
  <c r="J390" i="1"/>
  <c r="I390" i="1"/>
  <c r="I380" i="1"/>
  <c r="J380" i="1"/>
  <c r="J372" i="1"/>
  <c r="I372" i="1"/>
  <c r="AC372" i="1" s="1"/>
  <c r="J363" i="1"/>
  <c r="I363" i="1"/>
  <c r="J355" i="1"/>
  <c r="I355" i="1"/>
  <c r="J347" i="1"/>
  <c r="I347" i="1"/>
  <c r="I339" i="1"/>
  <c r="J339" i="1"/>
  <c r="J331" i="1"/>
  <c r="I331" i="1"/>
  <c r="J323" i="1"/>
  <c r="I323" i="1"/>
  <c r="J315" i="1"/>
  <c r="I315" i="1"/>
  <c r="J307" i="1"/>
  <c r="I307" i="1"/>
  <c r="J299" i="1"/>
  <c r="I299" i="1"/>
  <c r="J291" i="1"/>
  <c r="I291" i="1"/>
  <c r="J283" i="1"/>
  <c r="I283" i="1"/>
  <c r="J275" i="1"/>
  <c r="I275" i="1"/>
  <c r="I267" i="1"/>
  <c r="J267" i="1"/>
  <c r="J259" i="1"/>
  <c r="I259" i="1"/>
  <c r="J249" i="1"/>
  <c r="I249" i="1"/>
  <c r="J241" i="1"/>
  <c r="I241" i="1"/>
  <c r="J232" i="1"/>
  <c r="I232" i="1"/>
  <c r="J223" i="1"/>
  <c r="I223" i="1"/>
  <c r="J215" i="1"/>
  <c r="I215" i="1"/>
  <c r="AC215" i="1" s="1"/>
  <c r="I207" i="1"/>
  <c r="J207" i="1"/>
  <c r="J199" i="1"/>
  <c r="I199" i="1"/>
  <c r="AC199" i="1" s="1"/>
  <c r="J191" i="1"/>
  <c r="I191" i="1"/>
  <c r="J183" i="1"/>
  <c r="I183" i="1"/>
  <c r="J175" i="1"/>
  <c r="I175" i="1"/>
  <c r="J167" i="1"/>
  <c r="I167" i="1"/>
  <c r="J159" i="1"/>
  <c r="I159" i="1"/>
  <c r="J151" i="1"/>
  <c r="I151" i="1"/>
  <c r="I143" i="1"/>
  <c r="J143" i="1"/>
  <c r="J135" i="1"/>
  <c r="I135" i="1"/>
  <c r="I127" i="1"/>
  <c r="J127" i="1"/>
  <c r="J119" i="1"/>
  <c r="I119" i="1"/>
  <c r="I111" i="1"/>
  <c r="J111" i="1"/>
  <c r="J103" i="1"/>
  <c r="I103" i="1"/>
  <c r="I95" i="1"/>
  <c r="J95" i="1"/>
  <c r="I87" i="1"/>
  <c r="J87" i="1"/>
  <c r="J79" i="1"/>
  <c r="I79" i="1"/>
  <c r="J71" i="1"/>
  <c r="I71" i="1"/>
  <c r="I63" i="1"/>
  <c r="J63" i="1"/>
  <c r="J55" i="1"/>
  <c r="I55" i="1"/>
  <c r="AC55" i="1" s="1"/>
  <c r="I48" i="1"/>
  <c r="J48" i="1"/>
  <c r="I40" i="1"/>
  <c r="J40" i="1"/>
  <c r="I32" i="1"/>
  <c r="J32" i="1"/>
  <c r="J24" i="1"/>
  <c r="I24" i="1"/>
  <c r="I16" i="1"/>
  <c r="J16" i="1"/>
  <c r="I8" i="1"/>
  <c r="J8" i="1"/>
  <c r="J405" i="1"/>
  <c r="I405" i="1"/>
  <c r="J397" i="1"/>
  <c r="I397" i="1"/>
  <c r="J389" i="1"/>
  <c r="I389" i="1"/>
  <c r="I379" i="1"/>
  <c r="J379" i="1"/>
  <c r="J371" i="1"/>
  <c r="I371" i="1"/>
  <c r="J362" i="1"/>
  <c r="I362" i="1"/>
  <c r="J354" i="1"/>
  <c r="I354" i="1"/>
  <c r="J346" i="1"/>
  <c r="I346" i="1"/>
  <c r="I338" i="1"/>
  <c r="J338" i="1"/>
  <c r="J330" i="1"/>
  <c r="I330" i="1"/>
  <c r="J322" i="1"/>
  <c r="I322" i="1"/>
  <c r="I314" i="1"/>
  <c r="J314" i="1"/>
  <c r="J306" i="1"/>
  <c r="I306" i="1"/>
  <c r="J298" i="1"/>
  <c r="I298" i="1"/>
  <c r="I290" i="1"/>
  <c r="J290" i="1"/>
  <c r="J282" i="1"/>
  <c r="I282" i="1"/>
  <c r="J274" i="1"/>
  <c r="I274" i="1"/>
  <c r="I266" i="1"/>
  <c r="J266" i="1"/>
  <c r="J258" i="1"/>
  <c r="I258" i="1"/>
  <c r="J248" i="1"/>
  <c r="I248" i="1"/>
  <c r="I239" i="1"/>
  <c r="J239" i="1"/>
  <c r="J231" i="1"/>
  <c r="I231" i="1"/>
  <c r="I222" i="1"/>
  <c r="J222" i="1"/>
  <c r="J214" i="1"/>
  <c r="I214" i="1"/>
  <c r="I206" i="1"/>
  <c r="J206" i="1"/>
  <c r="J198" i="1"/>
  <c r="I198" i="1"/>
  <c r="J190" i="1"/>
  <c r="I190" i="1"/>
  <c r="I182" i="1"/>
  <c r="J182" i="1"/>
  <c r="J174" i="1"/>
  <c r="I174" i="1"/>
  <c r="J166" i="1"/>
  <c r="I166" i="1"/>
  <c r="J158" i="1"/>
  <c r="I158" i="1"/>
  <c r="J150" i="1"/>
  <c r="I150" i="1"/>
  <c r="J142" i="1"/>
  <c r="I142" i="1"/>
  <c r="J134" i="1"/>
  <c r="I134" i="1"/>
  <c r="J126" i="1"/>
  <c r="I126" i="1"/>
  <c r="J118" i="1"/>
  <c r="I118" i="1"/>
  <c r="J110" i="1"/>
  <c r="I110" i="1"/>
  <c r="J102" i="1"/>
  <c r="I102" i="1"/>
  <c r="I94" i="1"/>
  <c r="J94" i="1"/>
  <c r="I86" i="1"/>
  <c r="J86" i="1"/>
  <c r="J78" i="1"/>
  <c r="I78" i="1"/>
  <c r="J70" i="1"/>
  <c r="I70" i="1"/>
  <c r="I62" i="1"/>
  <c r="J62" i="1"/>
  <c r="I54" i="1"/>
  <c r="J54" i="1"/>
  <c r="J47" i="1"/>
  <c r="I47" i="1"/>
  <c r="J39" i="1"/>
  <c r="I39" i="1"/>
  <c r="AC39" i="1" s="1"/>
  <c r="J31" i="1"/>
  <c r="AD31" i="1" s="1"/>
  <c r="I31" i="1"/>
  <c r="J23" i="1"/>
  <c r="I23" i="1"/>
  <c r="I15" i="1"/>
  <c r="J15" i="1"/>
  <c r="I7" i="1"/>
  <c r="J7" i="1"/>
  <c r="I404" i="1"/>
  <c r="J404" i="1"/>
  <c r="J396" i="1"/>
  <c r="I396" i="1"/>
  <c r="J388" i="1"/>
  <c r="I388" i="1"/>
  <c r="J378" i="1"/>
  <c r="I378" i="1"/>
  <c r="I370" i="1"/>
  <c r="J370" i="1"/>
  <c r="J361" i="1"/>
  <c r="I361" i="1"/>
  <c r="J353" i="1"/>
  <c r="I353" i="1"/>
  <c r="I345" i="1"/>
  <c r="J345" i="1"/>
  <c r="I337" i="1"/>
  <c r="J337" i="1"/>
  <c r="J329" i="1"/>
  <c r="I329" i="1"/>
  <c r="I321" i="1"/>
  <c r="J321" i="1"/>
  <c r="J313" i="1"/>
  <c r="I313" i="1"/>
  <c r="I305" i="1"/>
  <c r="J305" i="1"/>
  <c r="I297" i="1"/>
  <c r="J297" i="1"/>
  <c r="I289" i="1"/>
  <c r="J289" i="1"/>
  <c r="I281" i="1"/>
  <c r="J281" i="1"/>
  <c r="J273" i="1"/>
  <c r="I273" i="1"/>
  <c r="J265" i="1"/>
  <c r="I265" i="1"/>
  <c r="J257" i="1"/>
  <c r="I257" i="1"/>
  <c r="I247" i="1"/>
  <c r="AC247" i="1" s="1"/>
  <c r="J247" i="1"/>
  <c r="I238" i="1"/>
  <c r="J238" i="1"/>
  <c r="I230" i="1"/>
  <c r="J230" i="1"/>
  <c r="J221" i="1"/>
  <c r="I221" i="1"/>
  <c r="I213" i="1"/>
  <c r="J213" i="1"/>
  <c r="I205" i="1"/>
  <c r="J205" i="1"/>
  <c r="I197" i="1"/>
  <c r="J197" i="1"/>
  <c r="J189" i="1"/>
  <c r="I189" i="1"/>
  <c r="J181" i="1"/>
  <c r="I181" i="1"/>
  <c r="J173" i="1"/>
  <c r="I173" i="1"/>
  <c r="J165" i="1"/>
  <c r="I165" i="1"/>
  <c r="J157" i="1"/>
  <c r="I157" i="1"/>
  <c r="J149" i="1"/>
  <c r="I149" i="1"/>
  <c r="J141" i="1"/>
  <c r="I141" i="1"/>
  <c r="I133" i="1"/>
  <c r="J133" i="1"/>
  <c r="J125" i="1"/>
  <c r="I125" i="1"/>
  <c r="J117" i="1"/>
  <c r="I117" i="1"/>
  <c r="J109" i="1"/>
  <c r="I109" i="1"/>
  <c r="J101" i="1"/>
  <c r="I101" i="1"/>
  <c r="J93" i="1"/>
  <c r="I93" i="1"/>
  <c r="J85" i="1"/>
  <c r="I85" i="1"/>
  <c r="J77" i="1"/>
  <c r="I77" i="1"/>
  <c r="J69" i="1"/>
  <c r="I69" i="1"/>
  <c r="J61" i="1"/>
  <c r="I61" i="1"/>
  <c r="J53" i="1"/>
  <c r="I53" i="1"/>
  <c r="J46" i="1"/>
  <c r="I46" i="1"/>
  <c r="J38" i="1"/>
  <c r="I38" i="1"/>
  <c r="I30" i="1"/>
  <c r="J30" i="1"/>
  <c r="I22" i="1"/>
  <c r="J22" i="1"/>
  <c r="J14" i="1"/>
  <c r="I14" i="1"/>
  <c r="J411" i="1"/>
  <c r="I411" i="1"/>
  <c r="J403" i="1"/>
  <c r="I403" i="1"/>
  <c r="J395" i="1"/>
  <c r="I395" i="1"/>
  <c r="J387" i="1"/>
  <c r="I387" i="1"/>
  <c r="J377" i="1"/>
  <c r="I377" i="1"/>
  <c r="J369" i="1"/>
  <c r="I369" i="1"/>
  <c r="I360" i="1"/>
  <c r="J360" i="1"/>
  <c r="J352" i="1"/>
  <c r="I352" i="1"/>
  <c r="J344" i="1"/>
  <c r="I344" i="1"/>
  <c r="J336" i="1"/>
  <c r="I336" i="1"/>
  <c r="I328" i="1"/>
  <c r="J328" i="1"/>
  <c r="J320" i="1"/>
  <c r="I320" i="1"/>
  <c r="J312" i="1"/>
  <c r="I312" i="1"/>
  <c r="J304" i="1"/>
  <c r="I304" i="1"/>
  <c r="J296" i="1"/>
  <c r="I296" i="1"/>
  <c r="J288" i="1"/>
  <c r="I288" i="1"/>
  <c r="I280" i="1"/>
  <c r="J280" i="1"/>
  <c r="J272" i="1"/>
  <c r="I272" i="1"/>
  <c r="J264" i="1"/>
  <c r="I264" i="1"/>
  <c r="AC264" i="1" s="1"/>
  <c r="J256" i="1"/>
  <c r="I256" i="1"/>
  <c r="J246" i="1"/>
  <c r="I246" i="1"/>
  <c r="AC246" i="1" s="1"/>
  <c r="I237" i="1"/>
  <c r="J237" i="1"/>
  <c r="J229" i="1"/>
  <c r="I229" i="1"/>
  <c r="I220" i="1"/>
  <c r="J220" i="1"/>
  <c r="J212" i="1"/>
  <c r="I212" i="1"/>
  <c r="J204" i="1"/>
  <c r="I204" i="1"/>
  <c r="J196" i="1"/>
  <c r="I196" i="1"/>
  <c r="J188" i="1"/>
  <c r="I188" i="1"/>
  <c r="I180" i="1"/>
  <c r="J180" i="1"/>
  <c r="J172" i="1"/>
  <c r="I172" i="1"/>
  <c r="I164" i="1"/>
  <c r="J164" i="1"/>
  <c r="J156" i="1"/>
  <c r="I156" i="1"/>
  <c r="J148" i="1"/>
  <c r="I148" i="1"/>
  <c r="J140" i="1"/>
  <c r="I140" i="1"/>
  <c r="I132" i="1"/>
  <c r="J132" i="1"/>
  <c r="J124" i="1"/>
  <c r="I124" i="1"/>
  <c r="J116" i="1"/>
  <c r="I116" i="1"/>
  <c r="J108" i="1"/>
  <c r="I108" i="1"/>
  <c r="J100" i="1"/>
  <c r="I100" i="1"/>
  <c r="J92" i="1"/>
  <c r="I92" i="1"/>
  <c r="I84" i="1"/>
  <c r="J84" i="1"/>
  <c r="J76" i="1"/>
  <c r="I76" i="1"/>
  <c r="I68" i="1"/>
  <c r="J68" i="1"/>
  <c r="J60" i="1"/>
  <c r="I60" i="1"/>
  <c r="J6" i="1"/>
  <c r="I6" i="1"/>
  <c r="J45" i="1"/>
  <c r="I45" i="1"/>
  <c r="J37" i="1"/>
  <c r="I37" i="1"/>
  <c r="J29" i="1"/>
  <c r="I29" i="1"/>
  <c r="J21" i="1"/>
  <c r="I21" i="1"/>
  <c r="I13" i="1"/>
  <c r="J13" i="1"/>
  <c r="I410" i="1"/>
  <c r="J410" i="1"/>
  <c r="I402" i="1"/>
  <c r="J402" i="1"/>
  <c r="J394" i="1"/>
  <c r="I394" i="1"/>
  <c r="J386" i="1"/>
  <c r="I386" i="1"/>
  <c r="J376" i="1"/>
  <c r="I376" i="1"/>
  <c r="J367" i="1"/>
  <c r="I367" i="1"/>
  <c r="J359" i="1"/>
  <c r="I359" i="1"/>
  <c r="I351" i="1"/>
  <c r="J351" i="1"/>
  <c r="I343" i="1"/>
  <c r="J343" i="1"/>
  <c r="J335" i="1"/>
  <c r="I335" i="1"/>
  <c r="J327" i="1"/>
  <c r="I327" i="1"/>
  <c r="J319" i="1"/>
  <c r="I319" i="1"/>
  <c r="I311" i="1"/>
  <c r="J311" i="1"/>
  <c r="I303" i="1"/>
  <c r="J303" i="1"/>
  <c r="J295" i="1"/>
  <c r="I295" i="1"/>
  <c r="J287" i="1"/>
  <c r="I287" i="1"/>
  <c r="J279" i="1"/>
  <c r="I279" i="1"/>
  <c r="J271" i="1"/>
  <c r="I271" i="1"/>
  <c r="J263" i="1"/>
  <c r="I263" i="1"/>
  <c r="J254" i="1"/>
  <c r="I254" i="1"/>
  <c r="I245" i="1"/>
  <c r="J245" i="1"/>
  <c r="J236" i="1"/>
  <c r="I236" i="1"/>
  <c r="J228" i="1"/>
  <c r="I228" i="1"/>
  <c r="J219" i="1"/>
  <c r="I219" i="1"/>
  <c r="J211" i="1"/>
  <c r="I211" i="1"/>
  <c r="J203" i="1"/>
  <c r="I203" i="1"/>
  <c r="J195" i="1"/>
  <c r="I195" i="1"/>
  <c r="J187" i="1"/>
  <c r="I187" i="1"/>
  <c r="I179" i="1"/>
  <c r="J179" i="1"/>
  <c r="J171" i="1"/>
  <c r="I171" i="1"/>
  <c r="J163" i="1"/>
  <c r="I163" i="1"/>
  <c r="AC163" i="1" s="1"/>
  <c r="J155" i="1"/>
  <c r="I155" i="1"/>
  <c r="J147" i="1"/>
  <c r="I147" i="1"/>
  <c r="J139" i="1"/>
  <c r="I139" i="1"/>
  <c r="I131" i="1"/>
  <c r="J131" i="1"/>
  <c r="J123" i="1"/>
  <c r="I123" i="1"/>
  <c r="I115" i="1"/>
  <c r="J115" i="1"/>
  <c r="J107" i="1"/>
  <c r="I107" i="1"/>
  <c r="J99" i="1"/>
  <c r="I99" i="1"/>
  <c r="I91" i="1"/>
  <c r="J91" i="1"/>
  <c r="I83" i="1"/>
  <c r="J83" i="1"/>
  <c r="I75" i="1"/>
  <c r="J75" i="1"/>
  <c r="J67" i="1"/>
  <c r="I67" i="1"/>
  <c r="J59" i="1"/>
  <c r="I59" i="1"/>
  <c r="J52" i="1"/>
  <c r="I52" i="1"/>
  <c r="J44" i="1"/>
  <c r="I44" i="1"/>
  <c r="J36" i="1"/>
  <c r="I36" i="1"/>
  <c r="J28" i="1"/>
  <c r="I28" i="1"/>
  <c r="I20" i="1"/>
  <c r="J20" i="1"/>
  <c r="I12" i="1"/>
  <c r="J12" i="1"/>
  <c r="AD12" i="1" s="1"/>
  <c r="J409" i="1"/>
  <c r="I409" i="1"/>
  <c r="J401" i="1"/>
  <c r="I401" i="1"/>
  <c r="J393" i="1"/>
  <c r="I393" i="1"/>
  <c r="I385" i="1"/>
  <c r="J385" i="1"/>
  <c r="J375" i="1"/>
  <c r="I375" i="1"/>
  <c r="J366" i="1"/>
  <c r="I366" i="1"/>
  <c r="I358" i="1"/>
  <c r="J358" i="1"/>
  <c r="J350" i="1"/>
  <c r="I350" i="1"/>
  <c r="J342" i="1"/>
  <c r="I342" i="1"/>
  <c r="J334" i="1"/>
  <c r="I334" i="1"/>
  <c r="J326" i="1"/>
  <c r="I326" i="1"/>
  <c r="J318" i="1"/>
  <c r="I318" i="1"/>
  <c r="J310" i="1"/>
  <c r="I310" i="1"/>
  <c r="J302" i="1"/>
  <c r="I302" i="1"/>
  <c r="J294" i="1"/>
  <c r="I294" i="1"/>
  <c r="J286" i="1"/>
  <c r="I286" i="1"/>
  <c r="J278" i="1"/>
  <c r="I278" i="1"/>
  <c r="J270" i="1"/>
  <c r="I270" i="1"/>
  <c r="J262" i="1"/>
  <c r="I262" i="1"/>
  <c r="J253" i="1"/>
  <c r="I253" i="1"/>
  <c r="J244" i="1"/>
  <c r="I244" i="1"/>
  <c r="AC244" i="1" s="1"/>
  <c r="J235" i="1"/>
  <c r="I235" i="1"/>
  <c r="J227" i="1"/>
  <c r="I227" i="1"/>
  <c r="J218" i="1"/>
  <c r="I218" i="1"/>
  <c r="I210" i="1"/>
  <c r="J210" i="1"/>
  <c r="J202" i="1"/>
  <c r="I202" i="1"/>
  <c r="I194" i="1"/>
  <c r="J194" i="1"/>
  <c r="J186" i="1"/>
  <c r="I186" i="1"/>
  <c r="I178" i="1"/>
  <c r="J178" i="1"/>
  <c r="J170" i="1"/>
  <c r="I170" i="1"/>
  <c r="J162" i="1"/>
  <c r="I162" i="1"/>
  <c r="I154" i="1"/>
  <c r="J154" i="1"/>
  <c r="J146" i="1"/>
  <c r="I146" i="1"/>
  <c r="J138" i="1"/>
  <c r="I138" i="1"/>
  <c r="J130" i="1"/>
  <c r="I130" i="1"/>
  <c r="I122" i="1"/>
  <c r="J122" i="1"/>
  <c r="J114" i="1"/>
  <c r="I114" i="1"/>
  <c r="J106" i="1"/>
  <c r="I106" i="1"/>
  <c r="I98" i="1"/>
  <c r="J98" i="1"/>
  <c r="J90" i="1"/>
  <c r="I90" i="1"/>
  <c r="I82" i="1"/>
  <c r="J82" i="1"/>
  <c r="J74" i="1"/>
  <c r="I74" i="1"/>
  <c r="J66" i="1"/>
  <c r="I66" i="1"/>
  <c r="J58" i="1"/>
  <c r="I58" i="1"/>
  <c r="N174" i="1"/>
  <c r="N110" i="1"/>
  <c r="N249" i="1"/>
  <c r="N290" i="1"/>
  <c r="S278" i="1"/>
  <c r="S277" i="1"/>
  <c r="S388" i="1"/>
  <c r="S380" i="1"/>
  <c r="S180" i="1"/>
  <c r="S148" i="1"/>
  <c r="S93" i="1"/>
  <c r="S145" i="1"/>
  <c r="S386" i="1"/>
  <c r="S178" i="1"/>
  <c r="N225" i="1"/>
  <c r="AC250" i="1"/>
  <c r="N299" i="1"/>
  <c r="N363" i="1"/>
  <c r="AC232" i="1"/>
  <c r="AF80" i="1"/>
  <c r="AC371" i="1"/>
  <c r="AC214" i="1"/>
  <c r="AC182" i="1"/>
  <c r="AD23" i="1"/>
  <c r="N190" i="1"/>
  <c r="N64" i="1"/>
  <c r="N127" i="1"/>
  <c r="AC272" i="1"/>
  <c r="AF263" i="1"/>
  <c r="N376" i="1"/>
  <c r="AC270" i="1"/>
  <c r="AC210" i="1"/>
  <c r="AD19" i="1"/>
  <c r="AC261" i="1"/>
  <c r="AC252" i="1"/>
  <c r="AC234" i="1"/>
  <c r="N338" i="1"/>
  <c r="N386" i="1"/>
  <c r="K384" i="1"/>
  <c r="K368" i="1"/>
  <c r="N258" i="1"/>
  <c r="N360" i="1"/>
  <c r="N346" i="1"/>
  <c r="N321" i="1"/>
  <c r="N241" i="1"/>
  <c r="N205" i="1"/>
  <c r="N306" i="1"/>
  <c r="N256" i="1"/>
  <c r="AE384" i="1"/>
  <c r="AG384" i="1" s="1"/>
  <c r="AB384" i="1" s="1"/>
  <c r="AE368" i="1"/>
  <c r="AG368" i="1" s="1"/>
  <c r="AB368" i="1" s="1"/>
  <c r="N189" i="1"/>
  <c r="N125" i="1"/>
  <c r="N62" i="1"/>
  <c r="N255" i="1"/>
  <c r="AF255" i="1"/>
  <c r="AF251" i="1"/>
  <c r="AF240" i="1"/>
  <c r="K383" i="1"/>
  <c r="AE225" i="1"/>
  <c r="AG225" i="1" s="1"/>
  <c r="AB225" i="1" s="1"/>
  <c r="K225" i="1"/>
  <c r="AG383" i="1"/>
  <c r="AB383" i="1" s="1"/>
  <c r="N384" i="1"/>
  <c r="N368" i="1"/>
  <c r="N311" i="1"/>
  <c r="N339" i="1"/>
  <c r="N275" i="1"/>
  <c r="N188" i="1"/>
  <c r="N371" i="1"/>
  <c r="R309" i="1" l="1"/>
  <c r="S322" i="1"/>
  <c r="S286" i="1"/>
  <c r="S169" i="1"/>
  <c r="S361" i="1"/>
  <c r="R308" i="1"/>
  <c r="S397" i="1"/>
  <c r="S363" i="1"/>
  <c r="S300" i="1"/>
  <c r="S333" i="1"/>
  <c r="S258" i="1"/>
  <c r="S141" i="1"/>
  <c r="S382" i="1"/>
  <c r="R170" i="1"/>
  <c r="S307" i="1"/>
  <c r="S399" i="1"/>
  <c r="S323" i="1"/>
  <c r="S147" i="1"/>
  <c r="S117" i="1"/>
  <c r="S181" i="1"/>
  <c r="S309" i="1"/>
  <c r="R374" i="1"/>
  <c r="S337" i="1"/>
  <c r="S159" i="1"/>
  <c r="S190" i="1"/>
  <c r="S107" i="1"/>
  <c r="R221" i="1"/>
  <c r="S203" i="1"/>
  <c r="S315" i="1"/>
  <c r="R319" i="1"/>
  <c r="S331" i="1"/>
  <c r="S374" i="1"/>
  <c r="S230" i="1"/>
  <c r="R171" i="1"/>
  <c r="R239" i="1"/>
  <c r="R375" i="1"/>
  <c r="R237" i="1"/>
  <c r="R201" i="1"/>
  <c r="R245" i="1"/>
  <c r="N319" i="1"/>
  <c r="N314" i="1"/>
  <c r="N405" i="1"/>
  <c r="N372" i="1"/>
  <c r="N63" i="1"/>
  <c r="N126" i="1"/>
  <c r="N383" i="1"/>
  <c r="N251" i="1"/>
  <c r="N77" i="1"/>
  <c r="R180" i="1"/>
  <c r="R219" i="1"/>
  <c r="N409" i="1"/>
  <c r="N100" i="1"/>
  <c r="R148" i="1"/>
  <c r="R213" i="1"/>
  <c r="R146" i="1"/>
  <c r="R401" i="1"/>
  <c r="R216" i="1"/>
  <c r="R169" i="1"/>
  <c r="R194" i="1"/>
  <c r="N267" i="1"/>
  <c r="N211" i="1"/>
  <c r="N410" i="1"/>
  <c r="N61" i="1"/>
  <c r="N86" i="1"/>
  <c r="N274" i="1"/>
  <c r="N291" i="1"/>
  <c r="R231" i="1"/>
  <c r="R149" i="1"/>
  <c r="R193" i="1"/>
  <c r="R162" i="1"/>
  <c r="R191" i="1"/>
  <c r="N157" i="1"/>
  <c r="N133" i="1"/>
  <c r="N361" i="1"/>
  <c r="R196" i="1"/>
  <c r="R277" i="1"/>
  <c r="S110" i="1"/>
  <c r="R330" i="1"/>
  <c r="S366" i="1"/>
  <c r="S359" i="1"/>
  <c r="R181" i="1"/>
  <c r="R399" i="1"/>
  <c r="R177" i="1"/>
  <c r="N359" i="1"/>
  <c r="N329" i="1"/>
  <c r="N379" i="1"/>
  <c r="N315" i="1"/>
  <c r="N347" i="1"/>
  <c r="N380" i="1"/>
  <c r="S329" i="1"/>
  <c r="R168" i="1"/>
  <c r="R345" i="1"/>
  <c r="R203" i="1"/>
  <c r="S120" i="1"/>
  <c r="S357" i="1"/>
  <c r="R144" i="1"/>
  <c r="R307" i="1"/>
  <c r="R226" i="1"/>
  <c r="R166" i="1"/>
  <c r="R242" i="1"/>
  <c r="S334" i="1"/>
  <c r="R290" i="1"/>
  <c r="R394" i="1"/>
  <c r="R306" i="1"/>
  <c r="R371" i="1"/>
  <c r="R95" i="1"/>
  <c r="R200" i="1"/>
  <c r="R303" i="1"/>
  <c r="R107" i="1"/>
  <c r="R281" i="1"/>
  <c r="R378" i="1"/>
  <c r="R154" i="1"/>
  <c r="R104" i="1"/>
  <c r="R377" i="1"/>
  <c r="S389" i="1"/>
  <c r="R92" i="1"/>
  <c r="S232" i="1"/>
  <c r="S296" i="1"/>
  <c r="S360" i="1"/>
  <c r="R370" i="1"/>
  <c r="R158" i="1"/>
  <c r="S381" i="1"/>
  <c r="R348" i="1"/>
  <c r="R315" i="1"/>
  <c r="S98" i="1"/>
  <c r="R199" i="1"/>
  <c r="R218" i="1"/>
  <c r="R151" i="1"/>
  <c r="R396" i="1"/>
  <c r="R293" i="1"/>
  <c r="S246" i="1"/>
  <c r="S183" i="1"/>
  <c r="R206" i="1"/>
  <c r="S368" i="1"/>
  <c r="R393" i="1"/>
  <c r="R192" i="1"/>
  <c r="R382" i="1"/>
  <c r="R248" i="1"/>
  <c r="R312" i="1"/>
  <c r="R150" i="1"/>
  <c r="S408" i="1"/>
  <c r="R354" i="1"/>
  <c r="R331" i="1"/>
  <c r="R115" i="1"/>
  <c r="R282" i="1"/>
  <c r="R112" i="1"/>
  <c r="S217" i="1"/>
  <c r="S345" i="1"/>
  <c r="R379" i="1"/>
  <c r="S168" i="1"/>
  <c r="S233" i="1"/>
  <c r="S297" i="1"/>
  <c r="R99" i="1"/>
  <c r="S349" i="1"/>
  <c r="S390" i="1"/>
  <c r="R403" i="1"/>
  <c r="R318" i="1"/>
  <c r="R157" i="1"/>
  <c r="R388" i="1"/>
  <c r="R381" i="1"/>
  <c r="S310" i="1"/>
  <c r="R182" i="1"/>
  <c r="R174" i="1"/>
  <c r="R229" i="1"/>
  <c r="R153" i="1"/>
  <c r="R361" i="1"/>
  <c r="R329" i="1"/>
  <c r="R98" i="1"/>
  <c r="R344" i="1"/>
  <c r="R346" i="1"/>
  <c r="R96" i="1"/>
  <c r="R392" i="1"/>
  <c r="R138" i="1"/>
  <c r="R410" i="1"/>
  <c r="R250" i="1"/>
  <c r="R178" i="1"/>
  <c r="N312" i="1"/>
  <c r="N298" i="1"/>
  <c r="N166" i="1"/>
  <c r="N72" i="1"/>
  <c r="N135" i="1"/>
  <c r="S185" i="1"/>
  <c r="R241" i="1"/>
  <c r="R395" i="1"/>
  <c r="R230" i="1"/>
  <c r="R186" i="1"/>
  <c r="R320" i="1"/>
  <c r="R159" i="1"/>
  <c r="S313" i="1"/>
  <c r="S377" i="1"/>
  <c r="R208" i="1"/>
  <c r="S144" i="1"/>
  <c r="S272" i="1"/>
  <c r="S400" i="1"/>
  <c r="R304" i="1"/>
  <c r="R103" i="1"/>
  <c r="R207" i="1"/>
  <c r="R183" i="1"/>
  <c r="R105" i="1"/>
  <c r="N221" i="1"/>
  <c r="R305" i="1"/>
  <c r="R274" i="1"/>
  <c r="S103" i="1"/>
  <c r="S99" i="1"/>
  <c r="S187" i="1"/>
  <c r="R314" i="1"/>
  <c r="R400" i="1"/>
  <c r="R137" i="1"/>
  <c r="S344" i="1"/>
  <c r="R369" i="1"/>
  <c r="R163" i="1"/>
  <c r="R332" i="1"/>
  <c r="R109" i="1"/>
  <c r="R204" i="1"/>
  <c r="R114" i="1"/>
  <c r="R328" i="1"/>
  <c r="R167" i="1"/>
  <c r="R214" i="1"/>
  <c r="R93" i="1"/>
  <c r="R275" i="1"/>
  <c r="R147" i="1"/>
  <c r="R222" i="1"/>
  <c r="R111" i="1"/>
  <c r="R205" i="1"/>
  <c r="R142" i="1"/>
  <c r="R339" i="1"/>
  <c r="R291" i="1"/>
  <c r="R134" i="1"/>
  <c r="R117" i="1"/>
  <c r="R256" i="1"/>
  <c r="R141" i="1"/>
  <c r="R224" i="1"/>
  <c r="R113" i="1"/>
  <c r="R179" i="1"/>
  <c r="R355" i="1"/>
  <c r="R190" i="1"/>
  <c r="Q110" i="1"/>
  <c r="R211" i="1"/>
  <c r="R101" i="1"/>
  <c r="R165" i="1"/>
  <c r="R232" i="1"/>
  <c r="R102" i="1"/>
  <c r="R202" i="1"/>
  <c r="R247" i="1"/>
  <c r="R175" i="1"/>
  <c r="R97" i="1"/>
  <c r="N388" i="1"/>
  <c r="S373" i="1"/>
  <c r="R106" i="1"/>
  <c r="S401" i="1"/>
  <c r="AD357" i="1"/>
  <c r="AF357" i="1" s="1"/>
  <c r="AC226" i="1"/>
  <c r="AE226" i="1" s="1"/>
  <c r="N149" i="1"/>
  <c r="N266" i="1"/>
  <c r="AD121" i="1"/>
  <c r="AF121" i="1" s="1"/>
  <c r="AD252" i="1"/>
  <c r="AF252" i="1" s="1"/>
  <c r="AD129" i="1"/>
  <c r="AF129" i="1" s="1"/>
  <c r="AD211" i="1"/>
  <c r="AF211" i="1" s="1"/>
  <c r="AD261" i="1"/>
  <c r="AF261" i="1" s="1"/>
  <c r="AD302" i="1"/>
  <c r="AF302" i="1" s="1"/>
  <c r="AD234" i="1"/>
  <c r="AF234" i="1" s="1"/>
  <c r="AD254" i="1"/>
  <c r="AF254" i="1" s="1"/>
  <c r="AD237" i="1"/>
  <c r="AF237" i="1" s="1"/>
  <c r="AD336" i="1"/>
  <c r="AF336" i="1" s="1"/>
  <c r="AD273" i="1"/>
  <c r="AF273" i="1" s="1"/>
  <c r="AD118" i="1"/>
  <c r="AF118" i="1" s="1"/>
  <c r="AD214" i="1"/>
  <c r="AF214" i="1" s="1"/>
  <c r="AD248" i="1"/>
  <c r="AF248" i="1" s="1"/>
  <c r="AD127" i="1"/>
  <c r="AF127" i="1" s="1"/>
  <c r="AD182" i="1"/>
  <c r="AF182" i="1" s="1"/>
  <c r="AD269" i="1"/>
  <c r="AF269" i="1" s="1"/>
  <c r="AD301" i="1"/>
  <c r="AF301" i="1" s="1"/>
  <c r="AD244" i="1"/>
  <c r="AF244" i="1" s="1"/>
  <c r="AD123" i="1"/>
  <c r="AF123" i="1" s="1"/>
  <c r="AD272" i="1"/>
  <c r="AF272" i="1" s="1"/>
  <c r="AD199" i="1"/>
  <c r="AF199" i="1" s="1"/>
  <c r="AD232" i="1"/>
  <c r="AF232" i="1" s="1"/>
  <c r="AD267" i="1"/>
  <c r="AF267" i="1" s="1"/>
  <c r="AD233" i="1"/>
  <c r="AF233" i="1" s="1"/>
  <c r="AD268" i="1"/>
  <c r="AF268" i="1" s="1"/>
  <c r="AD264" i="1"/>
  <c r="AF264" i="1" s="1"/>
  <c r="AD122" i="1"/>
  <c r="AF122" i="1" s="1"/>
  <c r="AD212" i="1"/>
  <c r="AF212" i="1" s="1"/>
  <c r="AD126" i="1"/>
  <c r="AF126" i="1" s="1"/>
  <c r="AD235" i="1"/>
  <c r="AF235" i="1" s="1"/>
  <c r="AD270" i="1"/>
  <c r="AF270" i="1" s="1"/>
  <c r="AD243" i="1"/>
  <c r="AF243" i="1" s="1"/>
  <c r="AD131" i="1"/>
  <c r="AF131" i="1" s="1"/>
  <c r="AD246" i="1"/>
  <c r="AF246" i="1" s="1"/>
  <c r="AD247" i="1"/>
  <c r="AF247" i="1" s="1"/>
  <c r="AD198" i="1"/>
  <c r="AF198" i="1" s="1"/>
  <c r="AD266" i="1"/>
  <c r="AF266" i="1" s="1"/>
  <c r="AD143" i="1"/>
  <c r="AF143" i="1" s="1"/>
  <c r="AD271" i="1"/>
  <c r="AF271" i="1" s="1"/>
  <c r="AD220" i="1"/>
  <c r="AF220" i="1" s="1"/>
  <c r="AD288" i="1"/>
  <c r="AF288" i="1" s="1"/>
  <c r="AD125" i="1"/>
  <c r="AF125" i="1" s="1"/>
  <c r="AD241" i="1"/>
  <c r="AF241" i="1" s="1"/>
  <c r="N295" i="1"/>
  <c r="AD130" i="1"/>
  <c r="AF130" i="1" s="1"/>
  <c r="AD262" i="1"/>
  <c r="AF262" i="1" s="1"/>
  <c r="AD294" i="1"/>
  <c r="AF294" i="1" s="1"/>
  <c r="AD124" i="1"/>
  <c r="AF124" i="1" s="1"/>
  <c r="AD257" i="1"/>
  <c r="AF257" i="1" s="1"/>
  <c r="AD250" i="1"/>
  <c r="AF250" i="1" s="1"/>
  <c r="AD227" i="1"/>
  <c r="AF227" i="1" s="1"/>
  <c r="AD85" i="1"/>
  <c r="AF85" i="1" s="1"/>
  <c r="AD239" i="1"/>
  <c r="AF239" i="1" s="1"/>
  <c r="AD119" i="1"/>
  <c r="AF119" i="1" s="1"/>
  <c r="AD120" i="1"/>
  <c r="AF120" i="1" s="1"/>
  <c r="AD164" i="1"/>
  <c r="AF164" i="1" s="1"/>
  <c r="AD265" i="1"/>
  <c r="AF265" i="1" s="1"/>
  <c r="AD215" i="1"/>
  <c r="AF215" i="1" s="1"/>
  <c r="AD224" i="1"/>
  <c r="AF224" i="1" s="1"/>
  <c r="N239" i="1"/>
  <c r="N281" i="1"/>
  <c r="N322" i="1"/>
  <c r="N305" i="1"/>
  <c r="N139" i="1"/>
  <c r="N171" i="1"/>
  <c r="N203" i="1"/>
  <c r="N236" i="1"/>
  <c r="R228" i="1"/>
  <c r="R140" i="1"/>
  <c r="Q365" i="1"/>
  <c r="S284" i="1"/>
  <c r="R261" i="1"/>
  <c r="Q209" i="1"/>
  <c r="S292" i="1"/>
  <c r="S245" i="1"/>
  <c r="S336" i="1"/>
  <c r="AC390" i="1"/>
  <c r="R391" i="1"/>
  <c r="Q145" i="1"/>
  <c r="R220" i="1"/>
  <c r="S225" i="1"/>
  <c r="S123" i="1"/>
  <c r="R189" i="1"/>
  <c r="Q170" i="1"/>
  <c r="R236" i="1"/>
  <c r="S247" i="1"/>
  <c r="S198" i="1"/>
  <c r="S227" i="1"/>
  <c r="S244" i="1"/>
  <c r="Q334" i="1"/>
  <c r="S131" i="1"/>
  <c r="S356" i="1"/>
  <c r="R235" i="1"/>
  <c r="R244" i="1"/>
  <c r="S262" i="1"/>
  <c r="S124" i="1"/>
  <c r="S114" i="1"/>
  <c r="S302" i="1"/>
  <c r="S395" i="1"/>
  <c r="R252" i="1"/>
  <c r="S199" i="1"/>
  <c r="S263" i="1"/>
  <c r="S265" i="1"/>
  <c r="R270" i="1"/>
  <c r="R100" i="1"/>
  <c r="R210" i="1"/>
  <c r="Q389" i="1"/>
  <c r="R234" i="1"/>
  <c r="S273" i="1"/>
  <c r="S102" i="1"/>
  <c r="Q229" i="1"/>
  <c r="S254" i="1"/>
  <c r="R286" i="1"/>
  <c r="R160" i="1"/>
  <c r="Q201" i="1"/>
  <c r="R133" i="1"/>
  <c r="S268" i="1"/>
  <c r="R405" i="1"/>
  <c r="S220" i="1"/>
  <c r="S128" i="1"/>
  <c r="Q136" i="1"/>
  <c r="R176" i="1"/>
  <c r="S224" i="1"/>
  <c r="R249" i="1"/>
  <c r="R116" i="1"/>
  <c r="R215" i="1"/>
  <c r="N163" i="1"/>
  <c r="N146" i="1"/>
  <c r="N178" i="1"/>
  <c r="N210" i="1"/>
  <c r="N76" i="1"/>
  <c r="N107" i="1"/>
  <c r="N124" i="1"/>
  <c r="N398" i="1"/>
  <c r="N131" i="1"/>
  <c r="N320" i="1"/>
  <c r="N286" i="1"/>
  <c r="N362" i="1"/>
  <c r="N397" i="1"/>
  <c r="N377" i="1"/>
  <c r="N75" i="1"/>
  <c r="N199" i="1"/>
  <c r="N92" i="1"/>
  <c r="N123" i="1"/>
  <c r="N155" i="1"/>
  <c r="N187" i="1"/>
  <c r="N219" i="1"/>
  <c r="N204" i="1"/>
  <c r="N411" i="1"/>
  <c r="N140" i="1"/>
  <c r="N137" i="1"/>
  <c r="N169" i="1"/>
  <c r="N106" i="1"/>
  <c r="N296" i="1"/>
  <c r="N272" i="1"/>
  <c r="N282" i="1"/>
  <c r="N74" i="1"/>
  <c r="N105" i="1"/>
  <c r="N304" i="1"/>
  <c r="N94" i="1"/>
  <c r="N70" i="1"/>
  <c r="N280" i="1"/>
  <c r="N344" i="1"/>
  <c r="N345" i="1"/>
  <c r="N392" i="1"/>
  <c r="N341" i="1"/>
  <c r="N138" i="1"/>
  <c r="N170" i="1"/>
  <c r="N202" i="1"/>
  <c r="N235" i="1"/>
  <c r="N162" i="1"/>
  <c r="N407" i="1"/>
  <c r="N145" i="1"/>
  <c r="N177" i="1"/>
  <c r="N83" i="1"/>
  <c r="N114" i="1"/>
  <c r="N350" i="1"/>
  <c r="N58" i="1"/>
  <c r="N218" i="1"/>
  <c r="N277" i="1"/>
  <c r="N57" i="1"/>
  <c r="N387" i="1"/>
  <c r="N403" i="1"/>
  <c r="N84" i="1"/>
  <c r="N115" i="1"/>
  <c r="N147" i="1"/>
  <c r="N328" i="1"/>
  <c r="N395" i="1"/>
  <c r="N191" i="1"/>
  <c r="N230" i="1"/>
  <c r="N337" i="1"/>
  <c r="N248" i="1"/>
  <c r="N330" i="1"/>
  <c r="N354" i="1"/>
  <c r="N389" i="1"/>
  <c r="N323" i="1"/>
  <c r="N408" i="1"/>
  <c r="N271" i="1"/>
  <c r="N303" i="1"/>
  <c r="N335" i="1"/>
  <c r="N367" i="1"/>
  <c r="N68" i="1"/>
  <c r="N228" i="1"/>
  <c r="N391" i="1"/>
  <c r="N264" i="1"/>
  <c r="N284" i="1"/>
  <c r="N233" i="1"/>
  <c r="N121" i="1"/>
  <c r="N292" i="1"/>
  <c r="N324" i="1"/>
  <c r="N185" i="1"/>
  <c r="N217" i="1"/>
  <c r="N250" i="1"/>
  <c r="N373" i="1"/>
  <c r="N336" i="1"/>
  <c r="N66" i="1"/>
  <c r="N193" i="1"/>
  <c r="N73" i="1"/>
  <c r="N120" i="1"/>
  <c r="N192" i="1"/>
  <c r="N216" i="1"/>
  <c r="N308" i="1"/>
  <c r="N340" i="1"/>
  <c r="N399" i="1"/>
  <c r="N201" i="1"/>
  <c r="N234" i="1"/>
  <c r="N269" i="1"/>
  <c r="N333" i="1"/>
  <c r="N402" i="1"/>
  <c r="N90" i="1"/>
  <c r="N253" i="1"/>
  <c r="N270" i="1"/>
  <c r="N130" i="1"/>
  <c r="N294" i="1"/>
  <c r="N317" i="1"/>
  <c r="N316" i="1"/>
  <c r="N209" i="1"/>
  <c r="N243" i="1"/>
  <c r="N400" i="1"/>
  <c r="AD163" i="1"/>
  <c r="AF163" i="1" s="1"/>
  <c r="S241" i="1"/>
  <c r="S228" i="1"/>
  <c r="Q171" i="1"/>
  <c r="S384" i="1"/>
  <c r="S119" i="1"/>
  <c r="S182" i="1"/>
  <c r="R358" i="1"/>
  <c r="S126" i="1"/>
  <c r="AC262" i="1"/>
  <c r="AE262" i="1" s="1"/>
  <c r="S127" i="1"/>
  <c r="S118" i="1"/>
  <c r="S97" i="1"/>
  <c r="S257" i="1"/>
  <c r="S288" i="1"/>
  <c r="S383" i="1"/>
  <c r="Q337" i="1"/>
  <c r="S324" i="1"/>
  <c r="S270" i="1"/>
  <c r="R360" i="1"/>
  <c r="S274" i="1"/>
  <c r="S351" i="1"/>
  <c r="S157" i="1"/>
  <c r="S235" i="1"/>
  <c r="S121" i="1"/>
  <c r="S164" i="1"/>
  <c r="S293" i="1"/>
  <c r="S255" i="1"/>
  <c r="Q319" i="1"/>
  <c r="S252" i="1"/>
  <c r="Q333" i="1"/>
  <c r="R233" i="1"/>
  <c r="S266" i="1"/>
  <c r="S330" i="1"/>
  <c r="R364" i="1"/>
  <c r="S215" i="1"/>
  <c r="S407" i="1"/>
  <c r="S177" i="1"/>
  <c r="S212" i="1"/>
  <c r="Q149" i="1"/>
  <c r="S280" i="1"/>
  <c r="S214" i="1"/>
  <c r="S291" i="1"/>
  <c r="R367" i="1"/>
  <c r="S226" i="1"/>
  <c r="AD111" i="1"/>
  <c r="AF111" i="1" s="1"/>
  <c r="S129" i="1"/>
  <c r="S321" i="1"/>
  <c r="S211" i="1"/>
  <c r="S237" i="1"/>
  <c r="S243" i="1"/>
  <c r="S301" i="1"/>
  <c r="S143" i="1"/>
  <c r="S125" i="1"/>
  <c r="S269" i="1"/>
  <c r="S206" i="1"/>
  <c r="S264" i="1"/>
  <c r="R130" i="1"/>
  <c r="S240" i="1"/>
  <c r="S106" i="1"/>
  <c r="N176" i="1"/>
  <c r="N252" i="1"/>
  <c r="N242" i="1"/>
  <c r="N364" i="1"/>
  <c r="N98" i="1"/>
  <c r="N129" i="1"/>
  <c r="N161" i="1"/>
  <c r="N99" i="1"/>
  <c r="N194" i="1"/>
  <c r="N227" i="1"/>
  <c r="N128" i="1"/>
  <c r="N184" i="1"/>
  <c r="N356" i="1"/>
  <c r="N226" i="1"/>
  <c r="N153" i="1"/>
  <c r="N59" i="1"/>
  <c r="N91" i="1"/>
  <c r="N154" i="1"/>
  <c r="N366" i="1"/>
  <c r="N65" i="1"/>
  <c r="N144" i="1"/>
  <c r="N381" i="1"/>
  <c r="N82" i="1"/>
  <c r="N113" i="1"/>
  <c r="N136" i="1"/>
  <c r="N200" i="1"/>
  <c r="R185" i="1"/>
  <c r="R383" i="1"/>
  <c r="R284" i="1"/>
  <c r="R272" i="1"/>
  <c r="S250" i="1"/>
  <c r="S267" i="1"/>
  <c r="S372" i="1"/>
  <c r="R217" i="1"/>
  <c r="S251" i="1"/>
  <c r="R338" i="1"/>
  <c r="S248" i="1"/>
  <c r="R384" i="1"/>
  <c r="R255" i="1"/>
  <c r="R316" i="1"/>
  <c r="R243" i="1"/>
  <c r="R227" i="1"/>
  <c r="R251" i="1"/>
  <c r="AC266" i="1"/>
  <c r="R127" i="1"/>
  <c r="R246" i="1"/>
  <c r="R292" i="1"/>
  <c r="R264" i="1"/>
  <c r="R372" i="1"/>
  <c r="R353" i="1"/>
  <c r="R132" i="1"/>
  <c r="R321" i="1"/>
  <c r="R263" i="1"/>
  <c r="R240" i="1"/>
  <c r="Q133" i="1"/>
  <c r="S122" i="1"/>
  <c r="R283" i="1"/>
  <c r="S197" i="1"/>
  <c r="S261" i="1"/>
  <c r="S271" i="1"/>
  <c r="S130" i="1"/>
  <c r="S239" i="1"/>
  <c r="S234" i="1"/>
  <c r="J4" i="1"/>
  <c r="I4" i="1"/>
  <c r="Q213" i="1"/>
  <c r="Q375" i="1"/>
  <c r="Q181" i="1"/>
  <c r="K81" i="1"/>
  <c r="K354" i="1"/>
  <c r="K376" i="1"/>
  <c r="K394" i="1"/>
  <c r="K296" i="1"/>
  <c r="K312" i="1"/>
  <c r="K328" i="1"/>
  <c r="K360" i="1"/>
  <c r="K395" i="1"/>
  <c r="K411" i="1"/>
  <c r="K274" i="1"/>
  <c r="K338" i="1"/>
  <c r="K139" i="1"/>
  <c r="K203" i="1"/>
  <c r="Q374" i="1"/>
  <c r="K283" i="1"/>
  <c r="K299" i="1"/>
  <c r="K347" i="1"/>
  <c r="K363" i="1"/>
  <c r="K112" i="1"/>
  <c r="K322" i="1"/>
  <c r="K171" i="1"/>
  <c r="K187" i="1"/>
  <c r="K218" i="1"/>
  <c r="S100" i="1"/>
  <c r="Q402" i="1"/>
  <c r="Q180" i="1"/>
  <c r="Q309" i="1"/>
  <c r="Q107" i="1"/>
  <c r="R209" i="1"/>
  <c r="R155" i="1"/>
  <c r="Q297" i="1"/>
  <c r="Q193" i="1"/>
  <c r="R402" i="1"/>
  <c r="N102" i="1"/>
  <c r="N104" i="1"/>
  <c r="N232" i="1"/>
  <c r="N385" i="1"/>
  <c r="N122" i="1"/>
  <c r="N259" i="1"/>
  <c r="N265" i="1"/>
  <c r="N85" i="1"/>
  <c r="N148" i="1"/>
  <c r="N212" i="1"/>
  <c r="N276" i="1"/>
  <c r="N404" i="1"/>
  <c r="N71" i="1"/>
  <c r="N134" i="1"/>
  <c r="N198" i="1"/>
  <c r="N262" i="1"/>
  <c r="N390" i="1"/>
  <c r="N307" i="1"/>
  <c r="N103" i="1"/>
  <c r="N167" i="1"/>
  <c r="N401" i="1"/>
  <c r="N164" i="1"/>
  <c r="N87" i="1"/>
  <c r="K192" i="1"/>
  <c r="K170" i="1"/>
  <c r="Q399" i="1"/>
  <c r="S259" i="1"/>
  <c r="K344" i="1"/>
  <c r="Q169" i="1"/>
  <c r="K184" i="1"/>
  <c r="K200" i="1"/>
  <c r="K216" i="1"/>
  <c r="K378" i="1"/>
  <c r="K282" i="1"/>
  <c r="K346" i="1"/>
  <c r="K138" i="1"/>
  <c r="K202" i="1"/>
  <c r="Q191" i="1"/>
  <c r="K73" i="1"/>
  <c r="K104" i="1"/>
  <c r="K242" i="1"/>
  <c r="K266" i="1"/>
  <c r="K330" i="1"/>
  <c r="K259" i="1"/>
  <c r="K275" i="1"/>
  <c r="K291" i="1"/>
  <c r="K68" i="1"/>
  <c r="K84" i="1"/>
  <c r="K115" i="1"/>
  <c r="K131" i="1"/>
  <c r="K147" i="1"/>
  <c r="K179" i="1"/>
  <c r="K211" i="1"/>
  <c r="K386" i="1"/>
  <c r="K320" i="1"/>
  <c r="K403" i="1"/>
  <c r="N168" i="1"/>
  <c r="N186" i="1"/>
  <c r="N109" i="1"/>
  <c r="N173" i="1"/>
  <c r="N195" i="1"/>
  <c r="N112" i="1"/>
  <c r="N67" i="1"/>
  <c r="N394" i="1"/>
  <c r="N283" i="1"/>
  <c r="N297" i="1"/>
  <c r="N348" i="1"/>
  <c r="N60" i="1"/>
  <c r="N54" i="1"/>
  <c r="N117" i="1"/>
  <c r="N111" i="1"/>
  <c r="N175" i="1"/>
  <c r="N273" i="1"/>
  <c r="N108" i="1"/>
  <c r="N158" i="1"/>
  <c r="N261" i="1"/>
  <c r="N222" i="1"/>
  <c r="N257" i="1"/>
  <c r="N78" i="1"/>
  <c r="N327" i="1"/>
  <c r="N208" i="1"/>
  <c r="N289" i="1"/>
  <c r="N213" i="1"/>
  <c r="N238" i="1"/>
  <c r="N302" i="1"/>
  <c r="N80" i="1"/>
  <c r="N143" i="1"/>
  <c r="N207" i="1"/>
  <c r="N172" i="1"/>
  <c r="N300" i="1"/>
  <c r="N325" i="1"/>
  <c r="N95" i="1"/>
  <c r="N313" i="1"/>
  <c r="N244" i="1"/>
  <c r="N141" i="1"/>
  <c r="N358" i="1"/>
  <c r="N263" i="1"/>
  <c r="N81" i="1"/>
  <c r="N89" i="1"/>
  <c r="N369" i="1"/>
  <c r="N355" i="1"/>
  <c r="N179" i="1"/>
  <c r="N88" i="1"/>
  <c r="N151" i="1"/>
  <c r="N215" i="1"/>
  <c r="S96" i="1"/>
  <c r="K355" i="1"/>
  <c r="K163" i="1"/>
  <c r="AE163" i="1"/>
  <c r="K195" i="1"/>
  <c r="Q216" i="1"/>
  <c r="K199" i="1"/>
  <c r="AE199" i="1"/>
  <c r="K297" i="1"/>
  <c r="K329" i="1"/>
  <c r="K361" i="1"/>
  <c r="K389" i="1"/>
  <c r="K67" i="1"/>
  <c r="K162" i="1"/>
  <c r="K227" i="1"/>
  <c r="K243" i="1"/>
  <c r="AE243" i="1"/>
  <c r="N150" i="1"/>
  <c r="N214" i="1"/>
  <c r="N278" i="1"/>
  <c r="N342" i="1"/>
  <c r="N406" i="1"/>
  <c r="N56" i="1"/>
  <c r="N119" i="1"/>
  <c r="N183" i="1"/>
  <c r="N247" i="1"/>
  <c r="N375" i="1"/>
  <c r="K388" i="1"/>
  <c r="K193" i="1"/>
  <c r="K209" i="1"/>
  <c r="K290" i="1"/>
  <c r="K83" i="1"/>
  <c r="Q305" i="1"/>
  <c r="K64" i="1"/>
  <c r="K80" i="1"/>
  <c r="K96" i="1"/>
  <c r="K111" i="1"/>
  <c r="K127" i="1"/>
  <c r="K143" i="1"/>
  <c r="K159" i="1"/>
  <c r="K175" i="1"/>
  <c r="K191" i="1"/>
  <c r="K207" i="1"/>
  <c r="K223" i="1"/>
  <c r="K240" i="1"/>
  <c r="AE240" i="1"/>
  <c r="AG240" i="1" s="1"/>
  <c r="AB240" i="1" s="1"/>
  <c r="K208" i="1"/>
  <c r="K305" i="1"/>
  <c r="K337" i="1"/>
  <c r="K370" i="1"/>
  <c r="K250" i="1"/>
  <c r="AE250" i="1"/>
  <c r="K379" i="1"/>
  <c r="K397" i="1"/>
  <c r="R128" i="1"/>
  <c r="AE185" i="1"/>
  <c r="K185" i="1"/>
  <c r="K201" i="1"/>
  <c r="K217" i="1"/>
  <c r="K234" i="1"/>
  <c r="AE234" i="1"/>
  <c r="K59" i="1"/>
  <c r="K75" i="1"/>
  <c r="K91" i="1"/>
  <c r="K154" i="1"/>
  <c r="K244" i="1"/>
  <c r="AE244" i="1"/>
  <c r="K260" i="1"/>
  <c r="K276" i="1"/>
  <c r="K292" i="1"/>
  <c r="K340" i="1"/>
  <c r="K407" i="1"/>
  <c r="K287" i="1"/>
  <c r="K319" i="1"/>
  <c r="K351" i="1"/>
  <c r="K116" i="1"/>
  <c r="K238" i="1"/>
  <c r="S367" i="1"/>
  <c r="S191" i="1"/>
  <c r="S207" i="1"/>
  <c r="K152" i="1"/>
  <c r="K168" i="1"/>
  <c r="K233" i="1"/>
  <c r="K249" i="1"/>
  <c r="K281" i="1"/>
  <c r="K396" i="1"/>
  <c r="K258" i="1"/>
  <c r="K114" i="1"/>
  <c r="K178" i="1"/>
  <c r="K66" i="1"/>
  <c r="K82" i="1"/>
  <c r="K98" i="1"/>
  <c r="K113" i="1"/>
  <c r="K129" i="1"/>
  <c r="K145" i="1"/>
  <c r="K161" i="1"/>
  <c r="K177" i="1"/>
  <c r="K398" i="1"/>
  <c r="K268" i="1"/>
  <c r="AE268" i="1"/>
  <c r="K300" i="1"/>
  <c r="K316" i="1"/>
  <c r="K332" i="1"/>
  <c r="K381" i="1"/>
  <c r="K399" i="1"/>
  <c r="K279" i="1"/>
  <c r="K311" i="1"/>
  <c r="K343" i="1"/>
  <c r="K248" i="1"/>
  <c r="AE264" i="1"/>
  <c r="K264" i="1"/>
  <c r="K56" i="1"/>
  <c r="K72" i="1"/>
  <c r="K88" i="1"/>
  <c r="K103" i="1"/>
  <c r="K119" i="1"/>
  <c r="K135" i="1"/>
  <c r="K151" i="1"/>
  <c r="K167" i="1"/>
  <c r="K183" i="1"/>
  <c r="K215" i="1"/>
  <c r="AE215" i="1"/>
  <c r="K232" i="1"/>
  <c r="AE232" i="1"/>
  <c r="K57" i="1"/>
  <c r="K89" i="1"/>
  <c r="K120" i="1"/>
  <c r="K136" i="1"/>
  <c r="K265" i="1"/>
  <c r="K313" i="1"/>
  <c r="K345" i="1"/>
  <c r="S311" i="1"/>
  <c r="S327" i="1"/>
  <c r="K402" i="1"/>
  <c r="K160" i="1"/>
  <c r="K176" i="1"/>
  <c r="K224" i="1"/>
  <c r="K241" i="1"/>
  <c r="K257" i="1"/>
  <c r="K273" i="1"/>
  <c r="K404" i="1"/>
  <c r="K226" i="1"/>
  <c r="K314" i="1"/>
  <c r="K122" i="1"/>
  <c r="K146" i="1"/>
  <c r="K210" i="1"/>
  <c r="AE210" i="1"/>
  <c r="K366" i="1"/>
  <c r="K385" i="1"/>
  <c r="K401" i="1"/>
  <c r="K71" i="1"/>
  <c r="K102" i="1"/>
  <c r="AE102" i="1"/>
  <c r="K134" i="1"/>
  <c r="K150" i="1"/>
  <c r="K166" i="1"/>
  <c r="K198" i="1"/>
  <c r="K214" i="1"/>
  <c r="AE214" i="1"/>
  <c r="K231" i="1"/>
  <c r="K247" i="1"/>
  <c r="AE247" i="1"/>
  <c r="K54" i="1"/>
  <c r="K70" i="1"/>
  <c r="K86" i="1"/>
  <c r="K133" i="1"/>
  <c r="K149" i="1"/>
  <c r="K65" i="1"/>
  <c r="K97" i="1"/>
  <c r="K128" i="1"/>
  <c r="AE128" i="1"/>
  <c r="K144" i="1"/>
  <c r="K289" i="1"/>
  <c r="K321" i="1"/>
  <c r="K353" i="1"/>
  <c r="K298" i="1"/>
  <c r="K362" i="1"/>
  <c r="K106" i="1"/>
  <c r="K130" i="1"/>
  <c r="K194" i="1"/>
  <c r="K235" i="1"/>
  <c r="AE251" i="1"/>
  <c r="AG251" i="1" s="1"/>
  <c r="AB251" i="1" s="1"/>
  <c r="K251" i="1"/>
  <c r="K267" i="1"/>
  <c r="K315" i="1"/>
  <c r="K331" i="1"/>
  <c r="K380" i="1"/>
  <c r="K60" i="1"/>
  <c r="K92" i="1"/>
  <c r="K107" i="1"/>
  <c r="K123" i="1"/>
  <c r="K219" i="1"/>
  <c r="K236" i="1"/>
  <c r="K252" i="1"/>
  <c r="AE252" i="1"/>
  <c r="K284" i="1"/>
  <c r="K348" i="1"/>
  <c r="K364" i="1"/>
  <c r="K263" i="1"/>
  <c r="K295" i="1"/>
  <c r="K327" i="1"/>
  <c r="K359" i="1"/>
  <c r="K280" i="1"/>
  <c r="K254" i="1"/>
  <c r="K55" i="1"/>
  <c r="AE55" i="1"/>
  <c r="K87" i="1"/>
  <c r="K118" i="1"/>
  <c r="K182" i="1"/>
  <c r="AE182" i="1"/>
  <c r="K101" i="1"/>
  <c r="K117" i="1"/>
  <c r="K165" i="1"/>
  <c r="K76" i="1"/>
  <c r="K155" i="1"/>
  <c r="K377" i="1"/>
  <c r="K140" i="1"/>
  <c r="K156" i="1"/>
  <c r="K204" i="1"/>
  <c r="K253" i="1"/>
  <c r="K269" i="1"/>
  <c r="K285" i="1"/>
  <c r="K301" i="1"/>
  <c r="K317" i="1"/>
  <c r="K333" i="1"/>
  <c r="K349" i="1"/>
  <c r="K365" i="1"/>
  <c r="K382" i="1"/>
  <c r="K61" i="1"/>
  <c r="K77" i="1"/>
  <c r="K93" i="1"/>
  <c r="K108" i="1"/>
  <c r="K124" i="1"/>
  <c r="K188" i="1"/>
  <c r="K220" i="1"/>
  <c r="K237" i="1"/>
  <c r="K400" i="1"/>
  <c r="K197" i="1"/>
  <c r="K213" i="1"/>
  <c r="K230" i="1"/>
  <c r="K262" i="1"/>
  <c r="K278" i="1"/>
  <c r="K294" i="1"/>
  <c r="K310" i="1"/>
  <c r="K326" i="1"/>
  <c r="K342" i="1"/>
  <c r="K358" i="1"/>
  <c r="K375" i="1"/>
  <c r="K393" i="1"/>
  <c r="S134" i="1"/>
  <c r="K306" i="1"/>
  <c r="K371" i="1"/>
  <c r="AE371" i="1"/>
  <c r="K405" i="1"/>
  <c r="K99" i="1"/>
  <c r="K58" i="1"/>
  <c r="K74" i="1"/>
  <c r="K90" i="1"/>
  <c r="K105" i="1"/>
  <c r="K121" i="1"/>
  <c r="K137" i="1"/>
  <c r="K153" i="1"/>
  <c r="K169" i="1"/>
  <c r="K307" i="1"/>
  <c r="K323" i="1"/>
  <c r="K339" i="1"/>
  <c r="K372" i="1"/>
  <c r="AE372" i="1"/>
  <c r="K390" i="1"/>
  <c r="K406" i="1"/>
  <c r="K308" i="1"/>
  <c r="K324" i="1"/>
  <c r="K356" i="1"/>
  <c r="K373" i="1"/>
  <c r="K391" i="1"/>
  <c r="K271" i="1"/>
  <c r="K303" i="1"/>
  <c r="K335" i="1"/>
  <c r="K367" i="1"/>
  <c r="AE272" i="1"/>
  <c r="K272" i="1"/>
  <c r="K288" i="1"/>
  <c r="K304" i="1"/>
  <c r="K336" i="1"/>
  <c r="K352" i="1"/>
  <c r="K369" i="1"/>
  <c r="K387" i="1"/>
  <c r="K172" i="1"/>
  <c r="K246" i="1"/>
  <c r="AE246" i="1"/>
  <c r="K79" i="1"/>
  <c r="K142" i="1"/>
  <c r="K158" i="1"/>
  <c r="K206" i="1"/>
  <c r="K222" i="1"/>
  <c r="K239" i="1"/>
  <c r="K255" i="1"/>
  <c r="AE255" i="1"/>
  <c r="AG255" i="1" s="1"/>
  <c r="AB255" i="1" s="1"/>
  <c r="K62" i="1"/>
  <c r="K78" i="1"/>
  <c r="K94" i="1"/>
  <c r="K109" i="1"/>
  <c r="K125" i="1"/>
  <c r="K141" i="1"/>
  <c r="K157" i="1"/>
  <c r="K173" i="1"/>
  <c r="K181" i="1"/>
  <c r="K63" i="1"/>
  <c r="K95" i="1"/>
  <c r="K110" i="1"/>
  <c r="K126" i="1"/>
  <c r="K174" i="1"/>
  <c r="K186" i="1"/>
  <c r="K100" i="1"/>
  <c r="AE228" i="1"/>
  <c r="K228" i="1"/>
  <c r="K410" i="1"/>
  <c r="K256" i="1"/>
  <c r="K148" i="1"/>
  <c r="K212" i="1"/>
  <c r="K229" i="1"/>
  <c r="K261" i="1"/>
  <c r="AE261" i="1"/>
  <c r="K277" i="1"/>
  <c r="K309" i="1"/>
  <c r="K325" i="1"/>
  <c r="K341" i="1"/>
  <c r="K374" i="1"/>
  <c r="K392" i="1"/>
  <c r="S375" i="1"/>
  <c r="K409" i="1"/>
  <c r="K190" i="1"/>
  <c r="K53" i="1"/>
  <c r="K69" i="1"/>
  <c r="K85" i="1"/>
  <c r="K132" i="1"/>
  <c r="K164" i="1"/>
  <c r="K180" i="1"/>
  <c r="K196" i="1"/>
  <c r="K245" i="1"/>
  <c r="K293" i="1"/>
  <c r="K357" i="1"/>
  <c r="K408" i="1"/>
  <c r="K189" i="1"/>
  <c r="K205" i="1"/>
  <c r="K221" i="1"/>
  <c r="K270" i="1"/>
  <c r="AE270" i="1"/>
  <c r="K286" i="1"/>
  <c r="K302" i="1"/>
  <c r="K318" i="1"/>
  <c r="K334" i="1"/>
  <c r="K350" i="1"/>
  <c r="N237" i="1"/>
  <c r="N301" i="1"/>
  <c r="N365" i="1"/>
  <c r="N240" i="1"/>
  <c r="N393" i="1"/>
  <c r="N93" i="1"/>
  <c r="N156" i="1"/>
  <c r="N220" i="1"/>
  <c r="N181" i="1"/>
  <c r="N245" i="1"/>
  <c r="N309" i="1"/>
  <c r="N79" i="1"/>
  <c r="N142" i="1"/>
  <c r="N206" i="1"/>
  <c r="N334" i="1"/>
  <c r="N197" i="1"/>
  <c r="N53" i="1"/>
  <c r="N116" i="1"/>
  <c r="N180" i="1"/>
  <c r="N152" i="1"/>
  <c r="N370" i="1"/>
  <c r="N69" i="1"/>
  <c r="N132" i="1"/>
  <c r="N196" i="1"/>
  <c r="N260" i="1"/>
  <c r="N285" i="1"/>
  <c r="N349" i="1"/>
  <c r="N55" i="1"/>
  <c r="N118" i="1"/>
  <c r="N182" i="1"/>
  <c r="N246" i="1"/>
  <c r="N310" i="1"/>
  <c r="N374" i="1"/>
  <c r="N279" i="1"/>
  <c r="N343" i="1"/>
  <c r="N97" i="1"/>
  <c r="N160" i="1"/>
  <c r="N224" i="1"/>
  <c r="N288" i="1"/>
  <c r="N352" i="1"/>
  <c r="N353" i="1"/>
  <c r="N378" i="1"/>
  <c r="N268" i="1"/>
  <c r="N332" i="1"/>
  <c r="N396" i="1"/>
  <c r="N331" i="1"/>
  <c r="N101" i="1"/>
  <c r="N165" i="1"/>
  <c r="N229" i="1"/>
  <c r="N293" i="1"/>
  <c r="N357" i="1"/>
  <c r="N254" i="1"/>
  <c r="N318" i="1"/>
  <c r="N382" i="1"/>
  <c r="N96" i="1"/>
  <c r="N159" i="1"/>
  <c r="N223" i="1"/>
  <c r="N287" i="1"/>
  <c r="N351" i="1"/>
  <c r="N326" i="1"/>
  <c r="N231" i="1"/>
  <c r="Q92" i="1" l="1"/>
  <c r="Q154" i="1"/>
  <c r="Q134" i="1"/>
  <c r="Q162" i="1"/>
  <c r="Q153" i="1"/>
  <c r="Q112" i="1"/>
  <c r="Q277" i="1"/>
  <c r="Q148" i="1"/>
  <c r="Q178" i="1"/>
  <c r="Q377" i="1"/>
  <c r="Q103" i="1"/>
  <c r="Q183" i="1"/>
  <c r="Q158" i="1"/>
  <c r="Q307" i="1"/>
  <c r="Q203" i="1"/>
  <c r="Q382" i="1"/>
  <c r="Q98" i="1"/>
  <c r="Q144" i="1"/>
  <c r="Q331" i="1"/>
  <c r="Q168" i="1"/>
  <c r="Q381" i="1"/>
  <c r="Q230" i="1"/>
  <c r="Q348" i="1"/>
  <c r="AG234" i="1"/>
  <c r="AB234" i="1" s="1"/>
  <c r="Q128" i="1"/>
  <c r="Q245" i="1"/>
  <c r="Q222" i="1"/>
  <c r="Q166" i="1"/>
  <c r="Q117" i="1"/>
  <c r="Q186" i="1"/>
  <c r="Q190" i="1"/>
  <c r="Q401" i="1"/>
  <c r="AC345" i="1"/>
  <c r="AE345" i="1" s="1"/>
  <c r="AG246" i="1"/>
  <c r="AB246" i="1" s="1"/>
  <c r="Q96" i="1"/>
  <c r="AG244" i="1"/>
  <c r="AB244" i="1" s="1"/>
  <c r="Q395" i="1"/>
  <c r="Q225" i="1"/>
  <c r="Q200" i="1"/>
  <c r="Q147" i="1"/>
  <c r="Q390" i="1"/>
  <c r="Q304" i="1"/>
  <c r="Q99" i="1"/>
  <c r="Q361" i="1"/>
  <c r="Q93" i="1"/>
  <c r="Q392" i="1"/>
  <c r="Q137" i="1"/>
  <c r="Q159" i="1"/>
  <c r="Q100" i="1"/>
  <c r="Q391" i="1"/>
  <c r="Q344" i="1"/>
  <c r="Q388" i="1"/>
  <c r="Q281" i="1"/>
  <c r="Q106" i="1"/>
  <c r="AC293" i="1"/>
  <c r="AE293" i="1" s="1"/>
  <c r="R110" i="1"/>
  <c r="Q354" i="1"/>
  <c r="Q113" i="1"/>
  <c r="S166" i="1"/>
  <c r="Q315" i="1"/>
  <c r="Q346" i="1"/>
  <c r="Q207" i="1"/>
  <c r="Q109" i="1"/>
  <c r="Q345" i="1"/>
  <c r="Q329" i="1"/>
  <c r="AC314" i="1"/>
  <c r="AC393" i="1"/>
  <c r="AE393" i="1" s="1"/>
  <c r="Q369" i="1"/>
  <c r="Q161" i="1"/>
  <c r="Q328" i="1"/>
  <c r="Q205" i="1"/>
  <c r="Q141" i="1"/>
  <c r="AC113" i="1"/>
  <c r="AE113" i="1" s="1"/>
  <c r="Q138" i="1"/>
  <c r="Q286" i="1"/>
  <c r="Q105" i="1"/>
  <c r="Q220" i="1"/>
  <c r="AC105" i="1"/>
  <c r="AE105" i="1" s="1"/>
  <c r="S163" i="1"/>
  <c r="Q174" i="1"/>
  <c r="R337" i="1"/>
  <c r="AG215" i="1"/>
  <c r="AB215" i="1" s="1"/>
  <c r="Q224" i="1"/>
  <c r="Q187" i="1"/>
  <c r="AC403" i="1"/>
  <c r="AE403" i="1" s="1"/>
  <c r="Q320" i="1"/>
  <c r="Q102" i="1"/>
  <c r="Q188" i="1"/>
  <c r="Q185" i="1"/>
  <c r="AC222" i="1"/>
  <c r="AE222" i="1" s="1"/>
  <c r="AC111" i="1"/>
  <c r="AE111" i="1" s="1"/>
  <c r="AG111" i="1" s="1"/>
  <c r="AB111" i="1" s="1"/>
  <c r="Q252" i="1"/>
  <c r="Q356" i="1"/>
  <c r="S200" i="1"/>
  <c r="Q268" i="1"/>
  <c r="Q198" i="1"/>
  <c r="Q150" i="1"/>
  <c r="AD349" i="1"/>
  <c r="Q400" i="1"/>
  <c r="AG199" i="1"/>
  <c r="AB199" i="1" s="1"/>
  <c r="Q199" i="1"/>
  <c r="S111" i="1"/>
  <c r="Q163" i="1"/>
  <c r="AC150" i="1"/>
  <c r="AE150" i="1" s="1"/>
  <c r="AC142" i="1"/>
  <c r="AE142" i="1" s="1"/>
  <c r="R390" i="1"/>
  <c r="Q111" i="1"/>
  <c r="AG243" i="1"/>
  <c r="AB243" i="1" s="1"/>
  <c r="Q232" i="1"/>
  <c r="Q247" i="1"/>
  <c r="Q140" i="1"/>
  <c r="AC204" i="1"/>
  <c r="AE204" i="1" s="1"/>
  <c r="R376" i="1"/>
  <c r="AC376" i="1"/>
  <c r="AE376" i="1" s="1"/>
  <c r="Q244" i="1"/>
  <c r="Q114" i="1"/>
  <c r="Q376" i="1"/>
  <c r="Q214" i="1"/>
  <c r="Q256" i="1"/>
  <c r="Q343" i="1"/>
  <c r="Q160" i="1"/>
  <c r="Q236" i="1"/>
  <c r="Q262" i="1"/>
  <c r="R262" i="1"/>
  <c r="AG247" i="1"/>
  <c r="AB247" i="1" s="1"/>
  <c r="AG214" i="1"/>
  <c r="AB214" i="1" s="1"/>
  <c r="AG252" i="1"/>
  <c r="AB252" i="1" s="1"/>
  <c r="AG264" i="1"/>
  <c r="AB264" i="1" s="1"/>
  <c r="AG182" i="1"/>
  <c r="AB182" i="1" s="1"/>
  <c r="AG232" i="1"/>
  <c r="AB232" i="1" s="1"/>
  <c r="AG250" i="1"/>
  <c r="AB250" i="1" s="1"/>
  <c r="S218" i="1"/>
  <c r="R359" i="1"/>
  <c r="R317" i="1"/>
  <c r="R265" i="1"/>
  <c r="AC265" i="1"/>
  <c r="AE265" i="1" s="1"/>
  <c r="AG265" i="1" s="1"/>
  <c r="AB265" i="1" s="1"/>
  <c r="R118" i="1"/>
  <c r="S325" i="1"/>
  <c r="R325" i="1"/>
  <c r="R366" i="1"/>
  <c r="S112" i="1"/>
  <c r="S392" i="1"/>
  <c r="S236" i="1"/>
  <c r="R271" i="1"/>
  <c r="AC271" i="1"/>
  <c r="AE271" i="1" s="1"/>
  <c r="AG271" i="1" s="1"/>
  <c r="AB271" i="1" s="1"/>
  <c r="S316" i="1"/>
  <c r="S92" i="1"/>
  <c r="S208" i="1"/>
  <c r="S172" i="1"/>
  <c r="S105" i="1"/>
  <c r="AD105" i="1"/>
  <c r="AF105" i="1" s="1"/>
  <c r="R125" i="1"/>
  <c r="S335" i="1"/>
  <c r="AD335" i="1"/>
  <c r="AF335" i="1" s="1"/>
  <c r="S184" i="1"/>
  <c r="S352" i="1"/>
  <c r="AD352" i="1"/>
  <c r="AF352" i="1" s="1"/>
  <c r="R398" i="1"/>
  <c r="AC398" i="1"/>
  <c r="AE398" i="1" s="1"/>
  <c r="R347" i="1"/>
  <c r="R257" i="1"/>
  <c r="AC257" i="1"/>
  <c r="AE257" i="1" s="1"/>
  <c r="R352" i="1"/>
  <c r="AC352" i="1"/>
  <c r="AE352" i="1" s="1"/>
  <c r="R341" i="1"/>
  <c r="S411" i="1"/>
  <c r="S379" i="1"/>
  <c r="R311" i="1"/>
  <c r="S358" i="1"/>
  <c r="S406" i="1"/>
  <c r="S173" i="1"/>
  <c r="S175" i="1"/>
  <c r="R173" i="1"/>
  <c r="S142" i="1"/>
  <c r="S276" i="1"/>
  <c r="Q151" i="1"/>
  <c r="S132" i="1"/>
  <c r="Q287" i="1"/>
  <c r="S393" i="1"/>
  <c r="AD393" i="1"/>
  <c r="AF393" i="1" s="1"/>
  <c r="S340" i="1"/>
  <c r="S354" i="1"/>
  <c r="S201" i="1"/>
  <c r="R238" i="1"/>
  <c r="AC238" i="1"/>
  <c r="AE238" i="1" s="1"/>
  <c r="S205" i="1"/>
  <c r="R285" i="1"/>
  <c r="S282" i="1"/>
  <c r="R131" i="1"/>
  <c r="S194" i="1"/>
  <c r="R124" i="1"/>
  <c r="R380" i="1"/>
  <c r="R184" i="1"/>
  <c r="AC184" i="1"/>
  <c r="AE184" i="1" s="1"/>
  <c r="R119" i="1"/>
  <c r="R123" i="1"/>
  <c r="R253" i="1"/>
  <c r="AC253" i="1"/>
  <c r="AE253" i="1" s="1"/>
  <c r="S189" i="1"/>
  <c r="S146" i="1"/>
  <c r="S108" i="1"/>
  <c r="S387" i="1"/>
  <c r="R299" i="1"/>
  <c r="AC299" i="1"/>
  <c r="AE299" i="1" s="1"/>
  <c r="S338" i="1"/>
  <c r="S231" i="1"/>
  <c r="S312" i="1"/>
  <c r="S160" i="1"/>
  <c r="S196" i="1"/>
  <c r="R188" i="1"/>
  <c r="S186" i="1"/>
  <c r="R351" i="1"/>
  <c r="AC351" i="1"/>
  <c r="AE351" i="1" s="1"/>
  <c r="S229" i="1"/>
  <c r="R287" i="1"/>
  <c r="AC287" i="1"/>
  <c r="AE287" i="1" s="1"/>
  <c r="R156" i="1"/>
  <c r="R334" i="1"/>
  <c r="AC334" i="1"/>
  <c r="AE334" i="1" s="1"/>
  <c r="S253" i="1"/>
  <c r="AD253" i="1"/>
  <c r="AF253" i="1" s="1"/>
  <c r="S409" i="1"/>
  <c r="R298" i="1"/>
  <c r="S365" i="1"/>
  <c r="R356" i="1"/>
  <c r="AC391" i="1"/>
  <c r="AE391" i="1" s="1"/>
  <c r="AC405" i="1"/>
  <c r="AE405" i="1" s="1"/>
  <c r="AC286" i="1"/>
  <c r="AC133" i="1"/>
  <c r="AE133" i="1" s="1"/>
  <c r="R336" i="1"/>
  <c r="R122" i="1"/>
  <c r="S308" i="1"/>
  <c r="S396" i="1"/>
  <c r="R323" i="1"/>
  <c r="AC323" i="1"/>
  <c r="AE323" i="1" s="1"/>
  <c r="S289" i="1"/>
  <c r="S116" i="1"/>
  <c r="Q291" i="1"/>
  <c r="R276" i="1"/>
  <c r="S371" i="1"/>
  <c r="S221" i="1"/>
  <c r="S167" i="1"/>
  <c r="S285" i="1"/>
  <c r="AD285" i="1"/>
  <c r="AF285" i="1" s="1"/>
  <c r="S195" i="1"/>
  <c r="AD195" i="1"/>
  <c r="AF195" i="1" s="1"/>
  <c r="Q135" i="1"/>
  <c r="S115" i="1"/>
  <c r="S370" i="1"/>
  <c r="S101" i="1"/>
  <c r="R136" i="1"/>
  <c r="R260" i="1"/>
  <c r="S174" i="1"/>
  <c r="R389" i="1"/>
  <c r="AC389" i="1"/>
  <c r="R94" i="1"/>
  <c r="S188" i="1"/>
  <c r="R195" i="1"/>
  <c r="AC195" i="1"/>
  <c r="AE195" i="1" s="1"/>
  <c r="S209" i="1"/>
  <c r="R187" i="1"/>
  <c r="R269" i="1"/>
  <c r="AC269" i="1"/>
  <c r="AE269" i="1" s="1"/>
  <c r="AG269" i="1" s="1"/>
  <c r="AB269" i="1" s="1"/>
  <c r="S339" i="1"/>
  <c r="S223" i="1"/>
  <c r="Q313" i="1"/>
  <c r="R310" i="1"/>
  <c r="R302" i="1"/>
  <c r="R121" i="1"/>
  <c r="R126" i="1"/>
  <c r="AC267" i="1"/>
  <c r="AE267" i="1" s="1"/>
  <c r="AG267" i="1" s="1"/>
  <c r="AB267" i="1" s="1"/>
  <c r="R404" i="1"/>
  <c r="AC404" i="1"/>
  <c r="R280" i="1"/>
  <c r="AC280" i="1"/>
  <c r="S347" i="1"/>
  <c r="R406" i="1"/>
  <c r="R273" i="1"/>
  <c r="AC273" i="1"/>
  <c r="AE273" i="1" s="1"/>
  <c r="AG273" i="1" s="1"/>
  <c r="AB273" i="1" s="1"/>
  <c r="R397" i="1"/>
  <c r="R300" i="1"/>
  <c r="AC258" i="1"/>
  <c r="AE258" i="1" s="1"/>
  <c r="S219" i="1"/>
  <c r="R288" i="1"/>
  <c r="R373" i="1"/>
  <c r="S318" i="1"/>
  <c r="S176" i="1"/>
  <c r="S343" i="1"/>
  <c r="S394" i="1"/>
  <c r="S210" i="1"/>
  <c r="S342" i="1"/>
  <c r="R278" i="1"/>
  <c r="S306" i="1"/>
  <c r="R289" i="1"/>
  <c r="R108" i="1"/>
  <c r="AC108" i="1"/>
  <c r="AE108" i="1" s="1"/>
  <c r="R198" i="1"/>
  <c r="R343" i="1"/>
  <c r="S256" i="1"/>
  <c r="R279" i="1"/>
  <c r="AC279" i="1"/>
  <c r="AE279" i="1" s="1"/>
  <c r="R411" i="1"/>
  <c r="AC411" i="1"/>
  <c r="AE411" i="1" s="1"/>
  <c r="S222" i="1"/>
  <c r="S295" i="1"/>
  <c r="AD295" i="1"/>
  <c r="AF295" i="1" s="1"/>
  <c r="S202" i="1"/>
  <c r="R357" i="1"/>
  <c r="R409" i="1"/>
  <c r="AC409" i="1"/>
  <c r="AE409" i="1" s="1"/>
  <c r="R386" i="1"/>
  <c r="S155" i="1"/>
  <c r="R295" i="1"/>
  <c r="AC295" i="1"/>
  <c r="S298" i="1"/>
  <c r="S332" i="1"/>
  <c r="S238" i="1"/>
  <c r="S364" i="1"/>
  <c r="S149" i="1"/>
  <c r="S398" i="1"/>
  <c r="AD398" i="1"/>
  <c r="AF398" i="1" s="1"/>
  <c r="R362" i="1"/>
  <c r="S165" i="1"/>
  <c r="R326" i="1"/>
  <c r="S156" i="1"/>
  <c r="R172" i="1"/>
  <c r="S353" i="1"/>
  <c r="S260" i="1"/>
  <c r="S346" i="1"/>
  <c r="S171" i="1"/>
  <c r="S410" i="1"/>
  <c r="S249" i="1"/>
  <c r="R143" i="1"/>
  <c r="AC143" i="1"/>
  <c r="AE143" i="1" s="1"/>
  <c r="AG143" i="1" s="1"/>
  <c r="AB143" i="1" s="1"/>
  <c r="R301" i="1"/>
  <c r="S385" i="1"/>
  <c r="R296" i="1"/>
  <c r="R152" i="1"/>
  <c r="AC152" i="1"/>
  <c r="AE152" i="1" s="1"/>
  <c r="R350" i="1"/>
  <c r="R340" i="1"/>
  <c r="S150" i="1"/>
  <c r="AD150" i="1"/>
  <c r="AF150" i="1" s="1"/>
  <c r="R322" i="1"/>
  <c r="S299" i="1"/>
  <c r="R139" i="1"/>
  <c r="R349" i="1"/>
  <c r="R363" i="1"/>
  <c r="R120" i="1"/>
  <c r="S290" i="1"/>
  <c r="S139" i="1"/>
  <c r="R335" i="1"/>
  <c r="AC335" i="1"/>
  <c r="AE335" i="1" s="1"/>
  <c r="R327" i="1"/>
  <c r="S104" i="1"/>
  <c r="R197" i="1"/>
  <c r="S320" i="1"/>
  <c r="Q95" i="1"/>
  <c r="S192" i="1"/>
  <c r="S404" i="1"/>
  <c r="Q279" i="1"/>
  <c r="R333" i="1"/>
  <c r="AC333" i="1"/>
  <c r="S179" i="1"/>
  <c r="S152" i="1"/>
  <c r="S314" i="1"/>
  <c r="S378" i="1"/>
  <c r="R324" i="1"/>
  <c r="R408" i="1"/>
  <c r="S204" i="1"/>
  <c r="R135" i="1"/>
  <c r="R161" i="1"/>
  <c r="S158" i="1"/>
  <c r="R407" i="1"/>
  <c r="R212" i="1"/>
  <c r="AC160" i="1"/>
  <c r="AC132" i="1"/>
  <c r="AE132" i="1" s="1"/>
  <c r="AD326" i="1"/>
  <c r="AF326" i="1" s="1"/>
  <c r="AD245" i="1"/>
  <c r="AF245" i="1" s="1"/>
  <c r="R385" i="1"/>
  <c r="AC385" i="1"/>
  <c r="AE385" i="1" s="1"/>
  <c r="S362" i="1"/>
  <c r="S242" i="1"/>
  <c r="R259" i="1"/>
  <c r="R129" i="1"/>
  <c r="R294" i="1"/>
  <c r="R254" i="1"/>
  <c r="S275" i="1"/>
  <c r="R342" i="1"/>
  <c r="AC342" i="1"/>
  <c r="AE342" i="1" s="1"/>
  <c r="S355" i="1"/>
  <c r="Q303" i="1"/>
  <c r="S281" i="1"/>
  <c r="S94" i="1"/>
  <c r="S403" i="1"/>
  <c r="Q351" i="1"/>
  <c r="S109" i="1"/>
  <c r="S328" i="1"/>
  <c r="S140" i="1"/>
  <c r="S161" i="1"/>
  <c r="R223" i="1"/>
  <c r="S170" i="1"/>
  <c r="R145" i="1"/>
  <c r="AC145" i="1"/>
  <c r="AE145" i="1" s="1"/>
  <c r="R164" i="1"/>
  <c r="AD128" i="1"/>
  <c r="Q175" i="1"/>
  <c r="Q408" i="1"/>
  <c r="Q142" i="1"/>
  <c r="Q249" i="1"/>
  <c r="Q296" i="1"/>
  <c r="Q177" i="1"/>
  <c r="Q379" i="1"/>
  <c r="Q204" i="1"/>
  <c r="Q350" i="1"/>
  <c r="Q322" i="1"/>
  <c r="Q260" i="1"/>
  <c r="Q405" i="1"/>
  <c r="Q116" i="1"/>
  <c r="S326" i="1"/>
  <c r="Q131" i="1"/>
  <c r="Q366" i="1"/>
  <c r="Q253" i="1"/>
  <c r="Q312" i="1"/>
  <c r="Q290" i="1"/>
  <c r="Q233" i="1"/>
  <c r="Q275" i="1"/>
  <c r="Q363" i="1"/>
  <c r="Q336" i="1"/>
  <c r="Q301" i="1"/>
  <c r="Q393" i="1"/>
  <c r="S279" i="1"/>
  <c r="Q270" i="1"/>
  <c r="Q212" i="1"/>
  <c r="S135" i="1"/>
  <c r="Q238" i="1"/>
  <c r="Q221" i="1"/>
  <c r="Q125" i="1"/>
  <c r="Q300" i="1"/>
  <c r="Q340" i="1"/>
  <c r="Q120" i="1"/>
  <c r="R258" i="1"/>
  <c r="R225" i="1"/>
  <c r="S303" i="1"/>
  <c r="Q258" i="1"/>
  <c r="Q398" i="1"/>
  <c r="Q396" i="1"/>
  <c r="R268" i="1"/>
  <c r="S287" i="1"/>
  <c r="Q292" i="1"/>
  <c r="Q384" i="1"/>
  <c r="Q358" i="1"/>
  <c r="Q293" i="1"/>
  <c r="Q217" i="1"/>
  <c r="Q172" i="1"/>
  <c r="Q254" i="1"/>
  <c r="S95" i="1"/>
  <c r="Q324" i="1"/>
  <c r="Q273" i="1"/>
  <c r="Q332" i="1"/>
  <c r="Q104" i="1"/>
  <c r="Q403" i="1"/>
  <c r="Q285" i="1"/>
  <c r="Q367" i="1"/>
  <c r="Q248" i="1"/>
  <c r="Q370" i="1"/>
  <c r="Q308" i="1"/>
  <c r="Q164" i="1"/>
  <c r="Q371" i="1"/>
  <c r="Q208" i="1"/>
  <c r="Q182" i="1"/>
  <c r="Q289" i="1"/>
  <c r="Q173" i="1"/>
  <c r="Q231" i="1"/>
  <c r="Q241" i="1"/>
  <c r="Q206" i="1"/>
  <c r="Q143" i="1"/>
  <c r="Q298" i="1"/>
  <c r="Q383" i="1"/>
  <c r="Q295" i="1"/>
  <c r="Q330" i="1"/>
  <c r="Q196" i="1"/>
  <c r="Q139" i="1"/>
  <c r="Q126" i="1"/>
  <c r="Q387" i="1"/>
  <c r="Q211" i="1"/>
  <c r="Q338" i="1"/>
  <c r="Q226" i="1"/>
  <c r="Q299" i="1"/>
  <c r="Q227" i="1"/>
  <c r="Q165" i="1"/>
  <c r="Q155" i="1"/>
  <c r="Q264" i="1"/>
  <c r="Q123" i="1"/>
  <c r="Q251" i="1"/>
  <c r="Q386" i="1"/>
  <c r="Q237" i="1"/>
  <c r="Q325" i="1"/>
  <c r="Q294" i="1"/>
  <c r="Q119" i="1"/>
  <c r="Q317" i="1"/>
  <c r="S151" i="1"/>
  <c r="Q152" i="1"/>
  <c r="Q364" i="1"/>
  <c r="Q327" i="1"/>
  <c r="Q342" i="1"/>
  <c r="Q311" i="1"/>
  <c r="Q397" i="1"/>
  <c r="Q189" i="1"/>
  <c r="Q318" i="1"/>
  <c r="Q378" i="1"/>
  <c r="Q278" i="1"/>
  <c r="Q276" i="1"/>
  <c r="Q323" i="1"/>
  <c r="Q156" i="1"/>
  <c r="Q118" i="1"/>
  <c r="Q353" i="1"/>
  <c r="Q355" i="1"/>
  <c r="Q115" i="1"/>
  <c r="Q101" i="1"/>
  <c r="Q250" i="1"/>
  <c r="Q352" i="1"/>
  <c r="Q146" i="1"/>
  <c r="Q411" i="1"/>
  <c r="Q228" i="1"/>
  <c r="Q266" i="1"/>
  <c r="S294" i="1"/>
  <c r="Q284" i="1"/>
  <c r="Q335" i="1"/>
  <c r="Q210" i="1"/>
  <c r="Q272" i="1"/>
  <c r="Q167" i="1"/>
  <c r="Q94" i="1"/>
  <c r="Q306" i="1"/>
  <c r="Q215" i="1"/>
  <c r="Q108" i="1"/>
  <c r="Q235" i="1"/>
  <c r="Q157" i="1"/>
  <c r="Q357" i="1"/>
  <c r="Q274" i="1"/>
  <c r="Q360" i="1"/>
  <c r="Q179" i="1"/>
  <c r="Q407" i="1"/>
  <c r="Q219" i="1"/>
  <c r="Q259" i="1"/>
  <c r="Q410" i="1"/>
  <c r="Q302" i="1"/>
  <c r="Q373" i="1"/>
  <c r="Q195" i="1"/>
  <c r="Q192" i="1"/>
  <c r="Q394" i="1"/>
  <c r="Q288" i="1"/>
  <c r="Q97" i="1"/>
  <c r="Q176" i="1"/>
  <c r="S319" i="1"/>
  <c r="Q314" i="1"/>
  <c r="Q246" i="1"/>
  <c r="Q380" i="1"/>
  <c r="Q132" i="1"/>
  <c r="Q255" i="1"/>
  <c r="Q122" i="1"/>
  <c r="R313" i="1"/>
  <c r="Q124" i="1"/>
  <c r="Q223" i="1"/>
  <c r="Q362" i="1"/>
  <c r="Q347" i="1"/>
  <c r="Q263" i="1"/>
  <c r="Q406" i="1"/>
  <c r="Q194" i="1"/>
  <c r="Q265" i="1"/>
  <c r="R266" i="1"/>
  <c r="Q202" i="1"/>
  <c r="Q121" i="1"/>
  <c r="Q267" i="1"/>
  <c r="R267" i="1"/>
  <c r="Q282" i="1"/>
  <c r="Q341" i="1"/>
  <c r="Q243" i="1"/>
  <c r="Q280" i="1"/>
  <c r="Q409" i="1"/>
  <c r="AE266" i="1"/>
  <c r="AG266" i="1" s="1"/>
  <c r="AB266" i="1" s="1"/>
  <c r="Q184" i="1"/>
  <c r="Q326" i="1"/>
  <c r="Q127" i="1"/>
  <c r="Q385" i="1"/>
  <c r="Q129" i="1"/>
  <c r="Q404" i="1"/>
  <c r="Q316" i="1"/>
  <c r="Q283" i="1"/>
  <c r="Q269" i="1"/>
  <c r="Q372" i="1"/>
  <c r="Q339" i="1"/>
  <c r="Q310" i="1"/>
  <c r="AG268" i="1"/>
  <c r="AB268" i="1" s="1"/>
  <c r="AG270" i="1"/>
  <c r="AB270" i="1" s="1"/>
  <c r="AG272" i="1"/>
  <c r="AB272" i="1" s="1"/>
  <c r="AG261" i="1"/>
  <c r="AB261" i="1" s="1"/>
  <c r="AG262" i="1"/>
  <c r="AB262" i="1" s="1"/>
  <c r="Q359" i="1"/>
  <c r="Q321" i="1"/>
  <c r="Q240" i="1"/>
  <c r="R368" i="1"/>
  <c r="Q368" i="1"/>
  <c r="Q257" i="1"/>
  <c r="Q242" i="1"/>
  <c r="Q197" i="1"/>
  <c r="Q130" i="1"/>
  <c r="Q218" i="1"/>
  <c r="Q261" i="1"/>
  <c r="Q271" i="1"/>
  <c r="Q239" i="1"/>
  <c r="Q349" i="1"/>
  <c r="Q234" i="1"/>
  <c r="AG163" i="1"/>
  <c r="AB163" i="1" s="1"/>
  <c r="AG393" i="1" l="1"/>
  <c r="AB393" i="1" s="1"/>
  <c r="AG105" i="1"/>
  <c r="AB105" i="1" s="1"/>
  <c r="AG150" i="1"/>
  <c r="AB150" i="1" s="1"/>
  <c r="AG352" i="1"/>
  <c r="AB352" i="1" s="1"/>
  <c r="AG398" i="1"/>
  <c r="AB398" i="1" s="1"/>
  <c r="AG253" i="1"/>
  <c r="AB253" i="1" s="1"/>
  <c r="AG335" i="1"/>
  <c r="AB335" i="1" s="1"/>
  <c r="AG195" i="1"/>
  <c r="AB195" i="1" s="1"/>
  <c r="AG257" i="1"/>
  <c r="AB257" i="1" s="1"/>
  <c r="H7" i="1" l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I515" i="83"/>
  <c r="J515" i="83"/>
  <c r="J559" i="83"/>
  <c r="K559" i="83" s="1"/>
  <c r="L9" i="83"/>
  <c r="L546" i="83"/>
  <c r="M546" i="83" s="1"/>
  <c r="K546" i="83"/>
  <c r="L28" i="83"/>
  <c r="M28" i="83" s="1"/>
  <c r="L41" i="83"/>
  <c r="L45" i="83"/>
  <c r="M45" i="83" s="1"/>
  <c r="K45" i="83"/>
  <c r="L46" i="83"/>
  <c r="M46" i="83" s="1"/>
  <c r="K46" i="83"/>
  <c r="L71" i="83"/>
  <c r="L79" i="83"/>
  <c r="M79" i="83" s="1"/>
  <c r="K79" i="83"/>
  <c r="L82" i="83"/>
  <c r="L95" i="83"/>
  <c r="M95" i="83" s="1"/>
  <c r="K95" i="83"/>
  <c r="L100" i="83"/>
  <c r="M100" i="83" s="1"/>
  <c r="L109" i="83"/>
  <c r="K109" i="83"/>
  <c r="L110" i="83"/>
  <c r="L115" i="83"/>
  <c r="M115" i="83" s="1"/>
  <c r="K115" i="83"/>
  <c r="L118" i="83"/>
  <c r="M118" i="83" s="1"/>
  <c r="K118" i="83"/>
  <c r="L158" i="83"/>
  <c r="M158" i="83" s="1"/>
  <c r="L161" i="83"/>
  <c r="L162" i="83"/>
  <c r="L166" i="83"/>
  <c r="L169" i="83"/>
  <c r="M169" i="83" s="1"/>
  <c r="L176" i="83"/>
  <c r="L194" i="83"/>
  <c r="L239" i="83"/>
  <c r="L271" i="83"/>
  <c r="M271" i="83" s="1"/>
  <c r="L290" i="83"/>
  <c r="K290" i="83"/>
  <c r="L306" i="83"/>
  <c r="K306" i="83"/>
  <c r="L311" i="83"/>
  <c r="M311" i="83" s="1"/>
  <c r="K141" i="83"/>
  <c r="L348" i="83"/>
  <c r="L379" i="83"/>
  <c r="M379" i="83" s="1"/>
  <c r="L382" i="83"/>
  <c r="L384" i="83"/>
  <c r="L398" i="83"/>
  <c r="K398" i="83"/>
  <c r="L408" i="83"/>
  <c r="M408" i="83" s="1"/>
  <c r="K408" i="83"/>
  <c r="L289" i="83"/>
  <c r="L441" i="83"/>
  <c r="M441" i="83" s="1"/>
  <c r="K441" i="83"/>
  <c r="L471" i="83"/>
  <c r="L514" i="83"/>
  <c r="K514" i="83"/>
  <c r="L354" i="83"/>
  <c r="M354" i="83" s="1"/>
  <c r="K354" i="83"/>
  <c r="L524" i="83"/>
  <c r="K524" i="83"/>
  <c r="L533" i="83"/>
  <c r="K533" i="83"/>
  <c r="L536" i="83"/>
  <c r="K536" i="83"/>
  <c r="L299" i="83"/>
  <c r="L552" i="83"/>
  <c r="L225" i="83"/>
  <c r="M225" i="83" s="1"/>
  <c r="L564" i="83"/>
  <c r="M564" i="83" s="1"/>
  <c r="K564" i="83"/>
  <c r="K3" i="83"/>
  <c r="K4" i="83"/>
  <c r="K5" i="83"/>
  <c r="K6" i="83"/>
  <c r="K7" i="83"/>
  <c r="K9" i="83"/>
  <c r="K10" i="83"/>
  <c r="K11" i="83"/>
  <c r="K12" i="83"/>
  <c r="K13" i="83"/>
  <c r="K14" i="83"/>
  <c r="K15" i="83"/>
  <c r="K16" i="83"/>
  <c r="K17" i="83"/>
  <c r="K18" i="83"/>
  <c r="K19" i="83"/>
  <c r="K20" i="83"/>
  <c r="K21" i="83"/>
  <c r="K22" i="83"/>
  <c r="K23" i="83"/>
  <c r="K25" i="83"/>
  <c r="K26" i="83"/>
  <c r="K27" i="83"/>
  <c r="K28" i="83"/>
  <c r="K29" i="83"/>
  <c r="K30" i="83"/>
  <c r="K31" i="83"/>
  <c r="K32" i="83"/>
  <c r="K33" i="83"/>
  <c r="K34" i="83"/>
  <c r="K35" i="83"/>
  <c r="K36" i="83"/>
  <c r="K37" i="83"/>
  <c r="K38" i="83"/>
  <c r="K39" i="83"/>
  <c r="K40" i="83"/>
  <c r="K41" i="83"/>
  <c r="K42" i="83"/>
  <c r="K43" i="83"/>
  <c r="K44" i="83"/>
  <c r="K47" i="83"/>
  <c r="K48" i="83"/>
  <c r="K49" i="83"/>
  <c r="K50" i="83"/>
  <c r="K51" i="83"/>
  <c r="K52" i="83"/>
  <c r="K53" i="83"/>
  <c r="K54" i="83"/>
  <c r="K55" i="83"/>
  <c r="K56" i="83"/>
  <c r="K57" i="83"/>
  <c r="K58" i="83"/>
  <c r="K59" i="83"/>
  <c r="K60" i="83"/>
  <c r="K61" i="83"/>
  <c r="K62" i="83"/>
  <c r="K63" i="83"/>
  <c r="K64" i="83"/>
  <c r="K65" i="83"/>
  <c r="K66" i="83"/>
  <c r="K67" i="83"/>
  <c r="K68" i="83"/>
  <c r="K69" i="83"/>
  <c r="K70" i="83"/>
  <c r="K71" i="83"/>
  <c r="K72" i="83"/>
  <c r="K73" i="83"/>
  <c r="K74" i="83"/>
  <c r="K75" i="83"/>
  <c r="K76" i="83"/>
  <c r="K77" i="83"/>
  <c r="K78" i="83"/>
  <c r="K80" i="83"/>
  <c r="K81" i="83"/>
  <c r="K82" i="83"/>
  <c r="K83" i="83"/>
  <c r="K84" i="83"/>
  <c r="K85" i="83"/>
  <c r="K86" i="83"/>
  <c r="K87" i="83"/>
  <c r="K88" i="83"/>
  <c r="K89" i="83"/>
  <c r="K90" i="83"/>
  <c r="K91" i="83"/>
  <c r="K92" i="83"/>
  <c r="K93" i="83"/>
  <c r="K94" i="83"/>
  <c r="K96" i="83"/>
  <c r="K97" i="83"/>
  <c r="K98" i="83"/>
  <c r="K99" i="83"/>
  <c r="K100" i="83"/>
  <c r="K101" i="83"/>
  <c r="K102" i="83"/>
  <c r="K103" i="83"/>
  <c r="K104" i="83"/>
  <c r="K105" i="83"/>
  <c r="K106" i="83"/>
  <c r="K107" i="83"/>
  <c r="K108" i="83"/>
  <c r="K110" i="83"/>
  <c r="K111" i="83"/>
  <c r="K112" i="83"/>
  <c r="K113" i="83"/>
  <c r="K114" i="83"/>
  <c r="K116" i="83"/>
  <c r="K117" i="83"/>
  <c r="K119" i="83"/>
  <c r="K120" i="83"/>
  <c r="K121" i="83"/>
  <c r="K122" i="83"/>
  <c r="K123" i="83"/>
  <c r="K124" i="83"/>
  <c r="K125" i="83"/>
  <c r="K126" i="83"/>
  <c r="K127" i="83"/>
  <c r="K128" i="83"/>
  <c r="K129" i="83"/>
  <c r="K130" i="83"/>
  <c r="K131" i="83"/>
  <c r="K132" i="83"/>
  <c r="K133" i="83"/>
  <c r="K134" i="83"/>
  <c r="K135" i="83"/>
  <c r="K136" i="83"/>
  <c r="K137" i="83"/>
  <c r="K435" i="83"/>
  <c r="K139" i="83"/>
  <c r="K140" i="83"/>
  <c r="K468" i="83"/>
  <c r="K142" i="83"/>
  <c r="K143" i="83"/>
  <c r="K144" i="83"/>
  <c r="K145" i="83"/>
  <c r="K146" i="83"/>
  <c r="K147" i="83"/>
  <c r="K148" i="83"/>
  <c r="K149" i="83"/>
  <c r="K150" i="83"/>
  <c r="K151" i="83"/>
  <c r="K152" i="83"/>
  <c r="K153" i="83"/>
  <c r="K154" i="83"/>
  <c r="K155" i="83"/>
  <c r="K156" i="83"/>
  <c r="K157" i="83"/>
  <c r="K158" i="83"/>
  <c r="K159" i="83"/>
  <c r="K160" i="83"/>
  <c r="K161" i="83"/>
  <c r="K162" i="83"/>
  <c r="K163" i="83"/>
  <c r="K164" i="83"/>
  <c r="K165" i="83"/>
  <c r="K166" i="83"/>
  <c r="K167" i="83"/>
  <c r="K168" i="83"/>
  <c r="K169" i="83"/>
  <c r="K170" i="83"/>
  <c r="K171" i="83"/>
  <c r="K172" i="83"/>
  <c r="K173" i="83"/>
  <c r="K174" i="83"/>
  <c r="K175" i="83"/>
  <c r="K176" i="83"/>
  <c r="K177" i="83"/>
  <c r="K178" i="83"/>
  <c r="K179" i="83"/>
  <c r="K180" i="83"/>
  <c r="K181" i="83"/>
  <c r="K182" i="83"/>
  <c r="K183" i="83"/>
  <c r="K184" i="83"/>
  <c r="K185" i="83"/>
  <c r="K186" i="83"/>
  <c r="K187" i="83"/>
  <c r="K188" i="83"/>
  <c r="K189" i="83"/>
  <c r="K190" i="83"/>
  <c r="K191" i="83"/>
  <c r="K192" i="83"/>
  <c r="K193" i="83"/>
  <c r="K194" i="83"/>
  <c r="K195" i="83"/>
  <c r="K196" i="83"/>
  <c r="K197" i="83"/>
  <c r="K198" i="83"/>
  <c r="K199" i="83"/>
  <c r="K200" i="83"/>
  <c r="K201" i="83"/>
  <c r="K202" i="83"/>
  <c r="K203" i="83"/>
  <c r="K204" i="83"/>
  <c r="K205" i="83"/>
  <c r="K206" i="83"/>
  <c r="K207" i="83"/>
  <c r="K208" i="83"/>
  <c r="K209" i="83"/>
  <c r="K210" i="83"/>
  <c r="K211" i="83"/>
  <c r="K212" i="83"/>
  <c r="K213" i="83"/>
  <c r="K214" i="83"/>
  <c r="K215" i="83"/>
  <c r="K216" i="83"/>
  <c r="K217" i="83"/>
  <c r="K218" i="83"/>
  <c r="K219" i="83"/>
  <c r="K220" i="83"/>
  <c r="K221" i="83"/>
  <c r="K222" i="83"/>
  <c r="K223" i="83"/>
  <c r="K224" i="83"/>
  <c r="K319" i="83"/>
  <c r="K226" i="83"/>
  <c r="K227" i="83"/>
  <c r="K228" i="83"/>
  <c r="K229" i="83"/>
  <c r="K230" i="83"/>
  <c r="K231" i="83"/>
  <c r="K232" i="83"/>
  <c r="K233" i="83"/>
  <c r="K234" i="83"/>
  <c r="K235" i="83"/>
  <c r="K236" i="83"/>
  <c r="K237" i="83"/>
  <c r="K238" i="83"/>
  <c r="K239" i="83"/>
  <c r="K240" i="83"/>
  <c r="K241" i="83"/>
  <c r="K242" i="83"/>
  <c r="K243" i="83"/>
  <c r="K244" i="83"/>
  <c r="K245" i="83"/>
  <c r="K246" i="83"/>
  <c r="K247" i="83"/>
  <c r="K248" i="83"/>
  <c r="K249" i="83"/>
  <c r="K250" i="83"/>
  <c r="K251" i="83"/>
  <c r="K252" i="83"/>
  <c r="K253" i="83"/>
  <c r="K254" i="83"/>
  <c r="K255" i="83"/>
  <c r="K256" i="83"/>
  <c r="K257" i="83"/>
  <c r="K258" i="83"/>
  <c r="K259" i="83"/>
  <c r="K260" i="83"/>
  <c r="K261" i="83"/>
  <c r="K262" i="83"/>
  <c r="K263" i="83"/>
  <c r="K560" i="83"/>
  <c r="K265" i="83"/>
  <c r="K266" i="83"/>
  <c r="K267" i="83"/>
  <c r="K268" i="83"/>
  <c r="K269" i="83"/>
  <c r="K270" i="83"/>
  <c r="K271" i="83"/>
  <c r="K272" i="83"/>
  <c r="K273" i="83"/>
  <c r="K274" i="83"/>
  <c r="K275" i="83"/>
  <c r="K276" i="83"/>
  <c r="K277" i="83"/>
  <c r="K278" i="83"/>
  <c r="K279" i="83"/>
  <c r="K280" i="83"/>
  <c r="K281" i="83"/>
  <c r="K282" i="83"/>
  <c r="K283" i="83"/>
  <c r="K284" i="83"/>
  <c r="K285" i="83"/>
  <c r="K286" i="83"/>
  <c r="K287" i="83"/>
  <c r="K288" i="83"/>
  <c r="K24" i="83"/>
  <c r="K291" i="83"/>
  <c r="K292" i="83"/>
  <c r="K293" i="83"/>
  <c r="K294" i="83"/>
  <c r="K296" i="83"/>
  <c r="K297" i="83"/>
  <c r="K298" i="83"/>
  <c r="K300" i="83"/>
  <c r="K301" i="83"/>
  <c r="K302" i="83"/>
  <c r="K303" i="83"/>
  <c r="K304" i="83"/>
  <c r="K305" i="83"/>
  <c r="K307" i="83"/>
  <c r="K308" i="83"/>
  <c r="K309" i="83"/>
  <c r="K310" i="83"/>
  <c r="K311" i="83"/>
  <c r="K312" i="83"/>
  <c r="K313" i="83"/>
  <c r="K314" i="83"/>
  <c r="K315" i="83"/>
  <c r="K316" i="83"/>
  <c r="K317" i="83"/>
  <c r="K318" i="83"/>
  <c r="K320" i="83"/>
  <c r="K321" i="83"/>
  <c r="K322" i="83"/>
  <c r="K323" i="83"/>
  <c r="K324" i="83"/>
  <c r="K325" i="83"/>
  <c r="K326" i="83"/>
  <c r="K327" i="83"/>
  <c r="K328" i="83"/>
  <c r="K329" i="83"/>
  <c r="K330" i="83"/>
  <c r="K331" i="83"/>
  <c r="K332" i="83"/>
  <c r="K333" i="83"/>
  <c r="K334" i="83"/>
  <c r="K335" i="83"/>
  <c r="K336" i="83"/>
  <c r="K337" i="83"/>
  <c r="K338" i="83"/>
  <c r="K339" i="83"/>
  <c r="K340" i="83"/>
  <c r="K341" i="83"/>
  <c r="K342" i="83"/>
  <c r="K343" i="83"/>
  <c r="K344" i="83"/>
  <c r="K345" i="83"/>
  <c r="K346" i="83"/>
  <c r="K347" i="83"/>
  <c r="K348" i="83"/>
  <c r="K349" i="83"/>
  <c r="K350" i="83"/>
  <c r="K351" i="83"/>
  <c r="K352" i="83"/>
  <c r="K353" i="83"/>
  <c r="K138" i="83"/>
  <c r="K355" i="83"/>
  <c r="K356" i="83"/>
  <c r="K357" i="83"/>
  <c r="K358" i="83"/>
  <c r="K359" i="83"/>
  <c r="K360" i="83"/>
  <c r="K361" i="83"/>
  <c r="K362" i="83"/>
  <c r="K363" i="83"/>
  <c r="K364" i="83"/>
  <c r="K365" i="83"/>
  <c r="K366" i="83"/>
  <c r="K367" i="83"/>
  <c r="K368" i="83"/>
  <c r="K369" i="83"/>
  <c r="K370" i="83"/>
  <c r="K371" i="83"/>
  <c r="K372" i="83"/>
  <c r="K373" i="83"/>
  <c r="K374" i="83"/>
  <c r="K295" i="83"/>
  <c r="K375" i="83"/>
  <c r="K376" i="83"/>
  <c r="K377" i="83"/>
  <c r="K378" i="83"/>
  <c r="K379" i="83"/>
  <c r="K380" i="83"/>
  <c r="K381" i="83"/>
  <c r="K382" i="83"/>
  <c r="K383" i="83"/>
  <c r="K384" i="83"/>
  <c r="K385" i="83"/>
  <c r="K386" i="83"/>
  <c r="K387" i="83"/>
  <c r="K388" i="83"/>
  <c r="K389" i="83"/>
  <c r="K390" i="83"/>
  <c r="K391" i="83"/>
  <c r="K392" i="83"/>
  <c r="K393" i="83"/>
  <c r="K394" i="83"/>
  <c r="K395" i="83"/>
  <c r="K396" i="83"/>
  <c r="K397" i="83"/>
  <c r="K399" i="83"/>
  <c r="K400" i="83"/>
  <c r="K401" i="83"/>
  <c r="K402" i="83"/>
  <c r="K403" i="83"/>
  <c r="K404" i="83"/>
  <c r="K405" i="83"/>
  <c r="K406" i="83"/>
  <c r="K407" i="83"/>
  <c r="K409" i="83"/>
  <c r="K410" i="83"/>
  <c r="K411" i="83"/>
  <c r="K412" i="83"/>
  <c r="K413" i="83"/>
  <c r="K414" i="83"/>
  <c r="K415" i="83"/>
  <c r="K416" i="83"/>
  <c r="K417" i="83"/>
  <c r="K418" i="83"/>
  <c r="K419" i="83"/>
  <c r="K420" i="83"/>
  <c r="K421" i="83"/>
  <c r="K422" i="83"/>
  <c r="K423" i="83"/>
  <c r="K424" i="83"/>
  <c r="K425" i="83"/>
  <c r="K426" i="83"/>
  <c r="K427" i="83"/>
  <c r="K428" i="83"/>
  <c r="K429" i="83"/>
  <c r="K430" i="83"/>
  <c r="K431" i="83"/>
  <c r="K432" i="83"/>
  <c r="K433" i="83"/>
  <c r="K434" i="83"/>
  <c r="K289" i="83"/>
  <c r="K436" i="83"/>
  <c r="K437" i="83"/>
  <c r="K438" i="83"/>
  <c r="K439" i="83"/>
  <c r="K440" i="83"/>
  <c r="K442" i="83"/>
  <c r="K443" i="83"/>
  <c r="K444" i="83"/>
  <c r="K445" i="83"/>
  <c r="K446" i="83"/>
  <c r="K447" i="83"/>
  <c r="K448" i="83"/>
  <c r="K449" i="83"/>
  <c r="K450" i="83"/>
  <c r="K451" i="83"/>
  <c r="K452" i="83"/>
  <c r="K453" i="83"/>
  <c r="K454" i="83"/>
  <c r="K455" i="83"/>
  <c r="K456" i="83"/>
  <c r="K457" i="83"/>
  <c r="K458" i="83"/>
  <c r="K459" i="83"/>
  <c r="K460" i="83"/>
  <c r="K461" i="83"/>
  <c r="K462" i="83"/>
  <c r="K463" i="83"/>
  <c r="K464" i="83"/>
  <c r="K465" i="83"/>
  <c r="K466" i="83"/>
  <c r="K467" i="83"/>
  <c r="K8" i="83"/>
  <c r="K469" i="83"/>
  <c r="K470" i="83"/>
  <c r="K471" i="83"/>
  <c r="K472" i="83"/>
  <c r="K473" i="83"/>
  <c r="K474" i="83"/>
  <c r="K475" i="83"/>
  <c r="K476" i="83"/>
  <c r="K477" i="83"/>
  <c r="K478" i="83"/>
  <c r="K479" i="83"/>
  <c r="K480" i="83"/>
  <c r="K481" i="83"/>
  <c r="K482" i="83"/>
  <c r="K483" i="83"/>
  <c r="K484" i="83"/>
  <c r="K485" i="83"/>
  <c r="K486" i="83"/>
  <c r="K487" i="83"/>
  <c r="K488" i="83"/>
  <c r="K489" i="83"/>
  <c r="K490" i="83"/>
  <c r="K491" i="83"/>
  <c r="K492" i="83"/>
  <c r="K493" i="83"/>
  <c r="K494" i="83"/>
  <c r="K495" i="83"/>
  <c r="K496" i="83"/>
  <c r="K497" i="83"/>
  <c r="K498" i="83"/>
  <c r="K499" i="83"/>
  <c r="K500" i="83"/>
  <c r="K501" i="83"/>
  <c r="K502" i="83"/>
  <c r="K503" i="83"/>
  <c r="K504" i="83"/>
  <c r="K505" i="83"/>
  <c r="K506" i="83"/>
  <c r="K507" i="83"/>
  <c r="K508" i="83"/>
  <c r="K509" i="83"/>
  <c r="K510" i="83"/>
  <c r="K511" i="83"/>
  <c r="K512" i="83"/>
  <c r="K513" i="83"/>
  <c r="K516" i="83"/>
  <c r="K517" i="83"/>
  <c r="K518" i="83"/>
  <c r="K519" i="83"/>
  <c r="K520" i="83"/>
  <c r="K521" i="83"/>
  <c r="K522" i="83"/>
  <c r="K523" i="83"/>
  <c r="K525" i="83"/>
  <c r="K526" i="83"/>
  <c r="K527" i="83"/>
  <c r="K528" i="83"/>
  <c r="K529" i="83"/>
  <c r="K530" i="83"/>
  <c r="K531" i="83"/>
  <c r="K532" i="83"/>
  <c r="K534" i="83"/>
  <c r="K535" i="83"/>
  <c r="K537" i="83"/>
  <c r="K538" i="83"/>
  <c r="K539" i="83"/>
  <c r="K540" i="83"/>
  <c r="K541" i="83"/>
  <c r="K542" i="83"/>
  <c r="K543" i="83"/>
  <c r="K544" i="83"/>
  <c r="K545" i="83"/>
  <c r="K299" i="83"/>
  <c r="K547" i="83"/>
  <c r="K548" i="83"/>
  <c r="K549" i="83"/>
  <c r="K550" i="83"/>
  <c r="K551" i="83"/>
  <c r="K552" i="83"/>
  <c r="K553" i="83"/>
  <c r="K554" i="83"/>
  <c r="K555" i="83"/>
  <c r="K556" i="83"/>
  <c r="K557" i="83"/>
  <c r="K558" i="83"/>
  <c r="K225" i="83"/>
  <c r="K264" i="83"/>
  <c r="K561" i="83"/>
  <c r="K562" i="83"/>
  <c r="K563" i="83"/>
  <c r="K565" i="83"/>
  <c r="K566" i="83"/>
  <c r="K567" i="83"/>
  <c r="K568" i="83"/>
  <c r="K569" i="83"/>
  <c r="K570" i="83"/>
  <c r="K571" i="83"/>
  <c r="K572" i="83"/>
  <c r="K573" i="83"/>
  <c r="K574" i="83"/>
  <c r="K575" i="83"/>
  <c r="K576" i="83"/>
  <c r="K577" i="83"/>
  <c r="K578" i="83"/>
  <c r="K579" i="83"/>
  <c r="K580" i="83"/>
  <c r="K581" i="83"/>
  <c r="K582" i="83"/>
  <c r="K583" i="83"/>
  <c r="K2" i="83"/>
  <c r="K584" i="83"/>
  <c r="L336" i="83"/>
  <c r="M336" i="83" s="1"/>
  <c r="L576" i="83"/>
  <c r="M576" i="83" s="1"/>
  <c r="L145" i="83"/>
  <c r="M145" i="83" s="1"/>
  <c r="L469" i="83"/>
  <c r="M469" i="83" s="1"/>
  <c r="L15" i="83"/>
  <c r="M15" i="83" s="1"/>
  <c r="L550" i="83"/>
  <c r="M550" i="83" s="1"/>
  <c r="L186" i="83"/>
  <c r="L180" i="83"/>
  <c r="M180" i="83" s="1"/>
  <c r="L252" i="83"/>
  <c r="M252" i="83" s="1"/>
  <c r="L578" i="83"/>
  <c r="L338" i="83"/>
  <c r="L131" i="83"/>
  <c r="M131" i="83" s="1"/>
  <c r="L462" i="83"/>
  <c r="M462" i="83" s="1"/>
  <c r="L129" i="83"/>
  <c r="L439" i="83"/>
  <c r="L409" i="83"/>
  <c r="M409" i="83" s="1"/>
  <c r="L26" i="83"/>
  <c r="M26" i="83" s="1"/>
  <c r="L122" i="83"/>
  <c r="L254" i="83"/>
  <c r="L196" i="83"/>
  <c r="M196" i="83" s="1"/>
  <c r="L208" i="83"/>
  <c r="M208" i="83" s="1"/>
  <c r="L475" i="83"/>
  <c r="L248" i="83"/>
  <c r="L393" i="83"/>
  <c r="L60" i="83"/>
  <c r="M60" i="83" s="1"/>
  <c r="L435" i="83"/>
  <c r="L160" i="83"/>
  <c r="M160" i="83" s="1"/>
  <c r="L126" i="83"/>
  <c r="L287" i="83"/>
  <c r="M287" i="83" s="1"/>
  <c r="L388" i="83"/>
  <c r="L383" i="83"/>
  <c r="M383" i="83" s="1"/>
  <c r="L235" i="83"/>
  <c r="M235" i="83" s="1"/>
  <c r="L575" i="83"/>
  <c r="M575" i="83" s="1"/>
  <c r="L276" i="83"/>
  <c r="M276" i="83" s="1"/>
  <c r="L150" i="83"/>
  <c r="L532" i="83"/>
  <c r="M532" i="83" s="1"/>
  <c r="L275" i="83"/>
  <c r="M275" i="83" s="1"/>
  <c r="L543" i="83"/>
  <c r="M543" i="83" s="1"/>
  <c r="L326" i="83"/>
  <c r="L156" i="83"/>
  <c r="M156" i="83" s="1"/>
  <c r="L92" i="83"/>
  <c r="M92" i="83" s="1"/>
  <c r="L516" i="83"/>
  <c r="M516" i="83" s="1"/>
  <c r="L97" i="83"/>
  <c r="M97" i="83" s="1"/>
  <c r="L11" i="83"/>
  <c r="M11" i="83" s="1"/>
  <c r="L62" i="83"/>
  <c r="M62" i="83" s="1"/>
  <c r="L10" i="83"/>
  <c r="L556" i="83"/>
  <c r="L297" i="83"/>
  <c r="M297" i="83" s="1"/>
  <c r="L345" i="83"/>
  <c r="M345" i="83" s="1"/>
  <c r="L73" i="83"/>
  <c r="L57" i="83"/>
  <c r="L274" i="83"/>
  <c r="L437" i="83"/>
  <c r="M437" i="83" s="1"/>
  <c r="L538" i="83"/>
  <c r="L128" i="83"/>
  <c r="L424" i="83"/>
  <c r="M424" i="83" s="1"/>
  <c r="L207" i="83"/>
  <c r="M207" i="83" s="1"/>
  <c r="L99" i="83"/>
  <c r="L38" i="83"/>
  <c r="M38" i="83" s="1"/>
  <c r="L350" i="83"/>
  <c r="L19" i="83"/>
  <c r="M19" i="83" s="1"/>
  <c r="L48" i="83"/>
  <c r="L329" i="83"/>
  <c r="L237" i="83"/>
  <c r="M237" i="83" s="1"/>
  <c r="L25" i="83"/>
  <c r="M25" i="83" s="1"/>
  <c r="L98" i="83"/>
  <c r="M98" i="83" s="1"/>
  <c r="L184" i="83"/>
  <c r="M184" i="83" s="1"/>
  <c r="L81" i="83"/>
  <c r="M81" i="83" s="1"/>
  <c r="L250" i="83"/>
  <c r="M250" i="83" s="1"/>
  <c r="L142" i="83"/>
  <c r="L362" i="83"/>
  <c r="L137" i="83"/>
  <c r="M137" i="83" s="1"/>
  <c r="L172" i="83"/>
  <c r="M172" i="83" s="1"/>
  <c r="L474" i="83"/>
  <c r="M474" i="83" s="1"/>
  <c r="L155" i="83"/>
  <c r="M155" i="83" s="1"/>
  <c r="L63" i="83"/>
  <c r="M63" i="83" s="1"/>
  <c r="L330" i="83"/>
  <c r="M330" i="83" s="1"/>
  <c r="L259" i="83"/>
  <c r="M259" i="83" s="1"/>
  <c r="L534" i="83"/>
  <c r="M534" i="83" s="1"/>
  <c r="L182" i="83"/>
  <c r="L240" i="83"/>
  <c r="M240" i="83" s="1"/>
  <c r="L114" i="83"/>
  <c r="M114" i="83" s="1"/>
  <c r="L67" i="83"/>
  <c r="M67" i="83" s="1"/>
  <c r="L50" i="83"/>
  <c r="M50" i="83" s="1"/>
  <c r="L16" i="83"/>
  <c r="M16" i="83" s="1"/>
  <c r="L23" i="83"/>
  <c r="L149" i="83"/>
  <c r="L566" i="83"/>
  <c r="L386" i="83"/>
  <c r="M386" i="83" s="1"/>
  <c r="L526" i="83"/>
  <c r="M526" i="83" s="1"/>
  <c r="L490" i="83"/>
  <c r="M490" i="83" s="1"/>
  <c r="L337" i="83"/>
  <c r="M337" i="83" s="1"/>
  <c r="L472" i="83"/>
  <c r="M472" i="83" s="1"/>
  <c r="L528" i="83"/>
  <c r="L502" i="83"/>
  <c r="L49" i="83"/>
  <c r="L116" i="83"/>
  <c r="M116" i="83" s="1"/>
  <c r="L17" i="83"/>
  <c r="M17" i="83" s="1"/>
  <c r="L215" i="83"/>
  <c r="M215" i="83" s="1"/>
  <c r="L562" i="83"/>
  <c r="M562" i="83" s="1"/>
  <c r="L531" i="83"/>
  <c r="M531" i="83" s="1"/>
  <c r="L91" i="83"/>
  <c r="L241" i="83"/>
  <c r="L491" i="83"/>
  <c r="M491" i="83" s="1"/>
  <c r="L143" i="83"/>
  <c r="M143" i="83" s="1"/>
  <c r="L477" i="83"/>
  <c r="M477" i="83" s="1"/>
  <c r="L164" i="83"/>
  <c r="M164" i="83" s="1"/>
  <c r="L74" i="83"/>
  <c r="M74" i="83" s="1"/>
  <c r="L146" i="83"/>
  <c r="M146" i="83" s="1"/>
  <c r="L205" i="83"/>
  <c r="L175" i="83"/>
  <c r="L190" i="83"/>
  <c r="L255" i="83"/>
  <c r="M255" i="83" s="1"/>
  <c r="L112" i="83"/>
  <c r="L332" i="83"/>
  <c r="M332" i="83" s="1"/>
  <c r="L395" i="83"/>
  <c r="M395" i="83" s="1"/>
  <c r="L134" i="83"/>
  <c r="M134" i="83" s="1"/>
  <c r="L573" i="83"/>
  <c r="L470" i="83"/>
  <c r="L185" i="83"/>
  <c r="M185" i="83" s="1"/>
  <c r="L204" i="83"/>
  <c r="M204" i="83" s="1"/>
  <c r="L555" i="83"/>
  <c r="M555" i="83" s="1"/>
  <c r="L232" i="83"/>
  <c r="M232" i="83" s="1"/>
  <c r="L136" i="83"/>
  <c r="M136" i="83" s="1"/>
  <c r="L85" i="83"/>
  <c r="M85" i="83" s="1"/>
  <c r="L293" i="83"/>
  <c r="M293" i="83" s="1"/>
  <c r="L120" i="83"/>
  <c r="L8" i="83"/>
  <c r="L14" i="83"/>
  <c r="M14" i="83" s="1"/>
  <c r="L574" i="83"/>
  <c r="L390" i="83"/>
  <c r="M390" i="83" s="1"/>
  <c r="L20" i="83"/>
  <c r="M20" i="83" s="1"/>
  <c r="L80" i="83"/>
  <c r="M80" i="83" s="1"/>
  <c r="L199" i="83"/>
  <c r="L151" i="83"/>
  <c r="L270" i="83"/>
  <c r="L212" i="83"/>
  <c r="M212" i="83" s="1"/>
  <c r="L65" i="83"/>
  <c r="L54" i="83"/>
  <c r="M54" i="83" s="1"/>
  <c r="L499" i="83"/>
  <c r="M499" i="83" s="1"/>
  <c r="L228" i="83"/>
  <c r="M228" i="83" s="1"/>
  <c r="L507" i="83"/>
  <c r="L193" i="83"/>
  <c r="L541" i="83"/>
  <c r="L106" i="83"/>
  <c r="M106" i="83" s="1"/>
  <c r="L266" i="83"/>
  <c r="K515" i="83"/>
  <c r="L509" i="83"/>
  <c r="M509" i="83" s="1"/>
  <c r="L195" i="83"/>
  <c r="M195" i="83" s="1"/>
  <c r="L64" i="83"/>
  <c r="L551" i="83"/>
  <c r="M551" i="83" s="1"/>
  <c r="K20" i="1"/>
  <c r="L505" i="83" s="1"/>
  <c r="M505" i="83" s="1"/>
  <c r="L78" i="83"/>
  <c r="M78" i="83" s="1"/>
  <c r="L69" i="83"/>
  <c r="L581" i="83"/>
  <c r="M581" i="83" s="1"/>
  <c r="L396" i="83"/>
  <c r="M396" i="83" s="1"/>
  <c r="L282" i="83"/>
  <c r="L39" i="83"/>
  <c r="L59" i="83"/>
  <c r="M59" i="83" s="1"/>
  <c r="L569" i="83"/>
  <c r="M569" i="83" s="1"/>
  <c r="L406" i="83"/>
  <c r="L463" i="83"/>
  <c r="L397" i="83"/>
  <c r="M397" i="83" s="1"/>
  <c r="L43" i="83"/>
  <c r="L495" i="83"/>
  <c r="L438" i="83"/>
  <c r="M438" i="83" s="1"/>
  <c r="L525" i="83"/>
  <c r="M525" i="83" s="1"/>
  <c r="L549" i="83"/>
  <c r="L47" i="83"/>
  <c r="M47" i="83" s="1"/>
  <c r="L487" i="83"/>
  <c r="M487" i="83" s="1"/>
  <c r="L399" i="83"/>
  <c r="M399" i="83" s="1"/>
  <c r="L13" i="83"/>
  <c r="M13" i="83" s="1"/>
  <c r="L117" i="83"/>
  <c r="L188" i="83"/>
  <c r="M188" i="83" s="1"/>
  <c r="K47" i="1"/>
  <c r="L2" i="83" s="1"/>
  <c r="M2" i="83" s="1"/>
  <c r="K12" i="1"/>
  <c r="L305" i="83"/>
  <c r="M305" i="83" s="1"/>
  <c r="K35" i="1"/>
  <c r="L34" i="83"/>
  <c r="M34" i="83" s="1"/>
  <c r="K44" i="1"/>
  <c r="L236" i="83" s="1"/>
  <c r="M236" i="83" s="1"/>
  <c r="L452" i="83"/>
  <c r="L535" i="83"/>
  <c r="M535" i="83" s="1"/>
  <c r="K43" i="1"/>
  <c r="L334" i="83" s="1"/>
  <c r="M334" i="83" s="1"/>
  <c r="L361" i="83"/>
  <c r="M361" i="83" s="1"/>
  <c r="L357" i="83"/>
  <c r="M357" i="83" s="1"/>
  <c r="L211" i="83"/>
  <c r="M211" i="83" s="1"/>
  <c r="L520" i="83"/>
  <c r="M520" i="83" s="1"/>
  <c r="L230" i="83"/>
  <c r="L482" i="83"/>
  <c r="M482" i="83" s="1"/>
  <c r="L391" i="83"/>
  <c r="M391" i="83" s="1"/>
  <c r="K28" i="1"/>
  <c r="L123" i="83" s="1"/>
  <c r="M123" i="83" s="1"/>
  <c r="L530" i="83"/>
  <c r="M530" i="83" s="1"/>
  <c r="L154" i="83"/>
  <c r="K26" i="1"/>
  <c r="L484" i="83" s="1"/>
  <c r="M484" i="83" s="1"/>
  <c r="G8" i="139" l="1"/>
  <c r="H8" i="139"/>
  <c r="H15" i="139"/>
  <c r="H11" i="139"/>
  <c r="H10" i="139"/>
  <c r="H7" i="139"/>
  <c r="H9" i="139"/>
  <c r="H5" i="139"/>
  <c r="H41" i="139"/>
  <c r="H6" i="139"/>
  <c r="H33" i="139"/>
  <c r="H13" i="139"/>
  <c r="S85" i="1"/>
  <c r="R80" i="1"/>
  <c r="L448" i="83"/>
  <c r="M448" i="83" s="1"/>
  <c r="AC57" i="1"/>
  <c r="AC78" i="1"/>
  <c r="R30" i="1"/>
  <c r="R13" i="1"/>
  <c r="R47" i="1"/>
  <c r="R32" i="1"/>
  <c r="S12" i="1"/>
  <c r="R29" i="1"/>
  <c r="S31" i="1"/>
  <c r="R25" i="1"/>
  <c r="S46" i="1"/>
  <c r="AC56" i="1"/>
  <c r="Q18" i="71"/>
  <c r="N46" i="1"/>
  <c r="N45" i="1"/>
  <c r="N14" i="1"/>
  <c r="N38" i="1"/>
  <c r="N23" i="1"/>
  <c r="D35" i="71" s="1"/>
  <c r="N18" i="1"/>
  <c r="M61" i="71"/>
  <c r="N50" i="71"/>
  <c r="N61" i="71"/>
  <c r="M50" i="71"/>
  <c r="N48" i="1"/>
  <c r="N17" i="1"/>
  <c r="D41" i="71" s="1"/>
  <c r="N39" i="1"/>
  <c r="N33" i="1"/>
  <c r="N51" i="1"/>
  <c r="N21" i="1"/>
  <c r="N11" i="1"/>
  <c r="D51" i="71" s="1"/>
  <c r="E47" i="71"/>
  <c r="O4" i="139"/>
  <c r="O6" i="139"/>
  <c r="N4" i="139"/>
  <c r="O8" i="139"/>
  <c r="N8" i="139"/>
  <c r="H4" i="139"/>
  <c r="G4" i="139"/>
  <c r="O41" i="139"/>
  <c r="O13" i="139"/>
  <c r="N40" i="1"/>
  <c r="N34" i="1"/>
  <c r="N26" i="1"/>
  <c r="N16" i="1"/>
  <c r="N7" i="1"/>
  <c r="N43" i="1"/>
  <c r="N20" i="1"/>
  <c r="N10" i="1"/>
  <c r="N37" i="1"/>
  <c r="N12" i="1"/>
  <c r="N9" i="1"/>
  <c r="D32" i="71" s="1"/>
  <c r="N49" i="1"/>
  <c r="N28" i="1"/>
  <c r="N19" i="1"/>
  <c r="N31" i="1"/>
  <c r="D49" i="71" s="1"/>
  <c r="N41" i="1"/>
  <c r="N8" i="1"/>
  <c r="N29" i="1"/>
  <c r="N22" i="1"/>
  <c r="M452" i="83"/>
  <c r="M541" i="83"/>
  <c r="M566" i="83"/>
  <c r="M495" i="83"/>
  <c r="M463" i="83"/>
  <c r="M154" i="83"/>
  <c r="M230" i="83"/>
  <c r="M117" i="83"/>
  <c r="M270" i="83"/>
  <c r="M190" i="83"/>
  <c r="M49" i="83"/>
  <c r="M43" i="83"/>
  <c r="M406" i="83"/>
  <c r="M39" i="83"/>
  <c r="M69" i="83"/>
  <c r="M350" i="83"/>
  <c r="M274" i="83"/>
  <c r="M126" i="83"/>
  <c r="M524" i="83"/>
  <c r="M289" i="83"/>
  <c r="M348" i="83"/>
  <c r="M239" i="83"/>
  <c r="M57" i="83"/>
  <c r="M150" i="83"/>
  <c r="M254" i="83"/>
  <c r="M338" i="83"/>
  <c r="M552" i="83"/>
  <c r="M194" i="83"/>
  <c r="M549" i="83"/>
  <c r="M266" i="83"/>
  <c r="M65" i="83"/>
  <c r="M574" i="83"/>
  <c r="M112" i="83"/>
  <c r="M99" i="83"/>
  <c r="M73" i="83"/>
  <c r="M435" i="83"/>
  <c r="M122" i="83"/>
  <c r="M578" i="83"/>
  <c r="M299" i="83"/>
  <c r="M176" i="83"/>
  <c r="M82" i="83"/>
  <c r="M41" i="83"/>
  <c r="M8" i="83"/>
  <c r="M182" i="83"/>
  <c r="M393" i="83"/>
  <c r="M536" i="83"/>
  <c r="M514" i="83"/>
  <c r="M398" i="83"/>
  <c r="M306" i="83"/>
  <c r="M166" i="83"/>
  <c r="M110" i="83"/>
  <c r="AD54" i="1"/>
  <c r="S30" i="1"/>
  <c r="D28" i="71"/>
  <c r="N25" i="1"/>
  <c r="S19" i="1"/>
  <c r="S80" i="1"/>
  <c r="M64" i="83"/>
  <c r="M193" i="83"/>
  <c r="M151" i="83"/>
  <c r="M120" i="83"/>
  <c r="M470" i="83"/>
  <c r="M175" i="83"/>
  <c r="M241" i="83"/>
  <c r="M502" i="83"/>
  <c r="M149" i="83"/>
  <c r="M362" i="83"/>
  <c r="M329" i="83"/>
  <c r="M128" i="83"/>
  <c r="M556" i="83"/>
  <c r="M326" i="83"/>
  <c r="M248" i="83"/>
  <c r="M439" i="83"/>
  <c r="M186" i="83"/>
  <c r="M471" i="83"/>
  <c r="M384" i="83"/>
  <c r="M162" i="83"/>
  <c r="M71" i="83"/>
  <c r="N30" i="1"/>
  <c r="D33" i="71" s="1"/>
  <c r="S81" i="1"/>
  <c r="M282" i="83"/>
  <c r="M507" i="83"/>
  <c r="M199" i="83"/>
  <c r="M573" i="83"/>
  <c r="M205" i="83"/>
  <c r="M91" i="83"/>
  <c r="M528" i="83"/>
  <c r="M23" i="83"/>
  <c r="M142" i="83"/>
  <c r="M48" i="83"/>
  <c r="M538" i="83"/>
  <c r="M10" i="83"/>
  <c r="M388" i="83"/>
  <c r="M475" i="83"/>
  <c r="M129" i="83"/>
  <c r="M533" i="83"/>
  <c r="M382" i="83"/>
  <c r="M290" i="83"/>
  <c r="M161" i="83"/>
  <c r="M109" i="83"/>
  <c r="M9" i="83"/>
  <c r="L296" i="83"/>
  <c r="M296" i="83" s="1"/>
  <c r="L572" i="83"/>
  <c r="M572" i="83" s="1"/>
  <c r="L21" i="83"/>
  <c r="M21" i="83" s="1"/>
  <c r="L103" i="83"/>
  <c r="M103" i="83" s="1"/>
  <c r="L246" i="83"/>
  <c r="M246" i="83" s="1"/>
  <c r="L233" i="83"/>
  <c r="M233" i="83" s="1"/>
  <c r="K23" i="1"/>
  <c r="L286" i="83" s="1"/>
  <c r="M286" i="83" s="1"/>
  <c r="L303" i="83"/>
  <c r="M303" i="83" s="1"/>
  <c r="L359" i="83"/>
  <c r="M359" i="83" s="1"/>
  <c r="L522" i="83"/>
  <c r="M522" i="83" s="1"/>
  <c r="L547" i="83"/>
  <c r="M547" i="83" s="1"/>
  <c r="L570" i="83"/>
  <c r="M570" i="83" s="1"/>
  <c r="L434" i="83"/>
  <c r="M434" i="83" s="1"/>
  <c r="L561" i="83"/>
  <c r="M561" i="83" s="1"/>
  <c r="L29" i="83"/>
  <c r="M29" i="83" s="1"/>
  <c r="L5" i="83"/>
  <c r="M5" i="83" s="1"/>
  <c r="L75" i="83"/>
  <c r="M75" i="83" s="1"/>
  <c r="L93" i="83"/>
  <c r="M93" i="83" s="1"/>
  <c r="K11" i="1"/>
  <c r="L376" i="83" s="1"/>
  <c r="M376" i="83" s="1"/>
  <c r="K42" i="1"/>
  <c r="L163" i="83" s="1"/>
  <c r="M163" i="83" s="1"/>
  <c r="L249" i="83"/>
  <c r="M249" i="83" s="1"/>
  <c r="L268" i="83"/>
  <c r="M268" i="83" s="1"/>
  <c r="K13" i="1"/>
  <c r="L294" i="83" s="1"/>
  <c r="M294" i="83" s="1"/>
  <c r="L373" i="83"/>
  <c r="M373" i="83" s="1"/>
  <c r="K49" i="1"/>
  <c r="L341" i="83" s="1"/>
  <c r="M341" i="83" s="1"/>
  <c r="S47" i="1"/>
  <c r="R39" i="1"/>
  <c r="S29" i="1"/>
  <c r="S25" i="1"/>
  <c r="S11" i="1"/>
  <c r="R11" i="1"/>
  <c r="R6" i="1"/>
  <c r="N32" i="1"/>
  <c r="N24" i="1"/>
  <c r="D58" i="71"/>
  <c r="D47" i="71"/>
  <c r="N47" i="1"/>
  <c r="D22" i="71" s="1"/>
  <c r="N50" i="1"/>
  <c r="N42" i="1"/>
  <c r="N35" i="1"/>
  <c r="N27" i="1"/>
  <c r="D54" i="71"/>
  <c r="Q50" i="71"/>
  <c r="D53" i="71"/>
  <c r="Q44" i="71"/>
  <c r="Q11" i="71"/>
  <c r="D59" i="71"/>
  <c r="L152" i="83"/>
  <c r="M152" i="83" s="1"/>
  <c r="L30" i="83"/>
  <c r="M30" i="83" s="1"/>
  <c r="K8" i="1"/>
  <c r="L6" i="83" s="1"/>
  <c r="M6" i="83" s="1"/>
  <c r="K15" i="1"/>
  <c r="L18" i="83" s="1"/>
  <c r="M18" i="83" s="1"/>
  <c r="K10" i="1"/>
  <c r="L32" i="83" s="1"/>
  <c r="M32" i="83" s="1"/>
  <c r="L35" i="83"/>
  <c r="M35" i="83" s="1"/>
  <c r="L51" i="83"/>
  <c r="M51" i="83" s="1"/>
  <c r="L55" i="83"/>
  <c r="M55" i="83" s="1"/>
  <c r="L61" i="83"/>
  <c r="M61" i="83" s="1"/>
  <c r="L70" i="83"/>
  <c r="M70" i="83" s="1"/>
  <c r="L44" i="83"/>
  <c r="M44" i="83" s="1"/>
  <c r="K17" i="1"/>
  <c r="L83" i="83" s="1"/>
  <c r="M83" i="83" s="1"/>
  <c r="L88" i="83"/>
  <c r="M88" i="83" s="1"/>
  <c r="L125" i="83"/>
  <c r="M125" i="83" s="1"/>
  <c r="L124" i="83"/>
  <c r="M124" i="83" s="1"/>
  <c r="L219" i="83"/>
  <c r="M219" i="83" s="1"/>
  <c r="K24" i="1"/>
  <c r="L148" i="83" s="1"/>
  <c r="M148" i="83" s="1"/>
  <c r="L157" i="83"/>
  <c r="M157" i="83" s="1"/>
  <c r="K34" i="1"/>
  <c r="L165" i="83" s="1"/>
  <c r="M165" i="83" s="1"/>
  <c r="L206" i="83"/>
  <c r="M206" i="83" s="1"/>
  <c r="L213" i="83"/>
  <c r="M213" i="83" s="1"/>
  <c r="L226" i="83"/>
  <c r="M226" i="83" s="1"/>
  <c r="K38" i="1"/>
  <c r="L238" i="83" s="1"/>
  <c r="M238" i="83" s="1"/>
  <c r="L257" i="83"/>
  <c r="M257" i="83" s="1"/>
  <c r="L251" i="83"/>
  <c r="M251" i="83" s="1"/>
  <c r="L283" i="83"/>
  <c r="M283" i="83" s="1"/>
  <c r="K31" i="1"/>
  <c r="L269" i="83" s="1"/>
  <c r="M269" i="83" s="1"/>
  <c r="L318" i="83"/>
  <c r="M318" i="83" s="1"/>
  <c r="L141" i="83"/>
  <c r="M141" i="83" s="1"/>
  <c r="L321" i="83"/>
  <c r="M321" i="83" s="1"/>
  <c r="L312" i="83"/>
  <c r="M312" i="83" s="1"/>
  <c r="L323" i="83"/>
  <c r="M323" i="83" s="1"/>
  <c r="L317" i="83"/>
  <c r="M317" i="83" s="1"/>
  <c r="L301" i="83"/>
  <c r="M301" i="83" s="1"/>
  <c r="L355" i="83"/>
  <c r="M355" i="83" s="1"/>
  <c r="L358" i="83"/>
  <c r="M358" i="83" s="1"/>
  <c r="L365" i="83"/>
  <c r="M365" i="83" s="1"/>
  <c r="L367" i="83"/>
  <c r="M367" i="83" s="1"/>
  <c r="L335" i="83"/>
  <c r="M335" i="83" s="1"/>
  <c r="L342" i="83"/>
  <c r="M342" i="83" s="1"/>
  <c r="K40" i="1"/>
  <c r="L347" i="83" s="1"/>
  <c r="M347" i="83" s="1"/>
  <c r="L413" i="83"/>
  <c r="M413" i="83" s="1"/>
  <c r="L417" i="83"/>
  <c r="M417" i="83" s="1"/>
  <c r="L420" i="83"/>
  <c r="M420" i="83" s="1"/>
  <c r="L430" i="83"/>
  <c r="M430" i="83" s="1"/>
  <c r="L400" i="83"/>
  <c r="M400" i="83" s="1"/>
  <c r="L436" i="83"/>
  <c r="M436" i="83" s="1"/>
  <c r="L442" i="83"/>
  <c r="M442" i="83" s="1"/>
  <c r="L445" i="83"/>
  <c r="M445" i="83" s="1"/>
  <c r="L449" i="83"/>
  <c r="M449" i="83" s="1"/>
  <c r="L459" i="83"/>
  <c r="M459" i="83" s="1"/>
  <c r="L464" i="83"/>
  <c r="M464" i="83" s="1"/>
  <c r="L479" i="83"/>
  <c r="M479" i="83" s="1"/>
  <c r="L483" i="83"/>
  <c r="M483" i="83" s="1"/>
  <c r="L476" i="83"/>
  <c r="M476" i="83" s="1"/>
  <c r="L496" i="83"/>
  <c r="M496" i="83" s="1"/>
  <c r="L501" i="83"/>
  <c r="M501" i="83" s="1"/>
  <c r="L510" i="83"/>
  <c r="M510" i="83" s="1"/>
  <c r="L517" i="83"/>
  <c r="M517" i="83" s="1"/>
  <c r="K19" i="1"/>
  <c r="L539" i="83" s="1"/>
  <c r="M539" i="83" s="1"/>
  <c r="L577" i="83"/>
  <c r="M577" i="83" s="1"/>
  <c r="L582" i="83"/>
  <c r="M582" i="83" s="1"/>
  <c r="L558" i="83"/>
  <c r="M558" i="83" s="1"/>
  <c r="L31" i="83"/>
  <c r="M31" i="83" s="1"/>
  <c r="L7" i="83"/>
  <c r="M7" i="83" s="1"/>
  <c r="L27" i="83"/>
  <c r="M27" i="83" s="1"/>
  <c r="G54" i="71"/>
  <c r="K39" i="1"/>
  <c r="L66" i="83" s="1"/>
  <c r="M66" i="83" s="1"/>
  <c r="L76" i="83"/>
  <c r="M76" i="83" s="1"/>
  <c r="L89" i="83"/>
  <c r="M89" i="83" s="1"/>
  <c r="L96" i="83"/>
  <c r="M96" i="83" s="1"/>
  <c r="L119" i="83"/>
  <c r="M119" i="83" s="1"/>
  <c r="K9" i="1"/>
  <c r="G8" i="71" s="1"/>
  <c r="L135" i="83"/>
  <c r="M135" i="83" s="1"/>
  <c r="L144" i="83"/>
  <c r="M144" i="83" s="1"/>
  <c r="L222" i="83"/>
  <c r="M222" i="83" s="1"/>
  <c r="L159" i="83"/>
  <c r="M159" i="83" s="1"/>
  <c r="L167" i="83"/>
  <c r="M167" i="83" s="1"/>
  <c r="L178" i="83"/>
  <c r="M178" i="83" s="1"/>
  <c r="L183" i="83"/>
  <c r="M183" i="83" s="1"/>
  <c r="L191" i="83"/>
  <c r="M191" i="83" s="1"/>
  <c r="L197" i="83"/>
  <c r="M197" i="83" s="1"/>
  <c r="K45" i="1"/>
  <c r="L202" i="83" s="1"/>
  <c r="M202" i="83" s="1"/>
  <c r="L209" i="83"/>
  <c r="M209" i="83" s="1"/>
  <c r="K52" i="1"/>
  <c r="L214" i="83" s="1"/>
  <c r="M214" i="83" s="1"/>
  <c r="K14" i="1"/>
  <c r="K21" i="1"/>
  <c r="L242" i="83" s="1"/>
  <c r="M242" i="83" s="1"/>
  <c r="L258" i="83"/>
  <c r="M258" i="83" s="1"/>
  <c r="L253" i="83"/>
  <c r="M253" i="83" s="1"/>
  <c r="L278" i="83"/>
  <c r="M278" i="83" s="1"/>
  <c r="L284" i="83"/>
  <c r="M284" i="83" s="1"/>
  <c r="L560" i="83"/>
  <c r="M560" i="83" s="1"/>
  <c r="L320" i="83"/>
  <c r="M320" i="83" s="1"/>
  <c r="L309" i="83"/>
  <c r="M309" i="83" s="1"/>
  <c r="L313" i="83"/>
  <c r="M313" i="83" s="1"/>
  <c r="L316" i="83"/>
  <c r="M316" i="83" s="1"/>
  <c r="L291" i="83"/>
  <c r="M291" i="83" s="1"/>
  <c r="L298" i="83"/>
  <c r="M298" i="83" s="1"/>
  <c r="L352" i="83"/>
  <c r="M352" i="83" s="1"/>
  <c r="L369" i="83"/>
  <c r="M369" i="83" s="1"/>
  <c r="L364" i="83"/>
  <c r="M364" i="83" s="1"/>
  <c r="L368" i="83"/>
  <c r="M368" i="83" s="1"/>
  <c r="L339" i="83"/>
  <c r="M339" i="83" s="1"/>
  <c r="L349" i="83"/>
  <c r="M349" i="83" s="1"/>
  <c r="L418" i="83"/>
  <c r="M418" i="83" s="1"/>
  <c r="L425" i="83"/>
  <c r="M425" i="83" s="1"/>
  <c r="L460" i="83"/>
  <c r="M460" i="83" s="1"/>
  <c r="L394" i="83"/>
  <c r="M394" i="83" s="1"/>
  <c r="L480" i="83"/>
  <c r="M480" i="83" s="1"/>
  <c r="K22" i="1"/>
  <c r="L231" i="83" s="1"/>
  <c r="M231" i="83" s="1"/>
  <c r="L493" i="83"/>
  <c r="M493" i="83" s="1"/>
  <c r="K46" i="1"/>
  <c r="L497" i="83" s="1"/>
  <c r="M497" i="83" s="1"/>
  <c r="L503" i="83"/>
  <c r="M503" i="83" s="1"/>
  <c r="L506" i="83"/>
  <c r="M506" i="83" s="1"/>
  <c r="L518" i="83"/>
  <c r="M518" i="83" s="1"/>
  <c r="L540" i="83"/>
  <c r="M540" i="83" s="1"/>
  <c r="L579" i="83"/>
  <c r="M579" i="83" s="1"/>
  <c r="L553" i="83"/>
  <c r="M553" i="83" s="1"/>
  <c r="L264" i="83"/>
  <c r="M264" i="83" s="1"/>
  <c r="L565" i="83"/>
  <c r="M565" i="83" s="1"/>
  <c r="C9" i="71"/>
  <c r="L171" i="83"/>
  <c r="M171" i="83" s="1"/>
  <c r="L189" i="83"/>
  <c r="M189" i="83" s="1"/>
  <c r="L392" i="83"/>
  <c r="M392" i="83" s="1"/>
  <c r="L387" i="83"/>
  <c r="M387" i="83" s="1"/>
  <c r="L111" i="83"/>
  <c r="M111" i="83" s="1"/>
  <c r="L133" i="83"/>
  <c r="M133" i="83" s="1"/>
  <c r="L527" i="83"/>
  <c r="M527" i="83" s="1"/>
  <c r="L563" i="83"/>
  <c r="M563" i="83" s="1"/>
  <c r="N15" i="1"/>
  <c r="N6" i="1"/>
  <c r="D36" i="71"/>
  <c r="D27" i="71"/>
  <c r="N52" i="1"/>
  <c r="N44" i="1"/>
  <c r="D29" i="71" s="1"/>
  <c r="N36" i="1"/>
  <c r="N13" i="1"/>
  <c r="D10" i="71" s="1"/>
  <c r="G56" i="71"/>
  <c r="L12" i="83"/>
  <c r="M12" i="83" s="1"/>
  <c r="K16" i="1"/>
  <c r="L33" i="83" s="1"/>
  <c r="M33" i="83" s="1"/>
  <c r="L52" i="83"/>
  <c r="M52" i="83" s="1"/>
  <c r="L68" i="83"/>
  <c r="M68" i="83" s="1"/>
  <c r="K36" i="1"/>
  <c r="L72" i="83" s="1"/>
  <c r="M72" i="83" s="1"/>
  <c r="L77" i="83"/>
  <c r="M77" i="83" s="1"/>
  <c r="L86" i="83"/>
  <c r="M86" i="83" s="1"/>
  <c r="L90" i="83"/>
  <c r="M90" i="83" s="1"/>
  <c r="K7" i="1"/>
  <c r="L107" i="83" s="1"/>
  <c r="M107" i="83" s="1"/>
  <c r="G26" i="71"/>
  <c r="L121" i="83"/>
  <c r="M121" i="83" s="1"/>
  <c r="L218" i="83"/>
  <c r="M218" i="83" s="1"/>
  <c r="L220" i="83"/>
  <c r="M220" i="83" s="1"/>
  <c r="K25" i="1"/>
  <c r="L153" i="83" s="1"/>
  <c r="M153" i="83" s="1"/>
  <c r="K30" i="1"/>
  <c r="L168" i="83" s="1"/>
  <c r="M168" i="83" s="1"/>
  <c r="L173" i="83"/>
  <c r="M173" i="83" s="1"/>
  <c r="L192" i="83"/>
  <c r="M192" i="83" s="1"/>
  <c r="L515" i="83"/>
  <c r="M515" i="83" s="1"/>
  <c r="L216" i="83"/>
  <c r="M216" i="83" s="1"/>
  <c r="L245" i="83"/>
  <c r="M245" i="83" s="1"/>
  <c r="K33" i="1"/>
  <c r="L385" i="83" s="1"/>
  <c r="M385" i="83" s="1"/>
  <c r="K50" i="1"/>
  <c r="L234" i="83" s="1"/>
  <c r="M234" i="83" s="1"/>
  <c r="L243" i="83"/>
  <c r="M243" i="83" s="1"/>
  <c r="L256" i="83"/>
  <c r="M256" i="83" s="1"/>
  <c r="L247" i="83"/>
  <c r="M247" i="83" s="1"/>
  <c r="L285" i="83"/>
  <c r="M285" i="83" s="1"/>
  <c r="L267" i="83"/>
  <c r="M267" i="83" s="1"/>
  <c r="L272" i="83"/>
  <c r="M272" i="83" s="1"/>
  <c r="L310" i="83"/>
  <c r="M310" i="83" s="1"/>
  <c r="L328" i="83"/>
  <c r="M328" i="83" s="1"/>
  <c r="L292" i="83"/>
  <c r="M292" i="83" s="1"/>
  <c r="K48" i="1"/>
  <c r="L559" i="83" s="1"/>
  <c r="M559" i="83" s="1"/>
  <c r="L353" i="83"/>
  <c r="M353" i="83" s="1"/>
  <c r="L356" i="83"/>
  <c r="M356" i="83" s="1"/>
  <c r="L360" i="83"/>
  <c r="M360" i="83" s="1"/>
  <c r="L370" i="83"/>
  <c r="M370" i="83" s="1"/>
  <c r="L372" i="83"/>
  <c r="M372" i="83" s="1"/>
  <c r="L374" i="83"/>
  <c r="M374" i="83" s="1"/>
  <c r="L333" i="83"/>
  <c r="M333" i="83" s="1"/>
  <c r="L344" i="83"/>
  <c r="M344" i="83" s="1"/>
  <c r="L351" i="83"/>
  <c r="M351" i="83" s="1"/>
  <c r="L415" i="83"/>
  <c r="M415" i="83" s="1"/>
  <c r="L421" i="83"/>
  <c r="M421" i="83" s="1"/>
  <c r="L426" i="83"/>
  <c r="M426" i="83" s="1"/>
  <c r="L432" i="83"/>
  <c r="M432" i="83" s="1"/>
  <c r="L447" i="83"/>
  <c r="M447" i="83" s="1"/>
  <c r="L451" i="83"/>
  <c r="M451" i="83" s="1"/>
  <c r="L412" i="83"/>
  <c r="M412" i="83" s="1"/>
  <c r="L461" i="83"/>
  <c r="M461" i="83" s="1"/>
  <c r="L380" i="83"/>
  <c r="M380" i="83" s="1"/>
  <c r="L465" i="83"/>
  <c r="M465" i="83" s="1"/>
  <c r="L481" i="83"/>
  <c r="M481" i="83" s="1"/>
  <c r="K27" i="1"/>
  <c r="L473" i="83" s="1"/>
  <c r="M473" i="83" s="1"/>
  <c r="L498" i="83"/>
  <c r="M498" i="83" s="1"/>
  <c r="L504" i="83"/>
  <c r="M504" i="83" s="1"/>
  <c r="L508" i="83"/>
  <c r="M508" i="83" s="1"/>
  <c r="L512" i="83"/>
  <c r="M512" i="83" s="1"/>
  <c r="L519" i="83"/>
  <c r="M519" i="83" s="1"/>
  <c r="L529" i="83"/>
  <c r="M529" i="83" s="1"/>
  <c r="L580" i="83"/>
  <c r="M580" i="83" s="1"/>
  <c r="L583" i="83"/>
  <c r="M583" i="83" s="1"/>
  <c r="K37" i="1"/>
  <c r="L554" i="83" s="1"/>
  <c r="M554" i="83" s="1"/>
  <c r="E59" i="71"/>
  <c r="C14" i="71"/>
  <c r="B51" i="71"/>
  <c r="E61" i="71"/>
  <c r="D61" i="71"/>
  <c r="B18" i="71"/>
  <c r="F59" i="71"/>
  <c r="C23" i="71"/>
  <c r="C53" i="71"/>
  <c r="F50" i="71"/>
  <c r="B30" i="71"/>
  <c r="B58" i="71"/>
  <c r="F61" i="71"/>
  <c r="E50" i="71"/>
  <c r="B34" i="71"/>
  <c r="Q8" i="71"/>
  <c r="Q16" i="71"/>
  <c r="Q24" i="71"/>
  <c r="Q32" i="71"/>
  <c r="Q40" i="71"/>
  <c r="Q48" i="71"/>
  <c r="Q56" i="71"/>
  <c r="C50" i="71"/>
  <c r="Q9" i="71"/>
  <c r="Q17" i="71"/>
  <c r="Q25" i="71"/>
  <c r="Q33" i="71"/>
  <c r="Q41" i="71"/>
  <c r="Q49" i="71"/>
  <c r="Q57" i="71"/>
  <c r="B48" i="71"/>
  <c r="D50" i="71"/>
  <c r="G59" i="71"/>
  <c r="C61" i="71"/>
  <c r="Q13" i="71"/>
  <c r="Q21" i="71"/>
  <c r="Q29" i="71"/>
  <c r="Q37" i="71"/>
  <c r="Q45" i="71"/>
  <c r="Q53" i="71"/>
  <c r="Q61" i="71"/>
  <c r="G61" i="71"/>
  <c r="Q7" i="71"/>
  <c r="Q20" i="71"/>
  <c r="Q34" i="71"/>
  <c r="Q46" i="71"/>
  <c r="Q59" i="71"/>
  <c r="Q10" i="71"/>
  <c r="Q22" i="71"/>
  <c r="Q35" i="71"/>
  <c r="Q47" i="71"/>
  <c r="Q60" i="71"/>
  <c r="Q12" i="71"/>
  <c r="Q26" i="71"/>
  <c r="Q38" i="71"/>
  <c r="Q51" i="71"/>
  <c r="B59" i="71"/>
  <c r="Q14" i="71"/>
  <c r="Q27" i="71"/>
  <c r="Q39" i="71"/>
  <c r="Q52" i="71"/>
  <c r="G50" i="71"/>
  <c r="C59" i="71"/>
  <c r="Q15" i="71"/>
  <c r="Q28" i="71"/>
  <c r="Q42" i="71"/>
  <c r="Q54" i="71"/>
  <c r="D25" i="71"/>
  <c r="G53" i="71"/>
  <c r="D60" i="71"/>
  <c r="Q19" i="71"/>
  <c r="Q55" i="71"/>
  <c r="D52" i="71"/>
  <c r="Q23" i="71"/>
  <c r="Q58" i="71"/>
  <c r="B50" i="71"/>
  <c r="Q30" i="71"/>
  <c r="Q5" i="71"/>
  <c r="Q31" i="71"/>
  <c r="B61" i="71"/>
  <c r="Q36" i="71"/>
  <c r="Q6" i="71"/>
  <c r="Q43" i="71"/>
  <c r="F27" i="71"/>
  <c r="G27" i="71"/>
  <c r="L139" i="83"/>
  <c r="M139" i="83" s="1"/>
  <c r="L307" i="83"/>
  <c r="M307" i="83" s="1"/>
  <c r="L492" i="83"/>
  <c r="M492" i="83" s="1"/>
  <c r="L130" i="83"/>
  <c r="M130" i="83" s="1"/>
  <c r="L4" i="83"/>
  <c r="M4" i="83" s="1"/>
  <c r="L37" i="83"/>
  <c r="M37" i="83" s="1"/>
  <c r="L378" i="83"/>
  <c r="M378" i="83" s="1"/>
  <c r="L548" i="83"/>
  <c r="M548" i="83" s="1"/>
  <c r="L187" i="83"/>
  <c r="M187" i="83" s="1"/>
  <c r="L179" i="83"/>
  <c r="M179" i="83" s="1"/>
  <c r="L486" i="83"/>
  <c r="M486" i="83" s="1"/>
  <c r="G47" i="71"/>
  <c r="L224" i="83"/>
  <c r="M224" i="83" s="1"/>
  <c r="F25" i="71"/>
  <c r="G25" i="71"/>
  <c r="L542" i="83"/>
  <c r="M542" i="83" s="1"/>
  <c r="D55" i="71"/>
  <c r="D23" i="71"/>
  <c r="G9" i="71"/>
  <c r="D57" i="71"/>
  <c r="D26" i="71"/>
  <c r="D56" i="71"/>
  <c r="G41" i="71"/>
  <c r="G52" i="71"/>
  <c r="L444" i="83"/>
  <c r="M444" i="83" s="1"/>
  <c r="E41" i="71"/>
  <c r="K29" i="1"/>
  <c r="L571" i="83" s="1"/>
  <c r="M571" i="83" s="1"/>
  <c r="C15" i="71"/>
  <c r="C41" i="71"/>
  <c r="C37" i="71"/>
  <c r="L567" i="83"/>
  <c r="M567" i="83" s="1"/>
  <c r="L523" i="83"/>
  <c r="M523" i="83" s="1"/>
  <c r="L346" i="83"/>
  <c r="M346" i="83" s="1"/>
  <c r="L500" i="83"/>
  <c r="M500" i="83" s="1"/>
  <c r="L36" i="83"/>
  <c r="M36" i="83" s="1"/>
  <c r="K18" i="1"/>
  <c r="L223" i="83" s="1"/>
  <c r="M223" i="83" s="1"/>
  <c r="L343" i="83"/>
  <c r="M343" i="83" s="1"/>
  <c r="L414" i="83"/>
  <c r="M414" i="83" s="1"/>
  <c r="L431" i="83"/>
  <c r="M431" i="83" s="1"/>
  <c r="L446" i="83"/>
  <c r="M446" i="83" s="1"/>
  <c r="L450" i="83"/>
  <c r="M450" i="83" s="1"/>
  <c r="L457" i="83"/>
  <c r="M457" i="83" s="1"/>
  <c r="K51" i="1"/>
  <c r="L177" i="83" s="1"/>
  <c r="M177" i="83" s="1"/>
  <c r="L488" i="83"/>
  <c r="M488" i="83" s="1"/>
  <c r="L411" i="83"/>
  <c r="M411" i="83" s="1"/>
  <c r="L261" i="83"/>
  <c r="M261" i="83" s="1"/>
  <c r="E12" i="71"/>
  <c r="L403" i="83"/>
  <c r="M403" i="83" s="1"/>
  <c r="L281" i="83"/>
  <c r="M281" i="83" s="1"/>
  <c r="L304" i="83"/>
  <c r="M304" i="83" s="1"/>
  <c r="L314" i="83"/>
  <c r="M314" i="83" s="1"/>
  <c r="L419" i="83"/>
  <c r="M419" i="83" s="1"/>
  <c r="L429" i="83"/>
  <c r="M429" i="83" s="1"/>
  <c r="L440" i="83"/>
  <c r="M440" i="83" s="1"/>
  <c r="E36" i="71"/>
  <c r="L511" i="83"/>
  <c r="M511" i="83" s="1"/>
  <c r="L389" i="83"/>
  <c r="M389" i="83" s="1"/>
  <c r="F44" i="71"/>
  <c r="L101" i="83"/>
  <c r="M101" i="83" s="1"/>
  <c r="L221" i="83"/>
  <c r="M221" i="83" s="1"/>
  <c r="L170" i="83"/>
  <c r="M170" i="83" s="1"/>
  <c r="K6" i="1"/>
  <c r="L244" i="83"/>
  <c r="M244" i="83" s="1"/>
  <c r="L262" i="83"/>
  <c r="M262" i="83" s="1"/>
  <c r="L277" i="83"/>
  <c r="M277" i="83" s="1"/>
  <c r="L279" i="83"/>
  <c r="M279" i="83" s="1"/>
  <c r="L273" i="83"/>
  <c r="M273" i="83" s="1"/>
  <c r="L322" i="83"/>
  <c r="M322" i="83" s="1"/>
  <c r="L315" i="83"/>
  <c r="M315" i="83" s="1"/>
  <c r="L325" i="83"/>
  <c r="M325" i="83" s="1"/>
  <c r="L24" i="83"/>
  <c r="M24" i="83" s="1"/>
  <c r="L138" i="83"/>
  <c r="M138" i="83" s="1"/>
  <c r="L422" i="83"/>
  <c r="M422" i="83" s="1"/>
  <c r="L427" i="83"/>
  <c r="M427" i="83" s="1"/>
  <c r="L402" i="83"/>
  <c r="M402" i="83" s="1"/>
  <c r="L407" i="83"/>
  <c r="M407" i="83" s="1"/>
  <c r="L455" i="83"/>
  <c r="M455" i="83" s="1"/>
  <c r="K41" i="1"/>
  <c r="L568" i="83" s="1"/>
  <c r="M568" i="83" s="1"/>
  <c r="L56" i="83"/>
  <c r="M56" i="83" s="1"/>
  <c r="E7" i="71"/>
  <c r="L366" i="83"/>
  <c r="M366" i="83" s="1"/>
  <c r="L94" i="83"/>
  <c r="M94" i="83" s="1"/>
  <c r="L423" i="83"/>
  <c r="M423" i="83" s="1"/>
  <c r="L456" i="83"/>
  <c r="M456" i="83" s="1"/>
  <c r="L478" i="83"/>
  <c r="M478" i="83" s="1"/>
  <c r="G60" i="71"/>
  <c r="L87" i="83"/>
  <c r="M87" i="83" s="1"/>
  <c r="L140" i="83"/>
  <c r="M140" i="83" s="1"/>
  <c r="L300" i="83"/>
  <c r="M300" i="83" s="1"/>
  <c r="L377" i="83"/>
  <c r="M377" i="83" s="1"/>
  <c r="L174" i="83"/>
  <c r="M174" i="83" s="1"/>
  <c r="L375" i="83"/>
  <c r="M375" i="83" s="1"/>
  <c r="L58" i="83"/>
  <c r="M58" i="83" s="1"/>
  <c r="L198" i="83"/>
  <c r="M198" i="83" s="1"/>
  <c r="K32" i="1"/>
  <c r="L401" i="83" s="1"/>
  <c r="M401" i="83" s="1"/>
  <c r="L494" i="83"/>
  <c r="M494" i="83" s="1"/>
  <c r="G22" i="71"/>
  <c r="F56" i="71"/>
  <c r="L42" i="83"/>
  <c r="M42" i="83" s="1"/>
  <c r="L340" i="83"/>
  <c r="M340" i="83" s="1"/>
  <c r="L53" i="83"/>
  <c r="M53" i="83" s="1"/>
  <c r="G57" i="71"/>
  <c r="L416" i="83"/>
  <c r="M416" i="83" s="1"/>
  <c r="L557" i="83"/>
  <c r="M557" i="83" s="1"/>
  <c r="L319" i="83"/>
  <c r="M319" i="83" s="1"/>
  <c r="L132" i="83"/>
  <c r="M132" i="83" s="1"/>
  <c r="L102" i="83"/>
  <c r="M102" i="83" s="1"/>
  <c r="L147" i="83"/>
  <c r="M147" i="83" s="1"/>
  <c r="E20" i="71"/>
  <c r="L181" i="83"/>
  <c r="M181" i="83" s="1"/>
  <c r="L265" i="83"/>
  <c r="M265" i="83" s="1"/>
  <c r="L363" i="83"/>
  <c r="M363" i="83" s="1"/>
  <c r="L405" i="83"/>
  <c r="M405" i="83" s="1"/>
  <c r="F38" i="71"/>
  <c r="E8" i="71"/>
  <c r="G23" i="71"/>
  <c r="B55" i="71"/>
  <c r="B54" i="71"/>
  <c r="B49" i="71"/>
  <c r="E45" i="71"/>
  <c r="B42" i="71"/>
  <c r="E38" i="71"/>
  <c r="B35" i="71"/>
  <c r="B31" i="71"/>
  <c r="E28" i="71"/>
  <c r="E26" i="71"/>
  <c r="B24" i="71"/>
  <c r="E22" i="71"/>
  <c r="C18" i="71"/>
  <c r="E5" i="71"/>
  <c r="B8" i="71"/>
  <c r="E58" i="71"/>
  <c r="E51" i="71"/>
  <c r="E48" i="71"/>
  <c r="B45" i="71"/>
  <c r="F41" i="71"/>
  <c r="B38" i="71"/>
  <c r="E34" i="71"/>
  <c r="E30" i="71"/>
  <c r="B28" i="71"/>
  <c r="B26" i="71"/>
  <c r="F23" i="71"/>
  <c r="B22" i="71"/>
  <c r="E18" i="71"/>
  <c r="B15" i="71"/>
  <c r="C12" i="71"/>
  <c r="B5" i="71"/>
  <c r="C7" i="71"/>
  <c r="C6" i="71"/>
  <c r="C57" i="71"/>
  <c r="C56" i="71"/>
  <c r="E53" i="71"/>
  <c r="E33" i="71"/>
  <c r="C47" i="71"/>
  <c r="E44" i="71"/>
  <c r="B41" i="71"/>
  <c r="B36" i="71"/>
  <c r="C29" i="71"/>
  <c r="C27" i="71"/>
  <c r="C25" i="71"/>
  <c r="E23" i="71"/>
  <c r="B20" i="71"/>
  <c r="E17" i="71"/>
  <c r="E14" i="71"/>
  <c r="B12" i="71"/>
  <c r="E9" i="71"/>
  <c r="B7" i="71"/>
  <c r="F60" i="71"/>
  <c r="F33" i="71"/>
  <c r="F49" i="71"/>
  <c r="F39" i="71"/>
  <c r="F36" i="71"/>
  <c r="F30" i="71"/>
  <c r="F20" i="71"/>
  <c r="C55" i="71"/>
  <c r="C10" i="71"/>
  <c r="C46" i="71"/>
  <c r="C52" i="71"/>
  <c r="C21" i="71"/>
  <c r="C34" i="71"/>
  <c r="C38" i="71"/>
  <c r="E57" i="71"/>
  <c r="E56" i="71"/>
  <c r="B53" i="71"/>
  <c r="B33" i="71"/>
  <c r="B44" i="71"/>
  <c r="E40" i="71"/>
  <c r="E37" i="71"/>
  <c r="C32" i="71"/>
  <c r="E29" i="71"/>
  <c r="E27" i="71"/>
  <c r="E25" i="71"/>
  <c r="B23" i="71"/>
  <c r="F19" i="71"/>
  <c r="B17" i="71"/>
  <c r="B14" i="71"/>
  <c r="E11" i="71"/>
  <c r="B9" i="71"/>
  <c r="F58" i="71"/>
  <c r="F43" i="71"/>
  <c r="F47" i="71"/>
  <c r="F22" i="71"/>
  <c r="F11" i="71"/>
  <c r="F14" i="71"/>
  <c r="C11" i="71"/>
  <c r="C60" i="71"/>
  <c r="B57" i="71"/>
  <c r="B56" i="71"/>
  <c r="F52" i="71"/>
  <c r="B47" i="71"/>
  <c r="E43" i="71"/>
  <c r="B40" i="71"/>
  <c r="B37" i="71"/>
  <c r="E32" i="71"/>
  <c r="B29" i="71"/>
  <c r="B27" i="71"/>
  <c r="B25" i="71"/>
  <c r="E21" i="71"/>
  <c r="C19" i="71"/>
  <c r="C16" i="71"/>
  <c r="C13" i="71"/>
  <c r="B11" i="71"/>
  <c r="F8" i="71"/>
  <c r="C17" i="71"/>
  <c r="C39" i="71"/>
  <c r="E60" i="71"/>
  <c r="F55" i="71"/>
  <c r="C54" i="71"/>
  <c r="E52" i="71"/>
  <c r="C49" i="71"/>
  <c r="E46" i="71"/>
  <c r="B43" i="71"/>
  <c r="E39" i="71"/>
  <c r="C35" i="71"/>
  <c r="B32" i="71"/>
  <c r="F28" i="71"/>
  <c r="F26" i="71"/>
  <c r="C24" i="71"/>
  <c r="B21" i="71"/>
  <c r="E19" i="71"/>
  <c r="E16" i="71"/>
  <c r="E13" i="71"/>
  <c r="E10" i="71"/>
  <c r="C8" i="71"/>
  <c r="F57" i="71"/>
  <c r="F54" i="71"/>
  <c r="F53" i="71"/>
  <c r="F9" i="71"/>
  <c r="B60" i="71"/>
  <c r="E55" i="71"/>
  <c r="E54" i="71"/>
  <c r="B52" i="71"/>
  <c r="E49" i="71"/>
  <c r="B46" i="71"/>
  <c r="E42" i="71"/>
  <c r="B39" i="71"/>
  <c r="E35" i="71"/>
  <c r="E31" i="71"/>
  <c r="C28" i="71"/>
  <c r="C26" i="71"/>
  <c r="E24" i="71"/>
  <c r="C22" i="71"/>
  <c r="B19" i="71"/>
  <c r="B16" i="71"/>
  <c r="B13" i="71"/>
  <c r="B10" i="71"/>
  <c r="C58" i="71"/>
  <c r="L229" i="83"/>
  <c r="M229" i="83" s="1"/>
  <c r="F48" i="71"/>
  <c r="F35" i="71"/>
  <c r="C33" i="71"/>
  <c r="C36" i="71"/>
  <c r="F42" i="71"/>
  <c r="F31" i="71"/>
  <c r="F34" i="71"/>
  <c r="F24" i="71"/>
  <c r="F18" i="71"/>
  <c r="F5" i="71"/>
  <c r="C51" i="71"/>
  <c r="C44" i="71"/>
  <c r="C40" i="71"/>
  <c r="E6" i="71"/>
  <c r="F45" i="71"/>
  <c r="F46" i="71"/>
  <c r="F21" i="71"/>
  <c r="F17" i="71"/>
  <c r="F6" i="71"/>
  <c r="C45" i="71"/>
  <c r="C30" i="71"/>
  <c r="C5" i="71"/>
  <c r="F51" i="71"/>
  <c r="F37" i="71"/>
  <c r="F32" i="71"/>
  <c r="F10" i="71"/>
  <c r="F16" i="71"/>
  <c r="F13" i="71"/>
  <c r="C43" i="71"/>
  <c r="C48" i="71"/>
  <c r="C20" i="71"/>
  <c r="C42" i="71"/>
  <c r="C31" i="71"/>
  <c r="F40" i="71"/>
  <c r="F29" i="71"/>
  <c r="F12" i="71"/>
  <c r="F7" i="71"/>
  <c r="B6" i="71"/>
  <c r="L3" i="83"/>
  <c r="M3" i="83" s="1"/>
  <c r="L40" i="83"/>
  <c r="M40" i="83" s="1"/>
  <c r="L513" i="83"/>
  <c r="M513" i="83" s="1"/>
  <c r="L203" i="83"/>
  <c r="M203" i="83" s="1"/>
  <c r="L104" i="83"/>
  <c r="M104" i="83" s="1"/>
  <c r="L84" i="83"/>
  <c r="M84" i="83" s="1"/>
  <c r="S26" i="1" l="1"/>
  <c r="R49" i="1"/>
  <c r="S36" i="1"/>
  <c r="S44" i="1"/>
  <c r="S42" i="1"/>
  <c r="S66" i="1"/>
  <c r="S73" i="1"/>
  <c r="S52" i="1"/>
  <c r="S62" i="1"/>
  <c r="R33" i="1"/>
  <c r="R41" i="1"/>
  <c r="S72" i="1"/>
  <c r="S91" i="1"/>
  <c r="S89" i="1"/>
  <c r="S61" i="1"/>
  <c r="R27" i="1"/>
  <c r="S34" i="1"/>
  <c r="S49" i="1"/>
  <c r="S50" i="1"/>
  <c r="S86" i="1"/>
  <c r="S65" i="1"/>
  <c r="R31" i="1"/>
  <c r="R35" i="1"/>
  <c r="R12" i="1"/>
  <c r="S41" i="1"/>
  <c r="S60" i="1"/>
  <c r="S79" i="1"/>
  <c r="R42" i="1"/>
  <c r="AC42" i="1"/>
  <c r="R43" i="1"/>
  <c r="R14" i="1"/>
  <c r="S7" i="1"/>
  <c r="R45" i="1"/>
  <c r="S69" i="1"/>
  <c r="R37" i="1"/>
  <c r="R52" i="1"/>
  <c r="R23" i="1"/>
  <c r="R18" i="1"/>
  <c r="S58" i="1"/>
  <c r="R20" i="1"/>
  <c r="R48" i="1"/>
  <c r="R24" i="1"/>
  <c r="S17" i="1"/>
  <c r="AD17" i="1"/>
  <c r="R51" i="1"/>
  <c r="S16" i="1"/>
  <c r="S64" i="1"/>
  <c r="S84" i="1"/>
  <c r="R34" i="1"/>
  <c r="S20" i="1"/>
  <c r="R7" i="1"/>
  <c r="AC7" i="1"/>
  <c r="S78" i="1"/>
  <c r="R38" i="1"/>
  <c r="S15" i="1"/>
  <c r="S88" i="1"/>
  <c r="R28" i="1"/>
  <c r="R15" i="1"/>
  <c r="AC15" i="1"/>
  <c r="S53" i="1"/>
  <c r="S82" i="1"/>
  <c r="S35" i="1"/>
  <c r="S57" i="1"/>
  <c r="R50" i="1"/>
  <c r="S77" i="1"/>
  <c r="S27" i="1"/>
  <c r="S90" i="1"/>
  <c r="R40" i="1"/>
  <c r="AC40" i="1"/>
  <c r="S9" i="1"/>
  <c r="R8" i="1"/>
  <c r="AC8" i="1"/>
  <c r="R36" i="1"/>
  <c r="R17" i="1"/>
  <c r="AC17" i="1"/>
  <c r="S56" i="1"/>
  <c r="S70" i="1"/>
  <c r="S40" i="1"/>
  <c r="S48" i="1"/>
  <c r="S74" i="1"/>
  <c r="R19" i="1"/>
  <c r="AC19" i="1"/>
  <c r="S8" i="1"/>
  <c r="S22" i="1"/>
  <c r="S45" i="1"/>
  <c r="R44" i="1"/>
  <c r="AC44" i="1"/>
  <c r="H59" i="71"/>
  <c r="Q46" i="1"/>
  <c r="Q4" i="139"/>
  <c r="Q8" i="139"/>
  <c r="L113" i="83"/>
  <c r="M113" i="83" s="1"/>
  <c r="I8" i="139"/>
  <c r="J8" i="139"/>
  <c r="K8" i="139" s="1"/>
  <c r="H58" i="71"/>
  <c r="D45" i="71"/>
  <c r="Q52" i="1"/>
  <c r="N4" i="1"/>
  <c r="S6" i="1"/>
  <c r="K4" i="1"/>
  <c r="L217" i="83"/>
  <c r="M217" i="83" s="1"/>
  <c r="L308" i="83"/>
  <c r="M308" i="83" s="1"/>
  <c r="Q80" i="1"/>
  <c r="S76" i="1"/>
  <c r="S54" i="1"/>
  <c r="AF54" i="1"/>
  <c r="Q88" i="1"/>
  <c r="R88" i="1"/>
  <c r="R54" i="1"/>
  <c r="Q54" i="1"/>
  <c r="Q76" i="1"/>
  <c r="R76" i="1"/>
  <c r="R72" i="1"/>
  <c r="Q72" i="1"/>
  <c r="R63" i="1"/>
  <c r="R90" i="1"/>
  <c r="Q90" i="1"/>
  <c r="Q41" i="1"/>
  <c r="R66" i="1"/>
  <c r="Q66" i="1"/>
  <c r="R84" i="1"/>
  <c r="Q84" i="1"/>
  <c r="R67" i="1"/>
  <c r="R71" i="1"/>
  <c r="R58" i="1"/>
  <c r="Q58" i="1"/>
  <c r="AE57" i="1"/>
  <c r="Q57" i="1"/>
  <c r="R57" i="1"/>
  <c r="R83" i="1"/>
  <c r="R56" i="1"/>
  <c r="Q56" i="1"/>
  <c r="AE56" i="1"/>
  <c r="R77" i="1"/>
  <c r="Q77" i="1"/>
  <c r="R86" i="1"/>
  <c r="Q86" i="1"/>
  <c r="R79" i="1"/>
  <c r="Q79" i="1"/>
  <c r="R82" i="1"/>
  <c r="Q82" i="1"/>
  <c r="R59" i="1"/>
  <c r="R75" i="1"/>
  <c r="R65" i="1"/>
  <c r="Q65" i="1"/>
  <c r="R60" i="1"/>
  <c r="Q60" i="1"/>
  <c r="Q85" i="1"/>
  <c r="R85" i="1"/>
  <c r="Q70" i="1"/>
  <c r="R70" i="1"/>
  <c r="R62" i="1"/>
  <c r="Q62" i="1"/>
  <c r="Q69" i="1"/>
  <c r="R69" i="1"/>
  <c r="R91" i="1"/>
  <c r="Q91" i="1"/>
  <c r="R68" i="1"/>
  <c r="R78" i="1"/>
  <c r="Q78" i="1"/>
  <c r="AE78" i="1"/>
  <c r="R61" i="1"/>
  <c r="Q61" i="1"/>
  <c r="R64" i="1"/>
  <c r="Q64" i="1"/>
  <c r="R89" i="1"/>
  <c r="Q89" i="1"/>
  <c r="R87" i="1"/>
  <c r="Q74" i="1"/>
  <c r="R74" i="1"/>
  <c r="Q53" i="1"/>
  <c r="R53" i="1"/>
  <c r="R81" i="1"/>
  <c r="Q81" i="1"/>
  <c r="R55" i="1"/>
  <c r="Q73" i="1"/>
  <c r="R73" i="1"/>
  <c r="Q30" i="1"/>
  <c r="Q44" i="1"/>
  <c r="L227" i="83"/>
  <c r="M227" i="83" s="1"/>
  <c r="L280" i="83"/>
  <c r="M280" i="83" s="1"/>
  <c r="L260" i="83"/>
  <c r="M260" i="83" s="1"/>
  <c r="L468" i="83"/>
  <c r="M468" i="83" s="1"/>
  <c r="G14" i="71"/>
  <c r="D19" i="71"/>
  <c r="Q9" i="1"/>
  <c r="Q22" i="1"/>
  <c r="Q25" i="1"/>
  <c r="Q45" i="1"/>
  <c r="Q47" i="1"/>
  <c r="AD18" i="1"/>
  <c r="S23" i="1"/>
  <c r="S32" i="1"/>
  <c r="L489" i="83"/>
  <c r="M489" i="83" s="1"/>
  <c r="L201" i="83"/>
  <c r="M201" i="83" s="1"/>
  <c r="L22" i="83"/>
  <c r="M22" i="83" s="1"/>
  <c r="Q42" i="1"/>
  <c r="L210" i="83"/>
  <c r="M210" i="83" s="1"/>
  <c r="L544" i="83"/>
  <c r="M544" i="83" s="1"/>
  <c r="L453" i="83"/>
  <c r="M453" i="83" s="1"/>
  <c r="L521" i="83"/>
  <c r="M521" i="83" s="1"/>
  <c r="G19" i="71"/>
  <c r="L410" i="83"/>
  <c r="M410" i="83" s="1"/>
  <c r="Q50" i="1"/>
  <c r="D9" i="71"/>
  <c r="D14" i="71"/>
  <c r="L200" i="83"/>
  <c r="M200" i="83" s="1"/>
  <c r="D8" i="71"/>
  <c r="D16" i="71"/>
  <c r="O61" i="71"/>
  <c r="L404" i="83"/>
  <c r="M404" i="83" s="1"/>
  <c r="H61" i="71"/>
  <c r="J61" i="71" s="1"/>
  <c r="L327" i="83"/>
  <c r="M327" i="83" s="1"/>
  <c r="L381" i="83"/>
  <c r="M381" i="83" s="1"/>
  <c r="L331" i="83"/>
  <c r="M331" i="83" s="1"/>
  <c r="L537" i="83"/>
  <c r="M537" i="83" s="1"/>
  <c r="L302" i="83"/>
  <c r="M302" i="83" s="1"/>
  <c r="L371" i="83"/>
  <c r="M371" i="83" s="1"/>
  <c r="L454" i="83"/>
  <c r="M454" i="83" s="1"/>
  <c r="L428" i="83"/>
  <c r="M428" i="83" s="1"/>
  <c r="L433" i="83"/>
  <c r="M433" i="83" s="1"/>
  <c r="L458" i="83"/>
  <c r="M458" i="83" s="1"/>
  <c r="L443" i="83"/>
  <c r="M443" i="83" s="1"/>
  <c r="I9" i="71"/>
  <c r="L324" i="83"/>
  <c r="M324" i="83" s="1"/>
  <c r="D24" i="71"/>
  <c r="H51" i="71"/>
  <c r="G55" i="71"/>
  <c r="O50" i="71"/>
  <c r="D44" i="71"/>
  <c r="D38" i="71"/>
  <c r="D40" i="71"/>
  <c r="D21" i="71"/>
  <c r="J4" i="139"/>
  <c r="I4" i="139"/>
  <c r="L127" i="83"/>
  <c r="M127" i="83" s="1"/>
  <c r="G32" i="71"/>
  <c r="Q27" i="1"/>
  <c r="L485" i="83"/>
  <c r="M485" i="83" s="1"/>
  <c r="D39" i="71"/>
  <c r="D11" i="71"/>
  <c r="Q40" i="1"/>
  <c r="D17" i="71"/>
  <c r="Q6" i="1"/>
  <c r="G35" i="71"/>
  <c r="Q19" i="1"/>
  <c r="O7" i="139"/>
  <c r="O15" i="139"/>
  <c r="O33" i="139"/>
  <c r="P4" i="139"/>
  <c r="P8" i="139"/>
  <c r="Q16" i="1"/>
  <c r="D6" i="71"/>
  <c r="D46" i="71"/>
  <c r="D7" i="71"/>
  <c r="Q35" i="1"/>
  <c r="Q31" i="1"/>
  <c r="AD55" i="1"/>
  <c r="Q15" i="1"/>
  <c r="S37" i="1"/>
  <c r="Q37" i="1"/>
  <c r="Q29" i="1"/>
  <c r="AD71" i="1"/>
  <c r="I10" i="71"/>
  <c r="Q34" i="1"/>
  <c r="H30" i="71"/>
  <c r="R22" i="1"/>
  <c r="R9" i="1"/>
  <c r="R16" i="1"/>
  <c r="D42" i="71"/>
  <c r="G29" i="71"/>
  <c r="I50" i="71"/>
  <c r="K50" i="71" s="1"/>
  <c r="I58" i="71"/>
  <c r="H32" i="71"/>
  <c r="Q12" i="1"/>
  <c r="H48" i="71"/>
  <c r="H43" i="71"/>
  <c r="I53" i="71"/>
  <c r="D20" i="71"/>
  <c r="D12" i="71"/>
  <c r="G37" i="71"/>
  <c r="Q49" i="1"/>
  <c r="D18" i="71"/>
  <c r="D34" i="71"/>
  <c r="D48" i="71"/>
  <c r="D13" i="71"/>
  <c r="D43" i="71"/>
  <c r="D30" i="71"/>
  <c r="D37" i="71"/>
  <c r="I14" i="71"/>
  <c r="L108" i="83"/>
  <c r="M108" i="83" s="1"/>
  <c r="G42" i="71"/>
  <c r="H34" i="71"/>
  <c r="Q7" i="1"/>
  <c r="G24" i="71"/>
  <c r="Q48" i="1"/>
  <c r="H18" i="71"/>
  <c r="Q11" i="1"/>
  <c r="R10" i="1"/>
  <c r="R21" i="1"/>
  <c r="Q8" i="1"/>
  <c r="R46" i="1"/>
  <c r="Q17" i="1"/>
  <c r="Q20" i="1"/>
  <c r="Q36" i="1"/>
  <c r="Q26" i="1"/>
  <c r="R26" i="1"/>
  <c r="H5" i="71"/>
  <c r="I17" i="71"/>
  <c r="H7" i="71"/>
  <c r="I19" i="71"/>
  <c r="D15" i="71"/>
  <c r="I32" i="71"/>
  <c r="I27" i="71"/>
  <c r="G51" i="71"/>
  <c r="G58" i="71"/>
  <c r="I36" i="71"/>
  <c r="I6" i="71"/>
  <c r="I30" i="71"/>
  <c r="H12" i="71"/>
  <c r="H22" i="71"/>
  <c r="I24" i="71"/>
  <c r="I5" i="71"/>
  <c r="H35" i="71"/>
  <c r="D31" i="71"/>
  <c r="I25" i="71"/>
  <c r="I49" i="71"/>
  <c r="I46" i="71"/>
  <c r="H27" i="71"/>
  <c r="H47" i="71"/>
  <c r="H29" i="71"/>
  <c r="H25" i="71"/>
  <c r="I61" i="71"/>
  <c r="K61" i="71" s="1"/>
  <c r="D5" i="71"/>
  <c r="I12" i="71"/>
  <c r="I23" i="71"/>
  <c r="G44" i="71"/>
  <c r="G43" i="71"/>
  <c r="I44" i="71"/>
  <c r="I26" i="71"/>
  <c r="H52" i="71"/>
  <c r="H57" i="71"/>
  <c r="I43" i="71"/>
  <c r="H38" i="71"/>
  <c r="G21" i="71"/>
  <c r="I55" i="71"/>
  <c r="H41" i="71"/>
  <c r="H55" i="71"/>
  <c r="I7" i="71"/>
  <c r="H8" i="71"/>
  <c r="L466" i="83"/>
  <c r="M466" i="83" s="1"/>
  <c r="L105" i="83"/>
  <c r="M105" i="83" s="1"/>
  <c r="Q3" i="71"/>
  <c r="I37" i="71"/>
  <c r="G45" i="71"/>
  <c r="H50" i="71"/>
  <c r="J50" i="71" s="1"/>
  <c r="O31" i="139"/>
  <c r="I28" i="71"/>
  <c r="I29" i="71"/>
  <c r="I57" i="71"/>
  <c r="H31" i="71"/>
  <c r="H37" i="71"/>
  <c r="H14" i="71"/>
  <c r="H45" i="71"/>
  <c r="I38" i="71"/>
  <c r="H39" i="71"/>
  <c r="I16" i="71"/>
  <c r="H11" i="71"/>
  <c r="I39" i="71"/>
  <c r="H17" i="71"/>
  <c r="H44" i="71"/>
  <c r="H26" i="71"/>
  <c r="H54" i="71"/>
  <c r="G17" i="71"/>
  <c r="F15" i="71"/>
  <c r="I15" i="71" s="1"/>
  <c r="I20" i="71"/>
  <c r="G38" i="71"/>
  <c r="H60" i="71"/>
  <c r="I34" i="71"/>
  <c r="H24" i="71"/>
  <c r="H49" i="71"/>
  <c r="I56" i="71"/>
  <c r="G30" i="71"/>
  <c r="H16" i="71"/>
  <c r="I47" i="71"/>
  <c r="H28" i="71"/>
  <c r="H36" i="71"/>
  <c r="I59" i="71"/>
  <c r="B3" i="71"/>
  <c r="G31" i="71"/>
  <c r="G7" i="71"/>
  <c r="G5" i="71"/>
  <c r="I21" i="71"/>
  <c r="L263" i="83"/>
  <c r="M263" i="83" s="1"/>
  <c r="H42" i="71"/>
  <c r="H46" i="71"/>
  <c r="H21" i="71"/>
  <c r="I11" i="71"/>
  <c r="H40" i="71"/>
  <c r="H23" i="71"/>
  <c r="H33" i="71"/>
  <c r="I54" i="71"/>
  <c r="I52" i="71"/>
  <c r="I60" i="71"/>
  <c r="H53" i="71"/>
  <c r="I35" i="71"/>
  <c r="I13" i="71"/>
  <c r="I45" i="71"/>
  <c r="I18" i="71"/>
  <c r="G33" i="71"/>
  <c r="G49" i="71"/>
  <c r="L288" i="83"/>
  <c r="M288" i="83" s="1"/>
  <c r="G11" i="71"/>
  <c r="H9" i="71"/>
  <c r="H6" i="71"/>
  <c r="I8" i="71"/>
  <c r="H10" i="71"/>
  <c r="I41" i="71"/>
  <c r="H20" i="71"/>
  <c r="G40" i="71"/>
  <c r="G13" i="71"/>
  <c r="G34" i="71"/>
  <c r="E15" i="71"/>
  <c r="H15" i="71" s="1"/>
  <c r="G10" i="71"/>
  <c r="G12" i="71"/>
  <c r="G39" i="71"/>
  <c r="G48" i="71"/>
  <c r="I33" i="71"/>
  <c r="G6" i="71"/>
  <c r="G36" i="71"/>
  <c r="G20" i="71"/>
  <c r="I48" i="71"/>
  <c r="H19" i="71"/>
  <c r="L467" i="83"/>
  <c r="M467" i="83" s="1"/>
  <c r="G16" i="71"/>
  <c r="G46" i="71"/>
  <c r="L545" i="83"/>
  <c r="M545" i="83" s="1"/>
  <c r="G28" i="71"/>
  <c r="L295" i="83"/>
  <c r="M295" i="83" s="1"/>
  <c r="O5" i="139"/>
  <c r="H13" i="71"/>
  <c r="O10" i="139"/>
  <c r="G18" i="71"/>
  <c r="H56" i="71"/>
  <c r="I31" i="71"/>
  <c r="I51" i="71"/>
  <c r="I40" i="71"/>
  <c r="I42" i="71"/>
  <c r="I22" i="71"/>
  <c r="C3" i="71"/>
  <c r="S33" i="1" l="1"/>
  <c r="S24" i="1"/>
  <c r="S21" i="1"/>
  <c r="AD21" i="1"/>
  <c r="S10" i="1"/>
  <c r="S87" i="1"/>
  <c r="S51" i="1"/>
  <c r="S83" i="1"/>
  <c r="S75" i="1"/>
  <c r="S28" i="1"/>
  <c r="S59" i="1"/>
  <c r="S63" i="1"/>
  <c r="S68" i="1"/>
  <c r="S39" i="1"/>
  <c r="S43" i="1"/>
  <c r="S67" i="1"/>
  <c r="T346" i="1"/>
  <c r="U73" i="1"/>
  <c r="W73" i="1" s="1"/>
  <c r="AD73" i="1" s="1"/>
  <c r="AF73" i="1" s="1"/>
  <c r="K9" i="71"/>
  <c r="U268" i="1"/>
  <c r="T271" i="1"/>
  <c r="T254" i="1"/>
  <c r="V254" i="1" s="1"/>
  <c r="U346" i="1"/>
  <c r="W346" i="1" s="1"/>
  <c r="AD346" i="1" s="1"/>
  <c r="U262" i="1"/>
  <c r="U269" i="1"/>
  <c r="W269" i="1" s="1"/>
  <c r="T82" i="1"/>
  <c r="V82" i="1" s="1"/>
  <c r="K57" i="71"/>
  <c r="U271" i="1"/>
  <c r="W271" i="1" s="1"/>
  <c r="U82" i="1"/>
  <c r="W82" i="1" s="1"/>
  <c r="AD82" i="1" s="1"/>
  <c r="AF82" i="1" s="1"/>
  <c r="T377" i="1"/>
  <c r="U320" i="1"/>
  <c r="W320" i="1" s="1"/>
  <c r="AD320" i="1" s="1"/>
  <c r="U408" i="1"/>
  <c r="W408" i="1" s="1"/>
  <c r="U257" i="1"/>
  <c r="U255" i="1"/>
  <c r="W255" i="1" s="1"/>
  <c r="T408" i="1"/>
  <c r="V408" i="1" s="1"/>
  <c r="AC408" i="1" s="1"/>
  <c r="U206" i="1"/>
  <c r="W206" i="1" s="1"/>
  <c r="T73" i="1"/>
  <c r="V73" i="1" s="1"/>
  <c r="U377" i="1"/>
  <c r="J51" i="71"/>
  <c r="T269" i="1"/>
  <c r="V269" i="1" s="1"/>
  <c r="J19" i="71"/>
  <c r="U386" i="1"/>
  <c r="W386" i="1" s="1"/>
  <c r="AD386" i="1" s="1"/>
  <c r="U254" i="1"/>
  <c r="T130" i="1"/>
  <c r="V130" i="1" s="1"/>
  <c r="AC130" i="1" s="1"/>
  <c r="R8" i="139"/>
  <c r="K4" i="139"/>
  <c r="R4" i="139"/>
  <c r="T11" i="1"/>
  <c r="Q51" i="1"/>
  <c r="Q75" i="1"/>
  <c r="Q63" i="1"/>
  <c r="Q32" i="1"/>
  <c r="Q68" i="1"/>
  <c r="S71" i="1"/>
  <c r="AF71" i="1"/>
  <c r="S55" i="1"/>
  <c r="AF55" i="1"/>
  <c r="AG55" i="1" s="1"/>
  <c r="AB55" i="1" s="1"/>
  <c r="Q87" i="1"/>
  <c r="Q55" i="1"/>
  <c r="Q71" i="1"/>
  <c r="Q83" i="1"/>
  <c r="Q59" i="1"/>
  <c r="Q67" i="1"/>
  <c r="T397" i="1"/>
  <c r="T243" i="1"/>
  <c r="T65" i="1"/>
  <c r="V65" i="1" s="1"/>
  <c r="AC65" i="1" s="1"/>
  <c r="T403" i="1"/>
  <c r="T395" i="1"/>
  <c r="T72" i="1"/>
  <c r="V72" i="1" s="1"/>
  <c r="AC72" i="1" s="1"/>
  <c r="T194" i="1"/>
  <c r="T251" i="1"/>
  <c r="T396" i="1"/>
  <c r="T362" i="1"/>
  <c r="T163" i="1"/>
  <c r="T354" i="1"/>
  <c r="T200" i="1"/>
  <c r="T212" i="1"/>
  <c r="T170" i="1"/>
  <c r="T179" i="1"/>
  <c r="T167" i="1"/>
  <c r="U205" i="1"/>
  <c r="U239" i="1"/>
  <c r="U207" i="1"/>
  <c r="U175" i="1"/>
  <c r="U331" i="1"/>
  <c r="U203" i="1"/>
  <c r="U379" i="1"/>
  <c r="U209" i="1"/>
  <c r="U201" i="1"/>
  <c r="U218" i="1"/>
  <c r="U210" i="1"/>
  <c r="U184" i="1"/>
  <c r="U213" i="1"/>
  <c r="U185" i="1"/>
  <c r="U202" i="1"/>
  <c r="U216" i="1"/>
  <c r="U219" i="1"/>
  <c r="U177" i="1"/>
  <c r="U208" i="1"/>
  <c r="U211" i="1"/>
  <c r="J53" i="71"/>
  <c r="T257" i="1"/>
  <c r="T125" i="1"/>
  <c r="T227" i="1"/>
  <c r="T129" i="1"/>
  <c r="U164" i="1"/>
  <c r="U256" i="1"/>
  <c r="U240" i="1"/>
  <c r="U252" i="1"/>
  <c r="U233" i="1"/>
  <c r="U282" i="1"/>
  <c r="U376" i="1"/>
  <c r="T380" i="1"/>
  <c r="T172" i="1"/>
  <c r="T318" i="1"/>
  <c r="U172" i="1"/>
  <c r="U380" i="1"/>
  <c r="U318" i="1"/>
  <c r="T87" i="1"/>
  <c r="V87" i="1" s="1"/>
  <c r="T280" i="1"/>
  <c r="T260" i="1"/>
  <c r="T249" i="1"/>
  <c r="T74" i="1"/>
  <c r="V74" i="1" s="1"/>
  <c r="T236" i="1"/>
  <c r="T75" i="1"/>
  <c r="V75" i="1" s="1"/>
  <c r="J12" i="71"/>
  <c r="T59" i="1"/>
  <c r="V59" i="1" s="1"/>
  <c r="T338" i="1"/>
  <c r="T58" i="1"/>
  <c r="V58" i="1" s="1"/>
  <c r="AC58" i="1" s="1"/>
  <c r="T213" i="1"/>
  <c r="T207" i="1"/>
  <c r="T379" i="1"/>
  <c r="T219" i="1"/>
  <c r="T209" i="1"/>
  <c r="T177" i="1"/>
  <c r="T218" i="1"/>
  <c r="T216" i="1"/>
  <c r="T184" i="1"/>
  <c r="T211" i="1"/>
  <c r="T331" i="1"/>
  <c r="T203" i="1"/>
  <c r="T201" i="1"/>
  <c r="T239" i="1"/>
  <c r="T210" i="1"/>
  <c r="T205" i="1"/>
  <c r="T185" i="1"/>
  <c r="T175" i="1"/>
  <c r="T202" i="1"/>
  <c r="T208" i="1"/>
  <c r="T358" i="1"/>
  <c r="T145" i="1"/>
  <c r="T231" i="1"/>
  <c r="T374" i="1"/>
  <c r="T278" i="1"/>
  <c r="T150" i="1"/>
  <c r="T348" i="1"/>
  <c r="T91" i="1"/>
  <c r="V91" i="1" s="1"/>
  <c r="AC91" i="1" s="1"/>
  <c r="T402" i="1"/>
  <c r="T146" i="1"/>
  <c r="T160" i="1"/>
  <c r="T399" i="1"/>
  <c r="T144" i="1"/>
  <c r="T204" i="1"/>
  <c r="T105" i="1"/>
  <c r="T355" i="1"/>
  <c r="T276" i="1"/>
  <c r="T242" i="1"/>
  <c r="T133" i="1"/>
  <c r="T345" i="1"/>
  <c r="U260" i="1"/>
  <c r="U249" i="1"/>
  <c r="U74" i="1"/>
  <c r="W74" i="1" s="1"/>
  <c r="AD74" i="1" s="1"/>
  <c r="U280" i="1"/>
  <c r="U236" i="1"/>
  <c r="U75" i="1"/>
  <c r="W75" i="1" s="1"/>
  <c r="AD75" i="1" s="1"/>
  <c r="U87" i="1"/>
  <c r="W87" i="1" s="1"/>
  <c r="AD87" i="1" s="1"/>
  <c r="W268" i="1"/>
  <c r="J23" i="71"/>
  <c r="T206" i="1"/>
  <c r="T229" i="1"/>
  <c r="T314" i="1"/>
  <c r="T407" i="1"/>
  <c r="T132" i="1"/>
  <c r="T223" i="1"/>
  <c r="U301" i="1"/>
  <c r="U124" i="1"/>
  <c r="J55" i="71"/>
  <c r="T273" i="1"/>
  <c r="T261" i="1"/>
  <c r="T266" i="1"/>
  <c r="T264" i="1"/>
  <c r="T265" i="1"/>
  <c r="U343" i="1"/>
  <c r="U116" i="1"/>
  <c r="U230" i="1"/>
  <c r="J29" i="71"/>
  <c r="T63" i="1"/>
  <c r="V63" i="1" s="1"/>
  <c r="AC63" i="1" s="1"/>
  <c r="T290" i="1"/>
  <c r="U349" i="1"/>
  <c r="U143" i="1"/>
  <c r="U111" i="1"/>
  <c r="U388" i="1"/>
  <c r="U69" i="1"/>
  <c r="W69" i="1" s="1"/>
  <c r="U322" i="1"/>
  <c r="U321" i="1"/>
  <c r="U389" i="1"/>
  <c r="U151" i="1"/>
  <c r="U405" i="1"/>
  <c r="U391" i="1"/>
  <c r="U323" i="1"/>
  <c r="U77" i="1"/>
  <c r="W77" i="1" s="1"/>
  <c r="U401" i="1"/>
  <c r="U392" i="1"/>
  <c r="U141" i="1"/>
  <c r="U307" i="1"/>
  <c r="U390" i="1"/>
  <c r="U382" i="1"/>
  <c r="U274" i="1"/>
  <c r="T247" i="1"/>
  <c r="T135" i="1"/>
  <c r="T166" i="1"/>
  <c r="T134" i="1"/>
  <c r="T102" i="1"/>
  <c r="T187" i="1"/>
  <c r="T406" i="1"/>
  <c r="T246" i="1"/>
  <c r="T188" i="1"/>
  <c r="T156" i="1"/>
  <c r="T250" i="1"/>
  <c r="T186" i="1"/>
  <c r="T215" i="1"/>
  <c r="T140" i="1"/>
  <c r="T234" i="1"/>
  <c r="T99" i="1"/>
  <c r="T54" i="1"/>
  <c r="V54" i="1" s="1"/>
  <c r="T161" i="1"/>
  <c r="T158" i="1"/>
  <c r="T178" i="1"/>
  <c r="T138" i="1"/>
  <c r="T96" i="1"/>
  <c r="T332" i="1"/>
  <c r="T244" i="1"/>
  <c r="T224" i="1"/>
  <c r="T97" i="1"/>
  <c r="T55" i="1"/>
  <c r="V55" i="1" s="1"/>
  <c r="T139" i="1"/>
  <c r="T100" i="1"/>
  <c r="T225" i="1"/>
  <c r="T98" i="1"/>
  <c r="T176" i="1"/>
  <c r="T136" i="1"/>
  <c r="T95" i="1"/>
  <c r="T189" i="1"/>
  <c r="T94" i="1"/>
  <c r="T137" i="1"/>
  <c r="T174" i="1"/>
  <c r="T53" i="1"/>
  <c r="V53" i="1" s="1"/>
  <c r="J59" i="71"/>
  <c r="T272" i="1"/>
  <c r="V346" i="1"/>
  <c r="U317" i="1"/>
  <c r="U295" i="1"/>
  <c r="U300" i="1"/>
  <c r="U315" i="1"/>
  <c r="U316" i="1"/>
  <c r="U296" i="1"/>
  <c r="U125" i="1"/>
  <c r="U129" i="1"/>
  <c r="U227" i="1"/>
  <c r="T155" i="1"/>
  <c r="T157" i="1"/>
  <c r="T220" i="1"/>
  <c r="T61" i="1"/>
  <c r="V61" i="1" s="1"/>
  <c r="AC61" i="1" s="1"/>
  <c r="T154" i="1"/>
  <c r="T312" i="1"/>
  <c r="T237" i="1"/>
  <c r="T359" i="1"/>
  <c r="T84" i="1"/>
  <c r="V84" i="1" s="1"/>
  <c r="AC84" i="1" s="1"/>
  <c r="T297" i="1"/>
  <c r="T79" i="1"/>
  <c r="V79" i="1" s="1"/>
  <c r="AC79" i="1" s="1"/>
  <c r="T289" i="1"/>
  <c r="T165" i="1"/>
  <c r="T191" i="1"/>
  <c r="T149" i="1"/>
  <c r="T363" i="1"/>
  <c r="T235" i="1"/>
  <c r="T107" i="1"/>
  <c r="T193" i="1"/>
  <c r="T153" i="1"/>
  <c r="T360" i="1"/>
  <c r="T104" i="1"/>
  <c r="T383" i="1"/>
  <c r="T190" i="1"/>
  <c r="T372" i="1"/>
  <c r="T147" i="1"/>
  <c r="T298" i="1"/>
  <c r="T83" i="1"/>
  <c r="V83" i="1" s="1"/>
  <c r="AC83" i="1" s="1"/>
  <c r="T361" i="1"/>
  <c r="T375" i="1"/>
  <c r="T183" i="1"/>
  <c r="T370" i="1"/>
  <c r="T171" i="1"/>
  <c r="K11" i="71"/>
  <c r="U66" i="1"/>
  <c r="W66" i="1" s="1"/>
  <c r="AD66" i="1" s="1"/>
  <c r="U64" i="1"/>
  <c r="W64" i="1" s="1"/>
  <c r="AD64" i="1" s="1"/>
  <c r="U68" i="1"/>
  <c r="W68" i="1" s="1"/>
  <c r="AD68" i="1" s="1"/>
  <c r="U378" i="1"/>
  <c r="U313" i="1"/>
  <c r="U310" i="1"/>
  <c r="U168" i="1"/>
  <c r="U311" i="1"/>
  <c r="U86" i="1"/>
  <c r="W86" i="1" s="1"/>
  <c r="AD86" i="1" s="1"/>
  <c r="U169" i="1"/>
  <c r="K59" i="71"/>
  <c r="U272" i="1"/>
  <c r="J49" i="71"/>
  <c r="T255" i="1"/>
  <c r="T357" i="1"/>
  <c r="T293" i="1"/>
  <c r="T71" i="1"/>
  <c r="V71" i="1" s="1"/>
  <c r="T70" i="1"/>
  <c r="V70" i="1" s="1"/>
  <c r="T411" i="1"/>
  <c r="T347" i="1"/>
  <c r="T60" i="1"/>
  <c r="V60" i="1" s="1"/>
  <c r="T113" i="1"/>
  <c r="T88" i="1"/>
  <c r="V88" i="1" s="1"/>
  <c r="T342" i="1"/>
  <c r="T410" i="1"/>
  <c r="T152" i="1"/>
  <c r="T57" i="1"/>
  <c r="V57" i="1" s="1"/>
  <c r="T285" i="1"/>
  <c r="T333" i="1"/>
  <c r="T253" i="1"/>
  <c r="T334" i="1"/>
  <c r="T291" i="1"/>
  <c r="T76" i="1"/>
  <c r="V76" i="1" s="1"/>
  <c r="T226" i="1"/>
  <c r="T112" i="1"/>
  <c r="T56" i="1"/>
  <c r="V56" i="1" s="1"/>
  <c r="T286" i="1"/>
  <c r="T340" i="1"/>
  <c r="T335" i="1"/>
  <c r="T238" i="1"/>
  <c r="T62" i="1"/>
  <c r="V62" i="1" s="1"/>
  <c r="T195" i="1"/>
  <c r="T258" i="1"/>
  <c r="T409" i="1"/>
  <c r="T281" i="1"/>
  <c r="T287" i="1"/>
  <c r="T275" i="1"/>
  <c r="T352" i="1"/>
  <c r="T279" i="1"/>
  <c r="T101" i="1"/>
  <c r="T353" i="1"/>
  <c r="T350" i="1"/>
  <c r="T222" i="1"/>
  <c r="T404" i="1"/>
  <c r="T108" i="1"/>
  <c r="T228" i="1"/>
  <c r="T299" i="1"/>
  <c r="T259" i="1"/>
  <c r="T385" i="1"/>
  <c r="T217" i="1"/>
  <c r="J41" i="71"/>
  <c r="T386" i="1"/>
  <c r="U59" i="1"/>
  <c r="W59" i="1" s="1"/>
  <c r="AD59" i="1" s="1"/>
  <c r="U338" i="1"/>
  <c r="U58" i="1"/>
  <c r="W58" i="1" s="1"/>
  <c r="AD58" i="1" s="1"/>
  <c r="U157" i="1"/>
  <c r="U237" i="1"/>
  <c r="U375" i="1"/>
  <c r="U191" i="1"/>
  <c r="U363" i="1"/>
  <c r="U235" i="1"/>
  <c r="U171" i="1"/>
  <c r="U107" i="1"/>
  <c r="U289" i="1"/>
  <c r="U193" i="1"/>
  <c r="U79" i="1"/>
  <c r="W79" i="1" s="1"/>
  <c r="AD79" i="1" s="1"/>
  <c r="U220" i="1"/>
  <c r="U165" i="1"/>
  <c r="U155" i="1"/>
  <c r="U153" i="1"/>
  <c r="U360" i="1"/>
  <c r="U104" i="1"/>
  <c r="U383" i="1"/>
  <c r="U190" i="1"/>
  <c r="U372" i="1"/>
  <c r="U147" i="1"/>
  <c r="U298" i="1"/>
  <c r="U83" i="1"/>
  <c r="W83" i="1" s="1"/>
  <c r="AD83" i="1" s="1"/>
  <c r="U361" i="1"/>
  <c r="U312" i="1"/>
  <c r="U183" i="1"/>
  <c r="U149" i="1"/>
  <c r="U370" i="1"/>
  <c r="U61" i="1"/>
  <c r="W61" i="1" s="1"/>
  <c r="AD61" i="1" s="1"/>
  <c r="U154" i="1"/>
  <c r="U359" i="1"/>
  <c r="U84" i="1"/>
  <c r="W84" i="1" s="1"/>
  <c r="AD84" i="1" s="1"/>
  <c r="U297" i="1"/>
  <c r="V377" i="1"/>
  <c r="J58" i="71"/>
  <c r="T267" i="1"/>
  <c r="T80" i="1"/>
  <c r="V80" i="1" s="1"/>
  <c r="T119" i="1"/>
  <c r="T81" i="1"/>
  <c r="V81" i="1" s="1"/>
  <c r="W262" i="1"/>
  <c r="T328" i="1"/>
  <c r="T398" i="1"/>
  <c r="T142" i="1"/>
  <c r="U328" i="1"/>
  <c r="U398" i="1"/>
  <c r="U142" i="1"/>
  <c r="T325" i="1"/>
  <c r="T326" i="1"/>
  <c r="T284" i="1"/>
  <c r="T248" i="1"/>
  <c r="T245" i="1"/>
  <c r="T394" i="1"/>
  <c r="T381" i="1"/>
  <c r="T327" i="1"/>
  <c r="T324" i="1"/>
  <c r="T393" i="1"/>
  <c r="T387" i="1"/>
  <c r="T67" i="1"/>
  <c r="V67" i="1" s="1"/>
  <c r="AC67" i="1" s="1"/>
  <c r="T252" i="1"/>
  <c r="T282" i="1"/>
  <c r="T376" i="1"/>
  <c r="T240" i="1"/>
  <c r="T164" i="1"/>
  <c r="T233" i="1"/>
  <c r="T256" i="1"/>
  <c r="T294" i="1"/>
  <c r="T118" i="1"/>
  <c r="T122" i="1"/>
  <c r="T85" i="1"/>
  <c r="V85" i="1" s="1"/>
  <c r="J24" i="71"/>
  <c r="T283" i="1"/>
  <c r="T181" i="1"/>
  <c r="T329" i="1"/>
  <c r="T400" i="1"/>
  <c r="T230" i="1"/>
  <c r="T343" i="1"/>
  <c r="T116" i="1"/>
  <c r="U309" i="1"/>
  <c r="U78" i="1"/>
  <c r="W78" i="1" s="1"/>
  <c r="U115" i="1"/>
  <c r="U117" i="1"/>
  <c r="U241" i="1"/>
  <c r="U270" i="1"/>
  <c r="U330" i="1"/>
  <c r="U114" i="1"/>
  <c r="U319" i="1"/>
  <c r="U308" i="1"/>
  <c r="J52" i="71"/>
  <c r="T262" i="1"/>
  <c r="U96" i="1"/>
  <c r="U99" i="1"/>
  <c r="U224" i="1"/>
  <c r="U97" i="1"/>
  <c r="U189" i="1"/>
  <c r="U55" i="1"/>
  <c r="W55" i="1" s="1"/>
  <c r="U94" i="1"/>
  <c r="U139" i="1"/>
  <c r="U225" i="1"/>
  <c r="U161" i="1"/>
  <c r="U98" i="1"/>
  <c r="U166" i="1"/>
  <c r="U53" i="1"/>
  <c r="W53" i="1" s="1"/>
  <c r="AD53" i="1" s="1"/>
  <c r="U186" i="1"/>
  <c r="U246" i="1"/>
  <c r="U158" i="1"/>
  <c r="U178" i="1"/>
  <c r="U138" i="1"/>
  <c r="U247" i="1"/>
  <c r="U406" i="1"/>
  <c r="U332" i="1"/>
  <c r="U244" i="1"/>
  <c r="U135" i="1"/>
  <c r="U102" i="1"/>
  <c r="U54" i="1"/>
  <c r="W54" i="1" s="1"/>
  <c r="U156" i="1"/>
  <c r="U187" i="1"/>
  <c r="U100" i="1"/>
  <c r="U250" i="1"/>
  <c r="U176" i="1"/>
  <c r="U136" i="1"/>
  <c r="U95" i="1"/>
  <c r="U137" i="1"/>
  <c r="U174" i="1"/>
  <c r="U134" i="1"/>
  <c r="U188" i="1"/>
  <c r="U215" i="1"/>
  <c r="U140" i="1"/>
  <c r="U234" i="1"/>
  <c r="W257" i="1"/>
  <c r="K58" i="71"/>
  <c r="U267" i="1"/>
  <c r="U167" i="1"/>
  <c r="U354" i="1"/>
  <c r="U251" i="1"/>
  <c r="U163" i="1"/>
  <c r="U200" i="1"/>
  <c r="U212" i="1"/>
  <c r="U170" i="1"/>
  <c r="U179" i="1"/>
  <c r="U396" i="1"/>
  <c r="U362" i="1"/>
  <c r="U80" i="1"/>
  <c r="W80" i="1" s="1"/>
  <c r="U119" i="1"/>
  <c r="U81" i="1"/>
  <c r="W81" i="1" s="1"/>
  <c r="T365" i="1"/>
  <c r="T92" i="1"/>
  <c r="T369" i="1"/>
  <c r="T337" i="1"/>
  <c r="T214" i="1"/>
  <c r="T182" i="1"/>
  <c r="T93" i="1"/>
  <c r="T344" i="1"/>
  <c r="T89" i="1"/>
  <c r="V89" i="1" s="1"/>
  <c r="AC89" i="1" s="1"/>
  <c r="T341" i="1"/>
  <c r="T339" i="1"/>
  <c r="T106" i="1"/>
  <c r="T368" i="1"/>
  <c r="T199" i="1"/>
  <c r="T103" i="1"/>
  <c r="T371" i="1"/>
  <c r="T192" i="1"/>
  <c r="T366" i="1"/>
  <c r="T110" i="1"/>
  <c r="T232" i="1"/>
  <c r="T373" i="1"/>
  <c r="T109" i="1"/>
  <c r="T277" i="1"/>
  <c r="T162" i="1"/>
  <c r="T367" i="1"/>
  <c r="T364" i="1"/>
  <c r="T148" i="1"/>
  <c r="T384" i="1"/>
  <c r="T128" i="1"/>
  <c r="T356" i="1"/>
  <c r="T90" i="1"/>
  <c r="V90" i="1" s="1"/>
  <c r="AC90" i="1" s="1"/>
  <c r="T198" i="1"/>
  <c r="T120" i="1"/>
  <c r="T126" i="1"/>
  <c r="T302" i="1"/>
  <c r="U381" i="1"/>
  <c r="U324" i="1"/>
  <c r="U67" i="1"/>
  <c r="W67" i="1" s="1"/>
  <c r="U245" i="1"/>
  <c r="U325" i="1"/>
  <c r="U394" i="1"/>
  <c r="U326" i="1"/>
  <c r="U327" i="1"/>
  <c r="U284" i="1"/>
  <c r="U393" i="1"/>
  <c r="U387" i="1"/>
  <c r="U248" i="1"/>
  <c r="T305" i="1"/>
  <c r="T303" i="1"/>
  <c r="T351" i="1"/>
  <c r="T306" i="1"/>
  <c r="T221" i="1"/>
  <c r="T304" i="1"/>
  <c r="U290" i="1"/>
  <c r="U63" i="1"/>
  <c r="W63" i="1" s="1"/>
  <c r="AD63" i="1" s="1"/>
  <c r="K55" i="71"/>
  <c r="U273" i="1"/>
  <c r="U294" i="1"/>
  <c r="U118" i="1"/>
  <c r="U85" i="1"/>
  <c r="W85" i="1" s="1"/>
  <c r="U122" i="1"/>
  <c r="J7" i="71"/>
  <c r="T319" i="1"/>
  <c r="T241" i="1"/>
  <c r="T308" i="1"/>
  <c r="T117" i="1"/>
  <c r="T78" i="1"/>
  <c r="V78" i="1" s="1"/>
  <c r="T115" i="1"/>
  <c r="T309" i="1"/>
  <c r="T270" i="1"/>
  <c r="T330" i="1"/>
  <c r="T114" i="1"/>
  <c r="T123" i="1"/>
  <c r="T288" i="1"/>
  <c r="T121" i="1"/>
  <c r="T292" i="1"/>
  <c r="T127" i="1"/>
  <c r="T263" i="1"/>
  <c r="T131" i="1"/>
  <c r="T336" i="1"/>
  <c r="T197" i="1"/>
  <c r="T173" i="1"/>
  <c r="T159" i="1"/>
  <c r="T180" i="1"/>
  <c r="T196" i="1"/>
  <c r="V271" i="1"/>
  <c r="T124" i="1"/>
  <c r="T301" i="1"/>
  <c r="U196" i="1"/>
  <c r="U159" i="1"/>
  <c r="U173" i="1"/>
  <c r="U197" i="1"/>
  <c r="U180" i="1"/>
  <c r="U285" i="1"/>
  <c r="U253" i="1"/>
  <c r="U333" i="1"/>
  <c r="U335" i="1"/>
  <c r="U279" i="1"/>
  <c r="U101" i="1"/>
  <c r="U228" i="1"/>
  <c r="U258" i="1"/>
  <c r="U226" i="1"/>
  <c r="U352" i="1"/>
  <c r="U293" i="1"/>
  <c r="U62" i="1"/>
  <c r="W62" i="1" s="1"/>
  <c r="AD62" i="1" s="1"/>
  <c r="U299" i="1"/>
  <c r="U76" i="1"/>
  <c r="W76" i="1" s="1"/>
  <c r="U385" i="1"/>
  <c r="U353" i="1"/>
  <c r="U334" i="1"/>
  <c r="U291" i="1"/>
  <c r="U112" i="1"/>
  <c r="U56" i="1"/>
  <c r="W56" i="1" s="1"/>
  <c r="AD56" i="1" s="1"/>
  <c r="U286" i="1"/>
  <c r="U340" i="1"/>
  <c r="U152" i="1"/>
  <c r="U238" i="1"/>
  <c r="U71" i="1"/>
  <c r="W71" i="1" s="1"/>
  <c r="U70" i="1"/>
  <c r="W70" i="1" s="1"/>
  <c r="U411" i="1"/>
  <c r="U195" i="1"/>
  <c r="U409" i="1"/>
  <c r="U281" i="1"/>
  <c r="U113" i="1"/>
  <c r="U287" i="1"/>
  <c r="U275" i="1"/>
  <c r="U57" i="1"/>
  <c r="W57" i="1" s="1"/>
  <c r="U88" i="1"/>
  <c r="W88" i="1" s="1"/>
  <c r="AD88" i="1" s="1"/>
  <c r="U60" i="1"/>
  <c r="W60" i="1" s="1"/>
  <c r="AD60" i="1" s="1"/>
  <c r="U350" i="1"/>
  <c r="U222" i="1"/>
  <c r="U404" i="1"/>
  <c r="U108" i="1"/>
  <c r="U357" i="1"/>
  <c r="U347" i="1"/>
  <c r="U259" i="1"/>
  <c r="U410" i="1"/>
  <c r="U217" i="1"/>
  <c r="U342" i="1"/>
  <c r="U399" i="1"/>
  <c r="U133" i="1"/>
  <c r="U160" i="1"/>
  <c r="U348" i="1"/>
  <c r="U374" i="1"/>
  <c r="U91" i="1"/>
  <c r="W91" i="1" s="1"/>
  <c r="AD91" i="1" s="1"/>
  <c r="U144" i="1"/>
  <c r="U278" i="1"/>
  <c r="U150" i="1"/>
  <c r="U204" i="1"/>
  <c r="U105" i="1"/>
  <c r="U231" i="1"/>
  <c r="U358" i="1"/>
  <c r="U355" i="1"/>
  <c r="U145" i="1"/>
  <c r="U276" i="1"/>
  <c r="U242" i="1"/>
  <c r="U345" i="1"/>
  <c r="U402" i="1"/>
  <c r="U146" i="1"/>
  <c r="K35" i="71"/>
  <c r="U130" i="1"/>
  <c r="T315" i="1"/>
  <c r="T316" i="1"/>
  <c r="T317" i="1"/>
  <c r="T295" i="1"/>
  <c r="T300" i="1"/>
  <c r="T296" i="1"/>
  <c r="U292" i="1"/>
  <c r="U288" i="1"/>
  <c r="U263" i="1"/>
  <c r="U123" i="1"/>
  <c r="U121" i="1"/>
  <c r="U127" i="1"/>
  <c r="U131" i="1"/>
  <c r="U336" i="1"/>
  <c r="U132" i="1"/>
  <c r="U314" i="1"/>
  <c r="U229" i="1"/>
  <c r="U223" i="1"/>
  <c r="U407" i="1"/>
  <c r="U198" i="1"/>
  <c r="U302" i="1"/>
  <c r="U126" i="1"/>
  <c r="U120" i="1"/>
  <c r="K24" i="71"/>
  <c r="U329" i="1"/>
  <c r="U283" i="1"/>
  <c r="U400" i="1"/>
  <c r="U181" i="1"/>
  <c r="U365" i="1"/>
  <c r="U367" i="1"/>
  <c r="U356" i="1"/>
  <c r="U162" i="1"/>
  <c r="U384" i="1"/>
  <c r="U192" i="1"/>
  <c r="U128" i="1"/>
  <c r="U341" i="1"/>
  <c r="U93" i="1"/>
  <c r="U337" i="1"/>
  <c r="U368" i="1"/>
  <c r="U199" i="1"/>
  <c r="U103" i="1"/>
  <c r="U371" i="1"/>
  <c r="U366" i="1"/>
  <c r="U110" i="1"/>
  <c r="U369" i="1"/>
  <c r="U232" i="1"/>
  <c r="U109" i="1"/>
  <c r="U373" i="1"/>
  <c r="U182" i="1"/>
  <c r="U364" i="1"/>
  <c r="U148" i="1"/>
  <c r="U344" i="1"/>
  <c r="U89" i="1"/>
  <c r="W89" i="1" s="1"/>
  <c r="AD89" i="1" s="1"/>
  <c r="U277" i="1"/>
  <c r="U92" i="1"/>
  <c r="U90" i="1"/>
  <c r="W90" i="1" s="1"/>
  <c r="AD90" i="1" s="1"/>
  <c r="U214" i="1"/>
  <c r="U339" i="1"/>
  <c r="U106" i="1"/>
  <c r="W254" i="1"/>
  <c r="J60" i="71"/>
  <c r="T268" i="1"/>
  <c r="U397" i="1"/>
  <c r="U194" i="1"/>
  <c r="U65" i="1"/>
  <c r="W65" i="1" s="1"/>
  <c r="U395" i="1"/>
  <c r="U243" i="1"/>
  <c r="U403" i="1"/>
  <c r="U72" i="1"/>
  <c r="W72" i="1" s="1"/>
  <c r="AD72" i="1" s="1"/>
  <c r="T64" i="1"/>
  <c r="V64" i="1" s="1"/>
  <c r="AC64" i="1" s="1"/>
  <c r="T310" i="1"/>
  <c r="T378" i="1"/>
  <c r="T311" i="1"/>
  <c r="T169" i="1"/>
  <c r="T68" i="1"/>
  <c r="V68" i="1" s="1"/>
  <c r="AC68" i="1" s="1"/>
  <c r="T66" i="1"/>
  <c r="V66" i="1" s="1"/>
  <c r="AC66" i="1" s="1"/>
  <c r="T86" i="1"/>
  <c r="V86" i="1" s="1"/>
  <c r="AC86" i="1" s="1"/>
  <c r="T313" i="1"/>
  <c r="T168" i="1"/>
  <c r="K38" i="71"/>
  <c r="U261" i="1"/>
  <c r="U266" i="1"/>
  <c r="U264" i="1"/>
  <c r="U265" i="1"/>
  <c r="J22" i="71"/>
  <c r="T320" i="1"/>
  <c r="K17" i="71"/>
  <c r="U221" i="1"/>
  <c r="U303" i="1"/>
  <c r="U351" i="1"/>
  <c r="U306" i="1"/>
  <c r="U304" i="1"/>
  <c r="U305" i="1"/>
  <c r="T389" i="1"/>
  <c r="T391" i="1"/>
  <c r="T390" i="1"/>
  <c r="T401" i="1"/>
  <c r="T111" i="1"/>
  <c r="T382" i="1"/>
  <c r="T274" i="1"/>
  <c r="T405" i="1"/>
  <c r="T388" i="1"/>
  <c r="T151" i="1"/>
  <c r="T143" i="1"/>
  <c r="T323" i="1"/>
  <c r="T321" i="1"/>
  <c r="T77" i="1"/>
  <c r="V77" i="1" s="1"/>
  <c r="AC77" i="1" s="1"/>
  <c r="T69" i="1"/>
  <c r="V69" i="1" s="1"/>
  <c r="AC69" i="1" s="1"/>
  <c r="T392" i="1"/>
  <c r="T141" i="1"/>
  <c r="T307" i="1"/>
  <c r="T349" i="1"/>
  <c r="T322" i="1"/>
  <c r="Q23" i="1"/>
  <c r="Q43" i="1"/>
  <c r="Q10" i="1"/>
  <c r="Q39" i="1"/>
  <c r="Q28" i="1"/>
  <c r="S18" i="1"/>
  <c r="Q18" i="1"/>
  <c r="Q24" i="1"/>
  <c r="T22" i="1"/>
  <c r="V22" i="1" s="1"/>
  <c r="AC22" i="1" s="1"/>
  <c r="U49" i="1"/>
  <c r="W49" i="1" s="1"/>
  <c r="AD49" i="1" s="1"/>
  <c r="U29" i="1"/>
  <c r="T43" i="1"/>
  <c r="V43" i="1" s="1"/>
  <c r="T41" i="1"/>
  <c r="V41" i="1" s="1"/>
  <c r="T26" i="1"/>
  <c r="V26" i="1" s="1"/>
  <c r="AC26" i="1" s="1"/>
  <c r="U23" i="1"/>
  <c r="W23" i="1" s="1"/>
  <c r="U22" i="1"/>
  <c r="W22" i="1" s="1"/>
  <c r="U15" i="1"/>
  <c r="U27" i="1"/>
  <c r="U11" i="1"/>
  <c r="W11" i="1" s="1"/>
  <c r="T12" i="1"/>
  <c r="V12" i="1" s="1"/>
  <c r="T9" i="1"/>
  <c r="V9" i="1" s="1"/>
  <c r="AC9" i="1" s="1"/>
  <c r="U9" i="1"/>
  <c r="J18" i="71"/>
  <c r="U32" i="1"/>
  <c r="W32" i="1" s="1"/>
  <c r="L61" i="71"/>
  <c r="P61" i="71" s="1"/>
  <c r="T29" i="1"/>
  <c r="V29" i="1" s="1"/>
  <c r="U43" i="1"/>
  <c r="U48" i="1"/>
  <c r="U40" i="1"/>
  <c r="W40" i="1" s="1"/>
  <c r="K19" i="71"/>
  <c r="L19" i="71" s="1"/>
  <c r="K12" i="71"/>
  <c r="U16" i="1"/>
  <c r="W16" i="1" s="1"/>
  <c r="J32" i="71"/>
  <c r="K53" i="71"/>
  <c r="K60" i="71"/>
  <c r="K14" i="71"/>
  <c r="J54" i="71"/>
  <c r="K25" i="71"/>
  <c r="J8" i="71"/>
  <c r="J30" i="71"/>
  <c r="J43" i="71"/>
  <c r="K36" i="71"/>
  <c r="K28" i="71"/>
  <c r="K27" i="71"/>
  <c r="T47" i="1"/>
  <c r="J57" i="71"/>
  <c r="L57" i="71" s="1"/>
  <c r="J38" i="71"/>
  <c r="J16" i="71"/>
  <c r="K32" i="71"/>
  <c r="K20" i="71"/>
  <c r="J17" i="71"/>
  <c r="K46" i="71"/>
  <c r="U18" i="1"/>
  <c r="J36" i="71"/>
  <c r="K39" i="71"/>
  <c r="O27" i="139"/>
  <c r="O11" i="139"/>
  <c r="T17" i="1"/>
  <c r="V17" i="1" s="1"/>
  <c r="T8" i="1"/>
  <c r="T34" i="1"/>
  <c r="J45" i="71"/>
  <c r="T10" i="1"/>
  <c r="V10" i="1" s="1"/>
  <c r="U39" i="1"/>
  <c r="W39" i="1" s="1"/>
  <c r="AD39" i="1" s="1"/>
  <c r="K7" i="71"/>
  <c r="K45" i="71"/>
  <c r="J14" i="71"/>
  <c r="J48" i="71"/>
  <c r="T37" i="1"/>
  <c r="T25" i="1"/>
  <c r="K49" i="71"/>
  <c r="K6" i="71"/>
  <c r="U17" i="1"/>
  <c r="U36" i="1"/>
  <c r="W36" i="1" s="1"/>
  <c r="AD36" i="1" s="1"/>
  <c r="T35" i="1"/>
  <c r="T6" i="1"/>
  <c r="Q33" i="1"/>
  <c r="U7" i="1"/>
  <c r="W7" i="1" s="1"/>
  <c r="T42" i="1"/>
  <c r="T18" i="1"/>
  <c r="V18" i="1" s="1"/>
  <c r="J35" i="71"/>
  <c r="D3" i="71"/>
  <c r="J47" i="71"/>
  <c r="J26" i="71"/>
  <c r="T30" i="1"/>
  <c r="V30" i="1" s="1"/>
  <c r="J5" i="71"/>
  <c r="T52" i="1"/>
  <c r="T24" i="1"/>
  <c r="T45" i="1"/>
  <c r="V45" i="1" s="1"/>
  <c r="AC45" i="1" s="1"/>
  <c r="J27" i="71"/>
  <c r="K10" i="71"/>
  <c r="L50" i="71"/>
  <c r="P50" i="71" s="1"/>
  <c r="U13" i="1"/>
  <c r="J37" i="71"/>
  <c r="K37" i="71"/>
  <c r="U26" i="1"/>
  <c r="U42" i="1"/>
  <c r="J34" i="71"/>
  <c r="T16" i="1"/>
  <c r="Q21" i="1"/>
  <c r="K26" i="71"/>
  <c r="K30" i="71"/>
  <c r="K29" i="71"/>
  <c r="J31" i="71"/>
  <c r="U28" i="1"/>
  <c r="S14" i="1"/>
  <c r="Q14" i="1"/>
  <c r="S38" i="1"/>
  <c r="Q38" i="1"/>
  <c r="S13" i="1"/>
  <c r="Q13" i="1"/>
  <c r="K54" i="71"/>
  <c r="T21" i="1"/>
  <c r="T15" i="1"/>
  <c r="T36" i="1"/>
  <c r="J42" i="71"/>
  <c r="T40" i="1"/>
  <c r="V40" i="1" s="1"/>
  <c r="T14" i="1"/>
  <c r="T38" i="1"/>
  <c r="U34" i="1"/>
  <c r="W34" i="1" s="1"/>
  <c r="AD34" i="1" s="1"/>
  <c r="U30" i="1"/>
  <c r="K8" i="71"/>
  <c r="K5" i="71"/>
  <c r="U25" i="1"/>
  <c r="W25" i="1" s="1"/>
  <c r="U45" i="1"/>
  <c r="U24" i="1"/>
  <c r="K44" i="71"/>
  <c r="J20" i="71"/>
  <c r="J11" i="71"/>
  <c r="T50" i="1"/>
  <c r="T44" i="1"/>
  <c r="T33" i="1"/>
  <c r="K23" i="71"/>
  <c r="T49" i="1"/>
  <c r="U52" i="1"/>
  <c r="U12" i="1"/>
  <c r="K52" i="71"/>
  <c r="K21" i="71"/>
  <c r="K43" i="71"/>
  <c r="J25" i="71"/>
  <c r="U35" i="1"/>
  <c r="J39" i="71"/>
  <c r="U6" i="1"/>
  <c r="W6" i="1" s="1"/>
  <c r="AD6" i="1" s="1"/>
  <c r="J40" i="71"/>
  <c r="K51" i="71"/>
  <c r="K41" i="71"/>
  <c r="J44" i="71"/>
  <c r="J46" i="71"/>
  <c r="U21" i="1"/>
  <c r="K34" i="71"/>
  <c r="U38" i="1"/>
  <c r="K42" i="71"/>
  <c r="U50" i="1"/>
  <c r="J28" i="71"/>
  <c r="K56" i="71"/>
  <c r="U51" i="1"/>
  <c r="K15" i="71"/>
  <c r="T7" i="1"/>
  <c r="U8" i="1"/>
  <c r="F3" i="71"/>
  <c r="U31" i="1"/>
  <c r="U10" i="1"/>
  <c r="U37" i="1"/>
  <c r="T39" i="1"/>
  <c r="J6" i="71"/>
  <c r="T27" i="1"/>
  <c r="T32" i="1"/>
  <c r="U14" i="1"/>
  <c r="U33" i="1"/>
  <c r="T28" i="1"/>
  <c r="T23" i="1"/>
  <c r="T31" i="1"/>
  <c r="U44" i="1"/>
  <c r="G15" i="71"/>
  <c r="G3" i="71" s="1"/>
  <c r="K16" i="71"/>
  <c r="K47" i="71"/>
  <c r="T51" i="1"/>
  <c r="K31" i="71"/>
  <c r="J21" i="71"/>
  <c r="K13" i="71"/>
  <c r="T46" i="1"/>
  <c r="J9" i="71"/>
  <c r="L9" i="71" s="1"/>
  <c r="U46" i="1"/>
  <c r="J13" i="71"/>
  <c r="E3" i="71"/>
  <c r="J15" i="71"/>
  <c r="U19" i="1"/>
  <c r="U20" i="1"/>
  <c r="T19" i="1"/>
  <c r="T48" i="1"/>
  <c r="K33" i="71"/>
  <c r="T13" i="1"/>
  <c r="K18" i="71"/>
  <c r="J33" i="71"/>
  <c r="J10" i="71"/>
  <c r="U41" i="1"/>
  <c r="K40" i="71"/>
  <c r="K48" i="71"/>
  <c r="T20" i="1"/>
  <c r="J56" i="71"/>
  <c r="U47" i="1"/>
  <c r="K22" i="71"/>
  <c r="X73" i="1" l="1"/>
  <c r="W377" i="1"/>
  <c r="AD377" i="1" s="1"/>
  <c r="L51" i="71"/>
  <c r="AC18" i="1"/>
  <c r="AE18" i="1" s="1"/>
  <c r="AD16" i="1"/>
  <c r="AC75" i="1"/>
  <c r="AE75" i="1" s="1"/>
  <c r="AC53" i="1"/>
  <c r="G55" i="139"/>
  <c r="AC10" i="1"/>
  <c r="AE10" i="1" s="1"/>
  <c r="H55" i="139" s="1"/>
  <c r="AD22" i="1"/>
  <c r="AD57" i="1"/>
  <c r="AC85" i="1"/>
  <c r="AE85" i="1" s="1"/>
  <c r="AC87" i="1"/>
  <c r="AE87" i="1" s="1"/>
  <c r="AD7" i="1"/>
  <c r="AD65" i="1"/>
  <c r="AF65" i="1" s="1"/>
  <c r="AD76" i="1"/>
  <c r="AF76" i="1" s="1"/>
  <c r="AC254" i="1"/>
  <c r="AE254" i="1" s="1"/>
  <c r="AC70" i="1"/>
  <c r="AE70" i="1" s="1"/>
  <c r="AC346" i="1"/>
  <c r="AE346" i="1" s="1"/>
  <c r="H44" i="139" s="1"/>
  <c r="AC59" i="1"/>
  <c r="AE59" i="1" s="1"/>
  <c r="AC74" i="1"/>
  <c r="AE74" i="1" s="1"/>
  <c r="G53" i="139"/>
  <c r="AC73" i="1"/>
  <c r="AE73" i="1" s="1"/>
  <c r="H53" i="139" s="1"/>
  <c r="AD40" i="1"/>
  <c r="AC62" i="1"/>
  <c r="AE62" i="1" s="1"/>
  <c r="AC76" i="1"/>
  <c r="AE76" i="1" s="1"/>
  <c r="AC71" i="1"/>
  <c r="AE71" i="1" s="1"/>
  <c r="AG71" i="1" s="1"/>
  <c r="AB71" i="1" s="1"/>
  <c r="AD206" i="1"/>
  <c r="AF206" i="1" s="1"/>
  <c r="G48" i="139"/>
  <c r="AC82" i="1"/>
  <c r="AE82" i="1" s="1"/>
  <c r="AD408" i="1"/>
  <c r="AF408" i="1" s="1"/>
  <c r="AC60" i="1"/>
  <c r="AE60" i="1" s="1"/>
  <c r="AC41" i="1"/>
  <c r="AE41" i="1" s="1"/>
  <c r="AD78" i="1"/>
  <c r="AF78" i="1" s="1"/>
  <c r="AG78" i="1" s="1"/>
  <c r="AB78" i="1" s="1"/>
  <c r="AD70" i="1"/>
  <c r="AF70" i="1" s="1"/>
  <c r="AC12" i="1"/>
  <c r="AE12" i="1" s="1"/>
  <c r="AC43" i="1"/>
  <c r="AE43" i="1" s="1"/>
  <c r="AC377" i="1"/>
  <c r="AE377" i="1" s="1"/>
  <c r="AC88" i="1"/>
  <c r="AE88" i="1" s="1"/>
  <c r="AC54" i="1"/>
  <c r="AE54" i="1" s="1"/>
  <c r="AG54" i="1" s="1"/>
  <c r="AB54" i="1" s="1"/>
  <c r="AD77" i="1"/>
  <c r="AF77" i="1" s="1"/>
  <c r="AD69" i="1"/>
  <c r="AF69" i="1" s="1"/>
  <c r="AD67" i="1"/>
  <c r="AF67" i="1" s="1"/>
  <c r="X82" i="1"/>
  <c r="G29" i="139"/>
  <c r="V11" i="1"/>
  <c r="L53" i="71"/>
  <c r="L35" i="71"/>
  <c r="L11" i="71"/>
  <c r="G57" i="139"/>
  <c r="W29" i="1"/>
  <c r="L23" i="71"/>
  <c r="G31" i="139"/>
  <c r="G10" i="139"/>
  <c r="G22" i="139"/>
  <c r="G15" i="139"/>
  <c r="G44" i="139"/>
  <c r="L49" i="71"/>
  <c r="L29" i="71"/>
  <c r="L38" i="71"/>
  <c r="Q4" i="1"/>
  <c r="L7" i="71"/>
  <c r="W9" i="1"/>
  <c r="AD9" i="1" s="1"/>
  <c r="L12" i="71"/>
  <c r="L27" i="71"/>
  <c r="V240" i="1"/>
  <c r="W240" i="1"/>
  <c r="W15" i="1"/>
  <c r="V255" i="1"/>
  <c r="W27" i="1"/>
  <c r="L24" i="71"/>
  <c r="L22" i="71"/>
  <c r="L54" i="71"/>
  <c r="L60" i="71"/>
  <c r="V251" i="1"/>
  <c r="W251" i="1"/>
  <c r="W43" i="1"/>
  <c r="AF36" i="1"/>
  <c r="AF25" i="1"/>
  <c r="AE72" i="1"/>
  <c r="AF23" i="1"/>
  <c r="O32" i="139" s="1"/>
  <c r="L59" i="71"/>
  <c r="L17" i="71"/>
  <c r="L58" i="71"/>
  <c r="L55" i="71"/>
  <c r="L52" i="71"/>
  <c r="L48" i="71"/>
  <c r="X77" i="1"/>
  <c r="AE77" i="1"/>
  <c r="V382" i="1"/>
  <c r="W306" i="1"/>
  <c r="AD306" i="1" s="1"/>
  <c r="W264" i="1"/>
  <c r="X68" i="1"/>
  <c r="AE68" i="1"/>
  <c r="W243" i="1"/>
  <c r="W277" i="1"/>
  <c r="AD277" i="1" s="1"/>
  <c r="W232" i="1"/>
  <c r="W337" i="1"/>
  <c r="AD337" i="1" s="1"/>
  <c r="W367" i="1"/>
  <c r="AD367" i="1" s="1"/>
  <c r="W223" i="1"/>
  <c r="W123" i="1"/>
  <c r="V295" i="1"/>
  <c r="W345" i="1"/>
  <c r="W204" i="1"/>
  <c r="W133" i="1"/>
  <c r="AD133" i="1" s="1"/>
  <c r="W108" i="1"/>
  <c r="W287" i="1"/>
  <c r="W238" i="1"/>
  <c r="W353" i="1"/>
  <c r="AD353" i="1" s="1"/>
  <c r="W258" i="1"/>
  <c r="AD258" i="1" s="1"/>
  <c r="W180" i="1"/>
  <c r="AD180" i="1" s="1"/>
  <c r="X271" i="1"/>
  <c r="V263" i="1"/>
  <c r="V270" i="1"/>
  <c r="V305" i="1"/>
  <c r="W325" i="1"/>
  <c r="AD325" i="1" s="1"/>
  <c r="V198" i="1"/>
  <c r="V162" i="1"/>
  <c r="V371" i="1"/>
  <c r="V344" i="1"/>
  <c r="W170" i="1"/>
  <c r="W174" i="1"/>
  <c r="W156" i="1"/>
  <c r="W138" i="1"/>
  <c r="AD138" i="1" s="1"/>
  <c r="W161" i="1"/>
  <c r="W99" i="1"/>
  <c r="AD99" i="1" s="1"/>
  <c r="W330" i="1"/>
  <c r="AD330" i="1" s="1"/>
  <c r="V343" i="1"/>
  <c r="AC343" i="1" s="1"/>
  <c r="V122" i="1"/>
  <c r="V282" i="1"/>
  <c r="V394" i="1"/>
  <c r="W328" i="1"/>
  <c r="AD328" i="1" s="1"/>
  <c r="X81" i="1"/>
  <c r="AE81" i="1"/>
  <c r="AG81" i="1" s="1"/>
  <c r="AB81" i="1" s="1"/>
  <c r="AF84" i="1"/>
  <c r="W361" i="1"/>
  <c r="AD361" i="1" s="1"/>
  <c r="W360" i="1"/>
  <c r="AD360" i="1" s="1"/>
  <c r="W107" i="1"/>
  <c r="AD107" i="1" s="1"/>
  <c r="V222" i="1"/>
  <c r="V281" i="1"/>
  <c r="V286" i="1"/>
  <c r="V333" i="1"/>
  <c r="X60" i="1"/>
  <c r="W311" i="1"/>
  <c r="AD311" i="1" s="1"/>
  <c r="X83" i="1"/>
  <c r="AE83" i="1"/>
  <c r="V153" i="1"/>
  <c r="AC153" i="1" s="1"/>
  <c r="V289" i="1"/>
  <c r="X61" i="1"/>
  <c r="AE61" i="1"/>
  <c r="W316" i="1"/>
  <c r="AD316" i="1" s="1"/>
  <c r="X346" i="1"/>
  <c r="V137" i="1"/>
  <c r="V100" i="1"/>
  <c r="V138" i="1"/>
  <c r="V215" i="1"/>
  <c r="V102" i="1"/>
  <c r="W307" i="1"/>
  <c r="AD307" i="1" s="1"/>
  <c r="W151" i="1"/>
  <c r="AD151" i="1" s="1"/>
  <c r="W349" i="1"/>
  <c r="V264" i="1"/>
  <c r="V132" i="1"/>
  <c r="AF87" i="1"/>
  <c r="V133" i="1"/>
  <c r="V160" i="1"/>
  <c r="V231" i="1"/>
  <c r="AC231" i="1" s="1"/>
  <c r="V210" i="1"/>
  <c r="V218" i="1"/>
  <c r="AC218" i="1" s="1"/>
  <c r="V338" i="1"/>
  <c r="AC338" i="1" s="1"/>
  <c r="X75" i="1"/>
  <c r="W380" i="1"/>
  <c r="AD380" i="1" s="1"/>
  <c r="W252" i="1"/>
  <c r="W213" i="1"/>
  <c r="AD213" i="1" s="1"/>
  <c r="W331" i="1"/>
  <c r="AD331" i="1" s="1"/>
  <c r="V212" i="1"/>
  <c r="X72" i="1"/>
  <c r="V321" i="1"/>
  <c r="V111" i="1"/>
  <c r="W351" i="1"/>
  <c r="AD351" i="1" s="1"/>
  <c r="W266" i="1"/>
  <c r="V169" i="1"/>
  <c r="AC169" i="1" s="1"/>
  <c r="W395" i="1"/>
  <c r="AD395" i="1" s="1"/>
  <c r="AF89" i="1"/>
  <c r="W369" i="1"/>
  <c r="AD369" i="1" s="1"/>
  <c r="W93" i="1"/>
  <c r="AD93" i="1" s="1"/>
  <c r="W365" i="1"/>
  <c r="AD365" i="1" s="1"/>
  <c r="W120" i="1"/>
  <c r="W229" i="1"/>
  <c r="W263" i="1"/>
  <c r="V317" i="1"/>
  <c r="AC317" i="1" s="1"/>
  <c r="W242" i="1"/>
  <c r="AD242" i="1" s="1"/>
  <c r="W150" i="1"/>
  <c r="W399" i="1"/>
  <c r="AD399" i="1" s="1"/>
  <c r="W404" i="1"/>
  <c r="AD404" i="1" s="1"/>
  <c r="W113" i="1"/>
  <c r="AD113" i="1" s="1"/>
  <c r="W152" i="1"/>
  <c r="W385" i="1"/>
  <c r="W228" i="1"/>
  <c r="W197" i="1"/>
  <c r="AD197" i="1" s="1"/>
  <c r="V196" i="1"/>
  <c r="AC196" i="1" s="1"/>
  <c r="V127" i="1"/>
  <c r="V309" i="1"/>
  <c r="W122" i="1"/>
  <c r="AF63" i="1"/>
  <c r="W248" i="1"/>
  <c r="W245" i="1"/>
  <c r="X90" i="1"/>
  <c r="AE90" i="1"/>
  <c r="V277" i="1"/>
  <c r="V103" i="1"/>
  <c r="AC103" i="1" s="1"/>
  <c r="V93" i="1"/>
  <c r="AC93" i="1" s="1"/>
  <c r="X269" i="1"/>
  <c r="W212" i="1"/>
  <c r="W137" i="1"/>
  <c r="AD137" i="1" s="1"/>
  <c r="W178" i="1"/>
  <c r="AD178" i="1" s="1"/>
  <c r="W225" i="1"/>
  <c r="W270" i="1"/>
  <c r="V230" i="1"/>
  <c r="V118" i="1"/>
  <c r="V252" i="1"/>
  <c r="V245" i="1"/>
  <c r="AC245" i="1" s="1"/>
  <c r="V142" i="1"/>
  <c r="V119" i="1"/>
  <c r="AC119" i="1" s="1"/>
  <c r="W359" i="1"/>
  <c r="AD359" i="1" s="1"/>
  <c r="AF83" i="1"/>
  <c r="W153" i="1"/>
  <c r="AD153" i="1" s="1"/>
  <c r="W171" i="1"/>
  <c r="AD171" i="1" s="1"/>
  <c r="AE130" i="1"/>
  <c r="AG130" i="1" s="1"/>
  <c r="AB130" i="1" s="1"/>
  <c r="V217" i="1"/>
  <c r="V350" i="1"/>
  <c r="AC350" i="1" s="1"/>
  <c r="V409" i="1"/>
  <c r="X56" i="1"/>
  <c r="V285" i="1"/>
  <c r="AC285" i="1" s="1"/>
  <c r="V347" i="1"/>
  <c r="AC347" i="1" s="1"/>
  <c r="W168" i="1"/>
  <c r="AD168" i="1" s="1"/>
  <c r="V298" i="1"/>
  <c r="AC298" i="1" s="1"/>
  <c r="V193" i="1"/>
  <c r="AC193" i="1" s="1"/>
  <c r="X79" i="1"/>
  <c r="AE79" i="1"/>
  <c r="V220" i="1"/>
  <c r="W315" i="1"/>
  <c r="AD315" i="1" s="1"/>
  <c r="V94" i="1"/>
  <c r="V139" i="1"/>
  <c r="V178" i="1"/>
  <c r="V186" i="1"/>
  <c r="V134" i="1"/>
  <c r="W141" i="1"/>
  <c r="AD141" i="1" s="1"/>
  <c r="W389" i="1"/>
  <c r="AD389" i="1" s="1"/>
  <c r="V290" i="1"/>
  <c r="V266" i="1"/>
  <c r="V407" i="1"/>
  <c r="AF75" i="1"/>
  <c r="V242" i="1"/>
  <c r="V146" i="1"/>
  <c r="AC146" i="1" s="1"/>
  <c r="V145" i="1"/>
  <c r="V239" i="1"/>
  <c r="AC239" i="1" s="1"/>
  <c r="V177" i="1"/>
  <c r="AC177" i="1" s="1"/>
  <c r="X59" i="1"/>
  <c r="V236" i="1"/>
  <c r="W172" i="1"/>
  <c r="AD172" i="1" s="1"/>
  <c r="W211" i="1"/>
  <c r="W184" i="1"/>
  <c r="W175" i="1"/>
  <c r="V200" i="1"/>
  <c r="AC200" i="1" s="1"/>
  <c r="V395" i="1"/>
  <c r="V322" i="1"/>
  <c r="AC322" i="1" s="1"/>
  <c r="V323" i="1"/>
  <c r="V401" i="1"/>
  <c r="W303" i="1"/>
  <c r="AD303" i="1" s="1"/>
  <c r="W261" i="1"/>
  <c r="V311" i="1"/>
  <c r="AF386" i="1"/>
  <c r="W344" i="1"/>
  <c r="AD344" i="1" s="1"/>
  <c r="W110" i="1"/>
  <c r="AD110" i="1" s="1"/>
  <c r="W341" i="1"/>
  <c r="AD341" i="1" s="1"/>
  <c r="W126" i="1"/>
  <c r="W314" i="1"/>
  <c r="W288" i="1"/>
  <c r="V316" i="1"/>
  <c r="AC316" i="1" s="1"/>
  <c r="W276" i="1"/>
  <c r="AD276" i="1" s="1"/>
  <c r="W278" i="1"/>
  <c r="AD278" i="1" s="1"/>
  <c r="W342" i="1"/>
  <c r="AD342" i="1" s="1"/>
  <c r="W222" i="1"/>
  <c r="W281" i="1"/>
  <c r="AD281" i="1" s="1"/>
  <c r="W340" i="1"/>
  <c r="AD340" i="1" s="1"/>
  <c r="W101" i="1"/>
  <c r="W173" i="1"/>
  <c r="AD173" i="1" s="1"/>
  <c r="V180" i="1"/>
  <c r="AC180" i="1" s="1"/>
  <c r="V292" i="1"/>
  <c r="V115" i="1"/>
  <c r="AC115" i="1" s="1"/>
  <c r="W290" i="1"/>
  <c r="W387" i="1"/>
  <c r="AD387" i="1" s="1"/>
  <c r="V356" i="1"/>
  <c r="V109" i="1"/>
  <c r="AC109" i="1" s="1"/>
  <c r="V199" i="1"/>
  <c r="V182" i="1"/>
  <c r="W200" i="1"/>
  <c r="W95" i="1"/>
  <c r="AD95" i="1" s="1"/>
  <c r="W102" i="1"/>
  <c r="W158" i="1"/>
  <c r="W139" i="1"/>
  <c r="AD139" i="1" s="1"/>
  <c r="W96" i="1"/>
  <c r="AD96" i="1" s="1"/>
  <c r="W241" i="1"/>
  <c r="V400" i="1"/>
  <c r="AC400" i="1" s="1"/>
  <c r="V294" i="1"/>
  <c r="AC294" i="1" s="1"/>
  <c r="X67" i="1"/>
  <c r="AE67" i="1"/>
  <c r="V248" i="1"/>
  <c r="V398" i="1"/>
  <c r="X80" i="1"/>
  <c r="AE80" i="1"/>
  <c r="AG80" i="1" s="1"/>
  <c r="AB80" i="1" s="1"/>
  <c r="W154" i="1"/>
  <c r="AD154" i="1" s="1"/>
  <c r="W298" i="1"/>
  <c r="AD298" i="1" s="1"/>
  <c r="W155" i="1"/>
  <c r="AD155" i="1" s="1"/>
  <c r="W235" i="1"/>
  <c r="V385" i="1"/>
  <c r="V353" i="1"/>
  <c r="AC353" i="1" s="1"/>
  <c r="V258" i="1"/>
  <c r="V112" i="1"/>
  <c r="X57" i="1"/>
  <c r="V411" i="1"/>
  <c r="W310" i="1"/>
  <c r="AD310" i="1" s="1"/>
  <c r="V147" i="1"/>
  <c r="AC147" i="1" s="1"/>
  <c r="V107" i="1"/>
  <c r="AC107" i="1" s="1"/>
  <c r="V297" i="1"/>
  <c r="V157" i="1"/>
  <c r="AC157" i="1" s="1"/>
  <c r="W300" i="1"/>
  <c r="AD300" i="1" s="1"/>
  <c r="V189" i="1"/>
  <c r="X55" i="1"/>
  <c r="V158" i="1"/>
  <c r="V250" i="1"/>
  <c r="V166" i="1"/>
  <c r="W392" i="1"/>
  <c r="AD392" i="1" s="1"/>
  <c r="W321" i="1"/>
  <c r="AD321" i="1" s="1"/>
  <c r="X63" i="1"/>
  <c r="AE63" i="1"/>
  <c r="V261" i="1"/>
  <c r="V314" i="1"/>
  <c r="W236" i="1"/>
  <c r="V276" i="1"/>
  <c r="V402" i="1"/>
  <c r="AC402" i="1" s="1"/>
  <c r="V358" i="1"/>
  <c r="V201" i="1"/>
  <c r="AC201" i="1" s="1"/>
  <c r="V209" i="1"/>
  <c r="AC209" i="1" s="1"/>
  <c r="X74" i="1"/>
  <c r="V318" i="1"/>
  <c r="W256" i="1"/>
  <c r="W208" i="1"/>
  <c r="AD208" i="1" s="1"/>
  <c r="W210" i="1"/>
  <c r="AD210" i="1" s="1"/>
  <c r="W207" i="1"/>
  <c r="AD207" i="1" s="1"/>
  <c r="V354" i="1"/>
  <c r="V403" i="1"/>
  <c r="L41" i="71"/>
  <c r="V349" i="1"/>
  <c r="V143" i="1"/>
  <c r="V390" i="1"/>
  <c r="W221" i="1"/>
  <c r="AD221" i="1" s="1"/>
  <c r="V378" i="1"/>
  <c r="W194" i="1"/>
  <c r="AD194" i="1" s="1"/>
  <c r="W106" i="1"/>
  <c r="AD106" i="1" s="1"/>
  <c r="W148" i="1"/>
  <c r="AD148" i="1" s="1"/>
  <c r="W366" i="1"/>
  <c r="AD366" i="1" s="1"/>
  <c r="W128" i="1"/>
  <c r="AF346" i="1"/>
  <c r="W302" i="1"/>
  <c r="W132" i="1"/>
  <c r="W292" i="1"/>
  <c r="V315" i="1"/>
  <c r="AC315" i="1" s="1"/>
  <c r="W145" i="1"/>
  <c r="AD145" i="1" s="1"/>
  <c r="W144" i="1"/>
  <c r="AD144" i="1" s="1"/>
  <c r="W217" i="1"/>
  <c r="W350" i="1"/>
  <c r="AD350" i="1" s="1"/>
  <c r="W409" i="1"/>
  <c r="W286" i="1"/>
  <c r="AD286" i="1" s="1"/>
  <c r="W299" i="1"/>
  <c r="W279" i="1"/>
  <c r="W159" i="1"/>
  <c r="AD159" i="1" s="1"/>
  <c r="V159" i="1"/>
  <c r="V121" i="1"/>
  <c r="X78" i="1"/>
  <c r="W118" i="1"/>
  <c r="V304" i="1"/>
  <c r="W393" i="1"/>
  <c r="W324" i="1"/>
  <c r="AD324" i="1" s="1"/>
  <c r="V128" i="1"/>
  <c r="V373" i="1"/>
  <c r="V368" i="1"/>
  <c r="V214" i="1"/>
  <c r="W119" i="1"/>
  <c r="W163" i="1"/>
  <c r="W234" i="1"/>
  <c r="W136" i="1"/>
  <c r="AD136" i="1" s="1"/>
  <c r="W135" i="1"/>
  <c r="AD135" i="1" s="1"/>
  <c r="W246" i="1"/>
  <c r="W94" i="1"/>
  <c r="AD94" i="1" s="1"/>
  <c r="V262" i="1"/>
  <c r="W117" i="1"/>
  <c r="AD117" i="1" s="1"/>
  <c r="V329" i="1"/>
  <c r="V256" i="1"/>
  <c r="V387" i="1"/>
  <c r="V284" i="1"/>
  <c r="V328" i="1"/>
  <c r="AC328" i="1" s="1"/>
  <c r="V267" i="1"/>
  <c r="AF61" i="1"/>
  <c r="W147" i="1"/>
  <c r="AD147" i="1" s="1"/>
  <c r="W165" i="1"/>
  <c r="AD165" i="1" s="1"/>
  <c r="W363" i="1"/>
  <c r="AD363" i="1" s="1"/>
  <c r="X254" i="1"/>
  <c r="V259" i="1"/>
  <c r="AC259" i="1" s="1"/>
  <c r="V101" i="1"/>
  <c r="V195" i="1"/>
  <c r="V226" i="1"/>
  <c r="V152" i="1"/>
  <c r="X70" i="1"/>
  <c r="W313" i="1"/>
  <c r="AD313" i="1" s="1"/>
  <c r="V171" i="1"/>
  <c r="AC171" i="1" s="1"/>
  <c r="V372" i="1"/>
  <c r="V235" i="1"/>
  <c r="X84" i="1"/>
  <c r="AE84" i="1"/>
  <c r="V155" i="1"/>
  <c r="AC155" i="1" s="1"/>
  <c r="W295" i="1"/>
  <c r="V272" i="1"/>
  <c r="V95" i="1"/>
  <c r="V97" i="1"/>
  <c r="V161" i="1"/>
  <c r="V156" i="1"/>
  <c r="V135" i="1"/>
  <c r="W401" i="1"/>
  <c r="AD401" i="1" s="1"/>
  <c r="W322" i="1"/>
  <c r="AD322" i="1" s="1"/>
  <c r="V273" i="1"/>
  <c r="V229" i="1"/>
  <c r="W280" i="1"/>
  <c r="V355" i="1"/>
  <c r="X91" i="1"/>
  <c r="AE91" i="1"/>
  <c r="V208" i="1"/>
  <c r="AC208" i="1" s="1"/>
  <c r="V203" i="1"/>
  <c r="AC203" i="1" s="1"/>
  <c r="V219" i="1"/>
  <c r="AC219" i="1" s="1"/>
  <c r="V249" i="1"/>
  <c r="V172" i="1"/>
  <c r="AC172" i="1" s="1"/>
  <c r="W164" i="1"/>
  <c r="W177" i="1"/>
  <c r="AD177" i="1" s="1"/>
  <c r="W218" i="1"/>
  <c r="AD218" i="1" s="1"/>
  <c r="W239" i="1"/>
  <c r="V163" i="1"/>
  <c r="X65" i="1"/>
  <c r="AE65" i="1"/>
  <c r="V307" i="1"/>
  <c r="V151" i="1"/>
  <c r="AC151" i="1" s="1"/>
  <c r="V391" i="1"/>
  <c r="V168" i="1"/>
  <c r="AC168" i="1" s="1"/>
  <c r="V310" i="1"/>
  <c r="W397" i="1"/>
  <c r="AD397" i="1" s="1"/>
  <c r="W339" i="1"/>
  <c r="AD339" i="1" s="1"/>
  <c r="W364" i="1"/>
  <c r="AD364" i="1" s="1"/>
  <c r="W371" i="1"/>
  <c r="AD371" i="1" s="1"/>
  <c r="W192" i="1"/>
  <c r="AD192" i="1" s="1"/>
  <c r="W181" i="1"/>
  <c r="AD181" i="1" s="1"/>
  <c r="W198" i="1"/>
  <c r="W336" i="1"/>
  <c r="W130" i="1"/>
  <c r="W355" i="1"/>
  <c r="AD355" i="1" s="1"/>
  <c r="AF91" i="1"/>
  <c r="W410" i="1"/>
  <c r="AF60" i="1"/>
  <c r="W195" i="1"/>
  <c r="AF56" i="1"/>
  <c r="AG56" i="1" s="1"/>
  <c r="AB56" i="1" s="1"/>
  <c r="AF62" i="1"/>
  <c r="W335" i="1"/>
  <c r="W196" i="1"/>
  <c r="V173" i="1"/>
  <c r="AC173" i="1" s="1"/>
  <c r="V288" i="1"/>
  <c r="V117" i="1"/>
  <c r="AC117" i="1" s="1"/>
  <c r="W294" i="1"/>
  <c r="V221" i="1"/>
  <c r="AC221" i="1" s="1"/>
  <c r="W284" i="1"/>
  <c r="W381" i="1"/>
  <c r="AD381" i="1" s="1"/>
  <c r="V384" i="1"/>
  <c r="V232" i="1"/>
  <c r="V106" i="1"/>
  <c r="AC106" i="1" s="1"/>
  <c r="V337" i="1"/>
  <c r="W140" i="1"/>
  <c r="W176" i="1"/>
  <c r="AD176" i="1" s="1"/>
  <c r="W244" i="1"/>
  <c r="W186" i="1"/>
  <c r="W115" i="1"/>
  <c r="AD115" i="1" s="1"/>
  <c r="V181" i="1"/>
  <c r="AC181" i="1" s="1"/>
  <c r="V233" i="1"/>
  <c r="V393" i="1"/>
  <c r="V326" i="1"/>
  <c r="W370" i="1"/>
  <c r="AD370" i="1" s="1"/>
  <c r="W372" i="1"/>
  <c r="AD372" i="1" s="1"/>
  <c r="W220" i="1"/>
  <c r="W191" i="1"/>
  <c r="AD191" i="1" s="1"/>
  <c r="AF58" i="1"/>
  <c r="V299" i="1"/>
  <c r="V279" i="1"/>
  <c r="X62" i="1"/>
  <c r="X76" i="1"/>
  <c r="V410" i="1"/>
  <c r="X71" i="1"/>
  <c r="W272" i="1"/>
  <c r="W378" i="1"/>
  <c r="AD378" i="1" s="1"/>
  <c r="V370" i="1"/>
  <c r="V190" i="1"/>
  <c r="AC190" i="1" s="1"/>
  <c r="V363" i="1"/>
  <c r="V359" i="1"/>
  <c r="W227" i="1"/>
  <c r="W317" i="1"/>
  <c r="AD317" i="1" s="1"/>
  <c r="V136" i="1"/>
  <c r="V224" i="1"/>
  <c r="X54" i="1"/>
  <c r="V188" i="1"/>
  <c r="V247" i="1"/>
  <c r="W230" i="1"/>
  <c r="AD230" i="1" s="1"/>
  <c r="V206" i="1"/>
  <c r="AC206" i="1" s="1"/>
  <c r="AF74" i="1"/>
  <c r="V105" i="1"/>
  <c r="V348" i="1"/>
  <c r="V202" i="1"/>
  <c r="AC202" i="1" s="1"/>
  <c r="V331" i="1"/>
  <c r="AC331" i="1" s="1"/>
  <c r="V379" i="1"/>
  <c r="V260" i="1"/>
  <c r="AC260" i="1" s="1"/>
  <c r="V380" i="1"/>
  <c r="V129" i="1"/>
  <c r="W219" i="1"/>
  <c r="AD219" i="1" s="1"/>
  <c r="W201" i="1"/>
  <c r="W205" i="1"/>
  <c r="V362" i="1"/>
  <c r="V243" i="1"/>
  <c r="V141" i="1"/>
  <c r="AC141" i="1" s="1"/>
  <c r="V388" i="1"/>
  <c r="V389" i="1"/>
  <c r="V320" i="1"/>
  <c r="AC320" i="1" s="1"/>
  <c r="V313" i="1"/>
  <c r="X64" i="1"/>
  <c r="AE64" i="1"/>
  <c r="V268" i="1"/>
  <c r="W214" i="1"/>
  <c r="W182" i="1"/>
  <c r="W103" i="1"/>
  <c r="AD103" i="1" s="1"/>
  <c r="W384" i="1"/>
  <c r="W400" i="1"/>
  <c r="W131" i="1"/>
  <c r="X408" i="1"/>
  <c r="AE408" i="1"/>
  <c r="H22" i="139" s="1"/>
  <c r="W358" i="1"/>
  <c r="AD358" i="1" s="1"/>
  <c r="W374" i="1"/>
  <c r="AD374" i="1" s="1"/>
  <c r="W259" i="1"/>
  <c r="AD259" i="1" s="1"/>
  <c r="AF88" i="1"/>
  <c r="W411" i="1"/>
  <c r="W112" i="1"/>
  <c r="AD112" i="1" s="1"/>
  <c r="W293" i="1"/>
  <c r="W333" i="1"/>
  <c r="AD333" i="1" s="1"/>
  <c r="V301" i="1"/>
  <c r="AC301" i="1" s="1"/>
  <c r="V197" i="1"/>
  <c r="AC197" i="1" s="1"/>
  <c r="V123" i="1"/>
  <c r="V308" i="1"/>
  <c r="V306" i="1"/>
  <c r="W327" i="1"/>
  <c r="AD327" i="1" s="1"/>
  <c r="V302" i="1"/>
  <c r="AC302" i="1" s="1"/>
  <c r="V148" i="1"/>
  <c r="AC148" i="1" s="1"/>
  <c r="V110" i="1"/>
  <c r="AC110" i="1" s="1"/>
  <c r="V339" i="1"/>
  <c r="V369" i="1"/>
  <c r="W362" i="1"/>
  <c r="W354" i="1"/>
  <c r="W215" i="1"/>
  <c r="W250" i="1"/>
  <c r="W332" i="1"/>
  <c r="AD332" i="1" s="1"/>
  <c r="AF53" i="1"/>
  <c r="W189" i="1"/>
  <c r="W308" i="1"/>
  <c r="AD308" i="1" s="1"/>
  <c r="V283" i="1"/>
  <c r="V164" i="1"/>
  <c r="V324" i="1"/>
  <c r="V325" i="1"/>
  <c r="W149" i="1"/>
  <c r="AD149" i="1" s="1"/>
  <c r="W190" i="1"/>
  <c r="AD190" i="1" s="1"/>
  <c r="AF79" i="1"/>
  <c r="W375" i="1"/>
  <c r="AD375" i="1" s="1"/>
  <c r="W338" i="1"/>
  <c r="V228" i="1"/>
  <c r="V352" i="1"/>
  <c r="V238" i="1"/>
  <c r="V291" i="1"/>
  <c r="AC291" i="1" s="1"/>
  <c r="V342" i="1"/>
  <c r="V293" i="1"/>
  <c r="AF68" i="1"/>
  <c r="V183" i="1"/>
  <c r="AC183" i="1" s="1"/>
  <c r="V383" i="1"/>
  <c r="V149" i="1"/>
  <c r="AC149" i="1" s="1"/>
  <c r="V237" i="1"/>
  <c r="AC237" i="1" s="1"/>
  <c r="W129" i="1"/>
  <c r="X53" i="1"/>
  <c r="AE53" i="1"/>
  <c r="V176" i="1"/>
  <c r="V244" i="1"/>
  <c r="V99" i="1"/>
  <c r="V246" i="1"/>
  <c r="W274" i="1"/>
  <c r="AD274" i="1" s="1"/>
  <c r="W323" i="1"/>
  <c r="AD323" i="1" s="1"/>
  <c r="W388" i="1"/>
  <c r="AD388" i="1" s="1"/>
  <c r="W116" i="1"/>
  <c r="AD116" i="1" s="1"/>
  <c r="W124" i="1"/>
  <c r="W249" i="1"/>
  <c r="V204" i="1"/>
  <c r="V150" i="1"/>
  <c r="V175" i="1"/>
  <c r="AC175" i="1" s="1"/>
  <c r="V211" i="1"/>
  <c r="AC211" i="1" s="1"/>
  <c r="V207" i="1"/>
  <c r="AC207" i="1" s="1"/>
  <c r="V280" i="1"/>
  <c r="W376" i="1"/>
  <c r="AD376" i="1" s="1"/>
  <c r="V227" i="1"/>
  <c r="AC227" i="1" s="1"/>
  <c r="W216" i="1"/>
  <c r="AD216" i="1" s="1"/>
  <c r="W209" i="1"/>
  <c r="V167" i="1"/>
  <c r="AC167" i="1" s="1"/>
  <c r="V396" i="1"/>
  <c r="V397" i="1"/>
  <c r="V392" i="1"/>
  <c r="V405" i="1"/>
  <c r="W305" i="1"/>
  <c r="AD305" i="1" s="1"/>
  <c r="X86" i="1"/>
  <c r="AE86" i="1"/>
  <c r="AF72" i="1"/>
  <c r="AF90" i="1"/>
  <c r="W373" i="1"/>
  <c r="AD373" i="1" s="1"/>
  <c r="W199" i="1"/>
  <c r="W162" i="1"/>
  <c r="W283" i="1"/>
  <c r="AD283" i="1" s="1"/>
  <c r="W127" i="1"/>
  <c r="V296" i="1"/>
  <c r="AC296" i="1" s="1"/>
  <c r="W146" i="1"/>
  <c r="AD146" i="1" s="1"/>
  <c r="W231" i="1"/>
  <c r="AD231" i="1" s="1"/>
  <c r="W348" i="1"/>
  <c r="AD348" i="1" s="1"/>
  <c r="W347" i="1"/>
  <c r="AD347" i="1" s="1"/>
  <c r="AF57" i="1"/>
  <c r="AG57" i="1" s="1"/>
  <c r="AB57" i="1" s="1"/>
  <c r="W291" i="1"/>
  <c r="AD291" i="1" s="1"/>
  <c r="W352" i="1"/>
  <c r="W253" i="1"/>
  <c r="V124" i="1"/>
  <c r="V336" i="1"/>
  <c r="AC336" i="1" s="1"/>
  <c r="V114" i="1"/>
  <c r="AC114" i="1" s="1"/>
  <c r="V241" i="1"/>
  <c r="V351" i="1"/>
  <c r="W326" i="1"/>
  <c r="V126" i="1"/>
  <c r="V364" i="1"/>
  <c r="V366" i="1"/>
  <c r="V341" i="1"/>
  <c r="V92" i="1"/>
  <c r="AC92" i="1" s="1"/>
  <c r="W396" i="1"/>
  <c r="W167" i="1"/>
  <c r="W188" i="1"/>
  <c r="W100" i="1"/>
  <c r="AD100" i="1" s="1"/>
  <c r="W406" i="1"/>
  <c r="AD406" i="1" s="1"/>
  <c r="W166" i="1"/>
  <c r="AD166" i="1" s="1"/>
  <c r="W97" i="1"/>
  <c r="AD97" i="1" s="1"/>
  <c r="W319" i="1"/>
  <c r="AD319" i="1" s="1"/>
  <c r="W309" i="1"/>
  <c r="AD309" i="1" s="1"/>
  <c r="V327" i="1"/>
  <c r="W142" i="1"/>
  <c r="AD142" i="1" s="1"/>
  <c r="X377" i="1"/>
  <c r="W183" i="1"/>
  <c r="AD183" i="1" s="1"/>
  <c r="W383" i="1"/>
  <c r="W193" i="1"/>
  <c r="AD193" i="1" s="1"/>
  <c r="W237" i="1"/>
  <c r="AF59" i="1"/>
  <c r="V108" i="1"/>
  <c r="V275" i="1"/>
  <c r="AC275" i="1" s="1"/>
  <c r="V335" i="1"/>
  <c r="V334" i="1"/>
  <c r="X88" i="1"/>
  <c r="V357" i="1"/>
  <c r="AC357" i="1" s="1"/>
  <c r="W169" i="1"/>
  <c r="AD169" i="1" s="1"/>
  <c r="AF64" i="1"/>
  <c r="V375" i="1"/>
  <c r="V104" i="1"/>
  <c r="AC104" i="1" s="1"/>
  <c r="V191" i="1"/>
  <c r="AC191" i="1" s="1"/>
  <c r="V312" i="1"/>
  <c r="W125" i="1"/>
  <c r="V98" i="1"/>
  <c r="V332" i="1"/>
  <c r="AC332" i="1" s="1"/>
  <c r="V234" i="1"/>
  <c r="V406" i="1"/>
  <c r="AC406" i="1" s="1"/>
  <c r="W382" i="1"/>
  <c r="AD382" i="1" s="1"/>
  <c r="W391" i="1"/>
  <c r="AD391" i="1" s="1"/>
  <c r="W111" i="1"/>
  <c r="W343" i="1"/>
  <c r="AD343" i="1" s="1"/>
  <c r="W301" i="1"/>
  <c r="W260" i="1"/>
  <c r="AD260" i="1" s="1"/>
  <c r="V144" i="1"/>
  <c r="AC144" i="1" s="1"/>
  <c r="V278" i="1"/>
  <c r="V185" i="1"/>
  <c r="V184" i="1"/>
  <c r="V213" i="1"/>
  <c r="AC213" i="1" s="1"/>
  <c r="X87" i="1"/>
  <c r="W282" i="1"/>
  <c r="AD282" i="1" s="1"/>
  <c r="V125" i="1"/>
  <c r="W202" i="1"/>
  <c r="AD202" i="1" s="1"/>
  <c r="W379" i="1"/>
  <c r="V179" i="1"/>
  <c r="AC179" i="1" s="1"/>
  <c r="X69" i="1"/>
  <c r="AE69" i="1"/>
  <c r="V274" i="1"/>
  <c r="W304" i="1"/>
  <c r="AD304" i="1" s="1"/>
  <c r="W265" i="1"/>
  <c r="X66" i="1"/>
  <c r="AE66" i="1"/>
  <c r="W403" i="1"/>
  <c r="AD403" i="1" s="1"/>
  <c r="W92" i="1"/>
  <c r="AD92" i="1" s="1"/>
  <c r="W109" i="1"/>
  <c r="AD109" i="1" s="1"/>
  <c r="W368" i="1"/>
  <c r="W356" i="1"/>
  <c r="W329" i="1"/>
  <c r="AD329" i="1" s="1"/>
  <c r="W407" i="1"/>
  <c r="W121" i="1"/>
  <c r="V300" i="1"/>
  <c r="AC300" i="1" s="1"/>
  <c r="W402" i="1"/>
  <c r="W105" i="1"/>
  <c r="W160" i="1"/>
  <c r="AD160" i="1" s="1"/>
  <c r="W357" i="1"/>
  <c r="W275" i="1"/>
  <c r="AD275" i="1" s="1"/>
  <c r="W334" i="1"/>
  <c r="W226" i="1"/>
  <c r="AD226" i="1" s="1"/>
  <c r="W285" i="1"/>
  <c r="V131" i="1"/>
  <c r="V330" i="1"/>
  <c r="V319" i="1"/>
  <c r="W273" i="1"/>
  <c r="V303" i="1"/>
  <c r="W394" i="1"/>
  <c r="AD394" i="1" s="1"/>
  <c r="V120" i="1"/>
  <c r="V367" i="1"/>
  <c r="V192" i="1"/>
  <c r="AC192" i="1" s="1"/>
  <c r="X89" i="1"/>
  <c r="AE89" i="1"/>
  <c r="V365" i="1"/>
  <c r="W179" i="1"/>
  <c r="W267" i="1"/>
  <c r="W134" i="1"/>
  <c r="AD134" i="1" s="1"/>
  <c r="W187" i="1"/>
  <c r="AD187" i="1" s="1"/>
  <c r="W247" i="1"/>
  <c r="W98" i="1"/>
  <c r="AD98" i="1" s="1"/>
  <c r="W224" i="1"/>
  <c r="W114" i="1"/>
  <c r="V116" i="1"/>
  <c r="X85" i="1"/>
  <c r="V376" i="1"/>
  <c r="V381" i="1"/>
  <c r="W398" i="1"/>
  <c r="AF320" i="1"/>
  <c r="W297" i="1"/>
  <c r="AD297" i="1" s="1"/>
  <c r="W312" i="1"/>
  <c r="AD312" i="1" s="1"/>
  <c r="W104" i="1"/>
  <c r="AD104" i="1" s="1"/>
  <c r="W289" i="1"/>
  <c r="W157" i="1"/>
  <c r="AD157" i="1" s="1"/>
  <c r="V386" i="1"/>
  <c r="AC386" i="1" s="1"/>
  <c r="V404" i="1"/>
  <c r="V287" i="1"/>
  <c r="V340" i="1"/>
  <c r="AC340" i="1" s="1"/>
  <c r="V253" i="1"/>
  <c r="V113" i="1"/>
  <c r="AF86" i="1"/>
  <c r="AF66" i="1"/>
  <c r="V361" i="1"/>
  <c r="V360" i="1"/>
  <c r="V165" i="1"/>
  <c r="AC165" i="1" s="1"/>
  <c r="V154" i="1"/>
  <c r="AC154" i="1" s="1"/>
  <c r="W296" i="1"/>
  <c r="AD296" i="1" s="1"/>
  <c r="V174" i="1"/>
  <c r="V225" i="1"/>
  <c r="V96" i="1"/>
  <c r="V140" i="1"/>
  <c r="V187" i="1"/>
  <c r="W390" i="1"/>
  <c r="AD390" i="1" s="1"/>
  <c r="W405" i="1"/>
  <c r="AD405" i="1" s="1"/>
  <c r="W143" i="1"/>
  <c r="V265" i="1"/>
  <c r="V223" i="1"/>
  <c r="V345" i="1"/>
  <c r="V399" i="1"/>
  <c r="V374" i="1"/>
  <c r="V205" i="1"/>
  <c r="AC205" i="1" s="1"/>
  <c r="V216" i="1"/>
  <c r="AC216" i="1" s="1"/>
  <c r="X58" i="1"/>
  <c r="AE58" i="1"/>
  <c r="W318" i="1"/>
  <c r="AD318" i="1" s="1"/>
  <c r="W233" i="1"/>
  <c r="V257" i="1"/>
  <c r="W185" i="1"/>
  <c r="W203" i="1"/>
  <c r="AD203" i="1" s="1"/>
  <c r="V170" i="1"/>
  <c r="AC170" i="1" s="1"/>
  <c r="V194" i="1"/>
  <c r="AC194" i="1" s="1"/>
  <c r="AF377" i="1"/>
  <c r="L36" i="71"/>
  <c r="V6" i="1"/>
  <c r="AC6" i="1" s="1"/>
  <c r="L20" i="71"/>
  <c r="W18" i="1"/>
  <c r="L18" i="71"/>
  <c r="AF29" i="1"/>
  <c r="L10" i="71"/>
  <c r="L8" i="71"/>
  <c r="L43" i="71"/>
  <c r="V34" i="1"/>
  <c r="AF18" i="1"/>
  <c r="AF39" i="1"/>
  <c r="W48" i="1"/>
  <c r="AD48" i="1" s="1"/>
  <c r="L16" i="71"/>
  <c r="L32" i="71"/>
  <c r="L34" i="71"/>
  <c r="L45" i="71"/>
  <c r="L28" i="71"/>
  <c r="L14" i="71"/>
  <c r="AF7" i="1"/>
  <c r="AE29" i="1"/>
  <c r="L25" i="71"/>
  <c r="L47" i="71"/>
  <c r="V36" i="1"/>
  <c r="L37" i="71"/>
  <c r="L6" i="71"/>
  <c r="L39" i="71"/>
  <c r="L30" i="71"/>
  <c r="V47" i="1"/>
  <c r="V52" i="1"/>
  <c r="V8" i="1"/>
  <c r="L46" i="71"/>
  <c r="AF34" i="1"/>
  <c r="L26" i="71"/>
  <c r="V25" i="1"/>
  <c r="L40" i="71"/>
  <c r="L5" i="71"/>
  <c r="N15" i="139"/>
  <c r="Q15" i="139" s="1"/>
  <c r="N22" i="139"/>
  <c r="N58" i="139"/>
  <c r="N60" i="139"/>
  <c r="N44" i="139"/>
  <c r="N31" i="139"/>
  <c r="Q31" i="139" s="1"/>
  <c r="N7" i="139"/>
  <c r="Q7" i="139" s="1"/>
  <c r="N10" i="139"/>
  <c r="Q10" i="139" s="1"/>
  <c r="N33" i="139"/>
  <c r="Q33" i="139" s="1"/>
  <c r="N13" i="139"/>
  <c r="N53" i="139"/>
  <c r="N48" i="139"/>
  <c r="L15" i="71"/>
  <c r="L42" i="71"/>
  <c r="AE40" i="1"/>
  <c r="AE26" i="1"/>
  <c r="H29" i="139" s="1"/>
  <c r="I29" i="139" s="1"/>
  <c r="V32" i="1"/>
  <c r="W37" i="1"/>
  <c r="AD37" i="1" s="1"/>
  <c r="V24" i="1"/>
  <c r="AC24" i="1" s="1"/>
  <c r="W50" i="1"/>
  <c r="AD50" i="1" s="1"/>
  <c r="V16" i="1"/>
  <c r="W28" i="1"/>
  <c r="V42" i="1"/>
  <c r="W31" i="1"/>
  <c r="V7" i="1"/>
  <c r="W38" i="1"/>
  <c r="AD38" i="1" s="1"/>
  <c r="W51" i="1"/>
  <c r="AD51" i="1" s="1"/>
  <c r="W42" i="1"/>
  <c r="AD42" i="1" s="1"/>
  <c r="L31" i="71"/>
  <c r="V35" i="1"/>
  <c r="AC35" i="1" s="1"/>
  <c r="V44" i="1"/>
  <c r="V37" i="1"/>
  <c r="AC37" i="1" s="1"/>
  <c r="L44" i="71"/>
  <c r="W26" i="1"/>
  <c r="W17" i="1"/>
  <c r="W13" i="1"/>
  <c r="V31" i="1"/>
  <c r="V14" i="1"/>
  <c r="AC14" i="1" s="1"/>
  <c r="L21" i="71"/>
  <c r="W52" i="1"/>
  <c r="AD52" i="1" s="1"/>
  <c r="AE45" i="1"/>
  <c r="W45" i="1"/>
  <c r="AD45" i="1" s="1"/>
  <c r="V33" i="1"/>
  <c r="AC33" i="1" s="1"/>
  <c r="W41" i="1"/>
  <c r="V38" i="1"/>
  <c r="AC38" i="1" s="1"/>
  <c r="AE30" i="1"/>
  <c r="V21" i="1"/>
  <c r="W21" i="1"/>
  <c r="W8" i="1"/>
  <c r="AD8" i="1" s="1"/>
  <c r="L56" i="71"/>
  <c r="V15" i="1"/>
  <c r="W35" i="1"/>
  <c r="AD35" i="1" s="1"/>
  <c r="W12" i="1"/>
  <c r="V49" i="1"/>
  <c r="V50" i="1"/>
  <c r="W24" i="1"/>
  <c r="W30" i="1"/>
  <c r="V39" i="1"/>
  <c r="K3" i="71"/>
  <c r="W10" i="1"/>
  <c r="AD10" i="1" s="1"/>
  <c r="L33" i="71"/>
  <c r="J3" i="71"/>
  <c r="V28" i="1"/>
  <c r="V23" i="1"/>
  <c r="AC23" i="1" s="1"/>
  <c r="V27" i="1"/>
  <c r="AC27" i="1" s="1"/>
  <c r="W14" i="1"/>
  <c r="AD14" i="1" s="1"/>
  <c r="W33" i="1"/>
  <c r="AD33" i="1" s="1"/>
  <c r="W44" i="1"/>
  <c r="L13" i="71"/>
  <c r="V51" i="1"/>
  <c r="W19" i="1"/>
  <c r="V46" i="1"/>
  <c r="W20" i="1"/>
  <c r="AD20" i="1" s="1"/>
  <c r="W46" i="1"/>
  <c r="V19" i="1"/>
  <c r="V13" i="1"/>
  <c r="V48" i="1"/>
  <c r="V20" i="1"/>
  <c r="AC20" i="1" s="1"/>
  <c r="W47" i="1"/>
  <c r="X22" i="1"/>
  <c r="X11" i="1"/>
  <c r="X9" i="1"/>
  <c r="X40" i="1"/>
  <c r="AC112" i="1" l="1"/>
  <c r="AE112" i="1" s="1"/>
  <c r="AG73" i="1"/>
  <c r="AB73" i="1" s="1"/>
  <c r="J55" i="139"/>
  <c r="K55" i="139" s="1"/>
  <c r="AH10" i="1" s="1"/>
  <c r="I53" i="139"/>
  <c r="J53" i="139"/>
  <c r="K53" i="139" s="1"/>
  <c r="AH73" i="1" s="1"/>
  <c r="H48" i="139"/>
  <c r="J48" i="139" s="1"/>
  <c r="K48" i="139" s="1"/>
  <c r="AH82" i="1" s="1"/>
  <c r="AG82" i="1"/>
  <c r="AB82" i="1" s="1"/>
  <c r="AD44" i="1"/>
  <c r="AC21" i="1"/>
  <c r="AC303" i="1"/>
  <c r="AE303" i="1" s="1"/>
  <c r="AC131" i="1"/>
  <c r="AE131" i="1" s="1"/>
  <c r="AG131" i="1" s="1"/>
  <c r="AB131" i="1" s="1"/>
  <c r="AD402" i="1"/>
  <c r="AF402" i="1" s="1"/>
  <c r="AC125" i="1"/>
  <c r="AE125" i="1" s="1"/>
  <c r="AG125" i="1" s="1"/>
  <c r="AB125" i="1" s="1"/>
  <c r="AD338" i="1"/>
  <c r="AF338" i="1" s="1"/>
  <c r="AC283" i="1"/>
  <c r="AE283" i="1" s="1"/>
  <c r="AD354" i="1"/>
  <c r="AF354" i="1" s="1"/>
  <c r="AC306" i="1"/>
  <c r="AE306" i="1" s="1"/>
  <c r="AD411" i="1"/>
  <c r="AF411" i="1" s="1"/>
  <c r="AG411" i="1" s="1"/>
  <c r="AB411" i="1" s="1"/>
  <c r="AD236" i="1"/>
  <c r="AF236" i="1" s="1"/>
  <c r="AD290" i="1"/>
  <c r="AF290" i="1" s="1"/>
  <c r="AD222" i="1"/>
  <c r="AF222" i="1" s="1"/>
  <c r="AG222" i="1" s="1"/>
  <c r="AB222" i="1" s="1"/>
  <c r="AC401" i="1"/>
  <c r="AD184" i="1"/>
  <c r="AC230" i="1"/>
  <c r="AE230" i="1" s="1"/>
  <c r="AC282" i="1"/>
  <c r="AE282" i="1" s="1"/>
  <c r="AD174" i="1"/>
  <c r="AF174" i="1" s="1"/>
  <c r="AC162" i="1"/>
  <c r="AE162" i="1" s="1"/>
  <c r="AD108" i="1"/>
  <c r="AF108" i="1" s="1"/>
  <c r="AG108" i="1" s="1"/>
  <c r="AB108" i="1" s="1"/>
  <c r="AC28" i="1"/>
  <c r="AD24" i="1"/>
  <c r="AC361" i="1"/>
  <c r="AE361" i="1" s="1"/>
  <c r="AC116" i="1"/>
  <c r="AE116" i="1" s="1"/>
  <c r="AD179" i="1"/>
  <c r="AF179" i="1" s="1"/>
  <c r="AD396" i="1"/>
  <c r="AF396" i="1" s="1"/>
  <c r="AC364" i="1"/>
  <c r="AE364" i="1" s="1"/>
  <c r="AC241" i="1"/>
  <c r="AE241" i="1" s="1"/>
  <c r="AG241" i="1" s="1"/>
  <c r="AB241" i="1" s="1"/>
  <c r="AC396" i="1"/>
  <c r="AD249" i="1"/>
  <c r="AF249" i="1" s="1"/>
  <c r="AC379" i="1"/>
  <c r="AE379" i="1" s="1"/>
  <c r="AC326" i="1"/>
  <c r="AE326" i="1" s="1"/>
  <c r="AG326" i="1" s="1"/>
  <c r="AB326" i="1" s="1"/>
  <c r="AD140" i="1"/>
  <c r="AF140" i="1" s="1"/>
  <c r="AD196" i="1"/>
  <c r="AF196" i="1" s="1"/>
  <c r="AC249" i="1"/>
  <c r="AE249" i="1" s="1"/>
  <c r="AC229" i="1"/>
  <c r="AE229" i="1" s="1"/>
  <c r="AC135" i="1"/>
  <c r="AE135" i="1" s="1"/>
  <c r="AC95" i="1"/>
  <c r="AE95" i="1" s="1"/>
  <c r="AC284" i="1"/>
  <c r="AE284" i="1" s="1"/>
  <c r="AD409" i="1"/>
  <c r="AF409" i="1" s="1"/>
  <c r="AG409" i="1" s="1"/>
  <c r="AB409" i="1" s="1"/>
  <c r="AC318" i="1"/>
  <c r="AC158" i="1"/>
  <c r="AE158" i="1" s="1"/>
  <c r="AC134" i="1"/>
  <c r="AE134" i="1" s="1"/>
  <c r="AC94" i="1"/>
  <c r="AE94" i="1" s="1"/>
  <c r="AC127" i="1"/>
  <c r="AE127" i="1" s="1"/>
  <c r="AG127" i="1" s="1"/>
  <c r="AB127" i="1" s="1"/>
  <c r="AD385" i="1"/>
  <c r="AF385" i="1" s="1"/>
  <c r="AG385" i="1" s="1"/>
  <c r="AB385" i="1" s="1"/>
  <c r="AC321" i="1"/>
  <c r="AE321" i="1" s="1"/>
  <c r="AC100" i="1"/>
  <c r="AE100" i="1" s="1"/>
  <c r="AC96" i="1"/>
  <c r="AE96" i="1" s="1"/>
  <c r="AC381" i="1"/>
  <c r="AE381" i="1" s="1"/>
  <c r="AC367" i="1"/>
  <c r="AE367" i="1" s="1"/>
  <c r="AD356" i="1"/>
  <c r="AC325" i="1"/>
  <c r="AE325" i="1" s="1"/>
  <c r="AD362" i="1"/>
  <c r="AF362" i="1" s="1"/>
  <c r="AC308" i="1"/>
  <c r="AE308" i="1" s="1"/>
  <c r="AC370" i="1"/>
  <c r="AE370" i="1" s="1"/>
  <c r="AC358" i="1"/>
  <c r="AE358" i="1" s="1"/>
  <c r="AD200" i="1"/>
  <c r="AF200" i="1" s="1"/>
  <c r="AC356" i="1"/>
  <c r="AD101" i="1"/>
  <c r="AF101" i="1" s="1"/>
  <c r="AC311" i="1"/>
  <c r="AE311" i="1" s="1"/>
  <c r="AC395" i="1"/>
  <c r="AC217" i="1"/>
  <c r="AE217" i="1" s="1"/>
  <c r="AC277" i="1"/>
  <c r="AE277" i="1" s="1"/>
  <c r="AC122" i="1"/>
  <c r="AE122" i="1" s="1"/>
  <c r="AG122" i="1" s="1"/>
  <c r="AB122" i="1" s="1"/>
  <c r="AD161" i="1"/>
  <c r="AF161" i="1" s="1"/>
  <c r="AD170" i="1"/>
  <c r="AF170" i="1" s="1"/>
  <c r="AC198" i="1"/>
  <c r="AE198" i="1" s="1"/>
  <c r="AG198" i="1" s="1"/>
  <c r="AB198" i="1" s="1"/>
  <c r="AC399" i="1"/>
  <c r="AE399" i="1" s="1"/>
  <c r="AC140" i="1"/>
  <c r="AE140" i="1" s="1"/>
  <c r="AC48" i="1"/>
  <c r="AC50" i="1"/>
  <c r="AD28" i="1"/>
  <c r="AC36" i="1"/>
  <c r="AE36" i="1" s="1"/>
  <c r="AG36" i="1" s="1"/>
  <c r="AB36" i="1" s="1"/>
  <c r="AD114" i="1"/>
  <c r="AF114" i="1" s="1"/>
  <c r="AC365" i="1"/>
  <c r="AE365" i="1" s="1"/>
  <c r="AC274" i="1"/>
  <c r="AE274" i="1" s="1"/>
  <c r="AC98" i="1"/>
  <c r="AE98" i="1" s="1"/>
  <c r="AC126" i="1"/>
  <c r="AE126" i="1" s="1"/>
  <c r="AG126" i="1" s="1"/>
  <c r="AB126" i="1" s="1"/>
  <c r="AD162" i="1"/>
  <c r="AF162" i="1" s="1"/>
  <c r="AC176" i="1"/>
  <c r="AC362" i="1"/>
  <c r="AE362" i="1" s="1"/>
  <c r="AC129" i="1"/>
  <c r="AE129" i="1" s="1"/>
  <c r="AG129" i="1" s="1"/>
  <c r="AB129" i="1" s="1"/>
  <c r="AC410" i="1"/>
  <c r="AE410" i="1" s="1"/>
  <c r="AD186" i="1"/>
  <c r="AF186" i="1" s="1"/>
  <c r="AC337" i="1"/>
  <c r="AE337" i="1" s="1"/>
  <c r="AC156" i="1"/>
  <c r="AE156" i="1" s="1"/>
  <c r="AC387" i="1"/>
  <c r="AE387" i="1" s="1"/>
  <c r="AD279" i="1"/>
  <c r="AF279" i="1" s="1"/>
  <c r="AG279" i="1" s="1"/>
  <c r="AB279" i="1" s="1"/>
  <c r="AC297" i="1"/>
  <c r="AE297" i="1" s="1"/>
  <c r="AC242" i="1"/>
  <c r="AE242" i="1" s="1"/>
  <c r="AC290" i="1"/>
  <c r="AE290" i="1" s="1"/>
  <c r="H42" i="139" s="1"/>
  <c r="AC186" i="1"/>
  <c r="AE186" i="1" s="1"/>
  <c r="AD152" i="1"/>
  <c r="AF152" i="1" s="1"/>
  <c r="AG152" i="1" s="1"/>
  <c r="AB152" i="1" s="1"/>
  <c r="AD229" i="1"/>
  <c r="AC137" i="1"/>
  <c r="AE137" i="1" s="1"/>
  <c r="AD41" i="1"/>
  <c r="AF41" i="1" s="1"/>
  <c r="AG41" i="1" s="1"/>
  <c r="AB41" i="1" s="1"/>
  <c r="AD26" i="1"/>
  <c r="AC223" i="1"/>
  <c r="AE223" i="1" s="1"/>
  <c r="AC120" i="1"/>
  <c r="AE120" i="1" s="1"/>
  <c r="AG120" i="1" s="1"/>
  <c r="AB120" i="1" s="1"/>
  <c r="AC319" i="1"/>
  <c r="AE319" i="1" s="1"/>
  <c r="AD379" i="1"/>
  <c r="AF379" i="1" s="1"/>
  <c r="AC392" i="1"/>
  <c r="AE392" i="1" s="1"/>
  <c r="AC324" i="1"/>
  <c r="AE324" i="1" s="1"/>
  <c r="AC369" i="1"/>
  <c r="AE369" i="1" s="1"/>
  <c r="AC123" i="1"/>
  <c r="AE123" i="1" s="1"/>
  <c r="AG123" i="1" s="1"/>
  <c r="AB123" i="1" s="1"/>
  <c r="AD293" i="1"/>
  <c r="AF293" i="1" s="1"/>
  <c r="AG293" i="1" s="1"/>
  <c r="AB293" i="1" s="1"/>
  <c r="AC388" i="1"/>
  <c r="AE388" i="1" s="1"/>
  <c r="AC224" i="1"/>
  <c r="AE224" i="1" s="1"/>
  <c r="AG224" i="1" s="1"/>
  <c r="AB224" i="1" s="1"/>
  <c r="AC359" i="1"/>
  <c r="AE359" i="1" s="1"/>
  <c r="AD158" i="1"/>
  <c r="AF158" i="1" s="1"/>
  <c r="AD314" i="1"/>
  <c r="AF314" i="1" s="1"/>
  <c r="AC344" i="1"/>
  <c r="AE344" i="1" s="1"/>
  <c r="AD238" i="1"/>
  <c r="AF238" i="1" s="1"/>
  <c r="AG238" i="1" s="1"/>
  <c r="AB238" i="1" s="1"/>
  <c r="AD204" i="1"/>
  <c r="AF204" i="1" s="1"/>
  <c r="AG204" i="1" s="1"/>
  <c r="AB204" i="1" s="1"/>
  <c r="AD223" i="1"/>
  <c r="AF223" i="1" s="1"/>
  <c r="AD43" i="1"/>
  <c r="AF43" i="1" s="1"/>
  <c r="AC49" i="1"/>
  <c r="AC52" i="1"/>
  <c r="AE52" i="1" s="1"/>
  <c r="G58" i="139"/>
  <c r="AC34" i="1"/>
  <c r="AE34" i="1" s="1"/>
  <c r="AD185" i="1"/>
  <c r="AF185" i="1" s="1"/>
  <c r="AG185" i="1" s="1"/>
  <c r="AB185" i="1" s="1"/>
  <c r="AC278" i="1"/>
  <c r="AE278" i="1" s="1"/>
  <c r="AC375" i="1"/>
  <c r="AE375" i="1" s="1"/>
  <c r="AD188" i="1"/>
  <c r="AC341" i="1"/>
  <c r="AE341" i="1" s="1"/>
  <c r="AD209" i="1"/>
  <c r="AF209" i="1" s="1"/>
  <c r="AD205" i="1"/>
  <c r="AF205" i="1" s="1"/>
  <c r="AC380" i="1"/>
  <c r="AE380" i="1" s="1"/>
  <c r="AC233" i="1"/>
  <c r="AE233" i="1" s="1"/>
  <c r="AG233" i="1" s="1"/>
  <c r="AB233" i="1" s="1"/>
  <c r="AD284" i="1"/>
  <c r="AF284" i="1" s="1"/>
  <c r="AC288" i="1"/>
  <c r="AE288" i="1" s="1"/>
  <c r="AG288" i="1" s="1"/>
  <c r="AB288" i="1" s="1"/>
  <c r="AD410" i="1"/>
  <c r="AF410" i="1" s="1"/>
  <c r="AC310" i="1"/>
  <c r="AE310" i="1" s="1"/>
  <c r="AC307" i="1"/>
  <c r="AE307" i="1" s="1"/>
  <c r="AC355" i="1"/>
  <c r="AE355" i="1" s="1"/>
  <c r="AC161" i="1"/>
  <c r="AE161" i="1" s="1"/>
  <c r="AC235" i="1"/>
  <c r="AC256" i="1"/>
  <c r="AE256" i="1" s="1"/>
  <c r="AC121" i="1"/>
  <c r="AE121" i="1" s="1"/>
  <c r="AG121" i="1" s="1"/>
  <c r="AB121" i="1" s="1"/>
  <c r="AD299" i="1"/>
  <c r="AF299" i="1" s="1"/>
  <c r="AG299" i="1" s="1"/>
  <c r="AB299" i="1" s="1"/>
  <c r="AD217" i="1"/>
  <c r="AF217" i="1" s="1"/>
  <c r="AC166" i="1"/>
  <c r="AE166" i="1" s="1"/>
  <c r="AC189" i="1"/>
  <c r="AE189" i="1" s="1"/>
  <c r="AC248" i="1"/>
  <c r="AE248" i="1" s="1"/>
  <c r="AG248" i="1" s="1"/>
  <c r="AB248" i="1" s="1"/>
  <c r="AC178" i="1"/>
  <c r="AE178" i="1" s="1"/>
  <c r="AC220" i="1"/>
  <c r="AE220" i="1" s="1"/>
  <c r="AG220" i="1" s="1"/>
  <c r="AB220" i="1" s="1"/>
  <c r="AC289" i="1"/>
  <c r="AE289" i="1" s="1"/>
  <c r="H49" i="139" s="1"/>
  <c r="AC281" i="1"/>
  <c r="AE281" i="1" s="1"/>
  <c r="AD27" i="1"/>
  <c r="AF27" i="1" s="1"/>
  <c r="AC31" i="1"/>
  <c r="AE31" i="1" s="1"/>
  <c r="H20" i="139" s="1"/>
  <c r="AC16" i="1"/>
  <c r="AC374" i="1"/>
  <c r="AE374" i="1" s="1"/>
  <c r="AC187" i="1"/>
  <c r="AE187" i="1" s="1"/>
  <c r="AC174" i="1"/>
  <c r="AE174" i="1" s="1"/>
  <c r="AD289" i="1"/>
  <c r="AC330" i="1"/>
  <c r="AD334" i="1"/>
  <c r="AF334" i="1" s="1"/>
  <c r="AG334" i="1" s="1"/>
  <c r="AB334" i="1" s="1"/>
  <c r="AD407" i="1"/>
  <c r="AF407" i="1" s="1"/>
  <c r="AC164" i="1"/>
  <c r="AE164" i="1" s="1"/>
  <c r="AG164" i="1" s="1"/>
  <c r="AB164" i="1" s="1"/>
  <c r="AD189" i="1"/>
  <c r="AF189" i="1" s="1"/>
  <c r="AC339" i="1"/>
  <c r="AE339" i="1" s="1"/>
  <c r="AC313" i="1"/>
  <c r="AE313" i="1" s="1"/>
  <c r="AC136" i="1"/>
  <c r="AE136" i="1" s="1"/>
  <c r="AC363" i="1"/>
  <c r="AE363" i="1" s="1"/>
  <c r="AC101" i="1"/>
  <c r="AE101" i="1" s="1"/>
  <c r="AC276" i="1"/>
  <c r="AD175" i="1"/>
  <c r="AF175" i="1" s="1"/>
  <c r="AC236" i="1"/>
  <c r="AE236" i="1" s="1"/>
  <c r="AC118" i="1"/>
  <c r="AE118" i="1" s="1"/>
  <c r="AG118" i="1" s="1"/>
  <c r="AB118" i="1" s="1"/>
  <c r="AC212" i="1"/>
  <c r="AE212" i="1" s="1"/>
  <c r="AG212" i="1" s="1"/>
  <c r="AB212" i="1" s="1"/>
  <c r="AC394" i="1"/>
  <c r="AE394" i="1" s="1"/>
  <c r="AD156" i="1"/>
  <c r="AF156" i="1" s="1"/>
  <c r="AC305" i="1"/>
  <c r="AE305" i="1" s="1"/>
  <c r="AD287" i="1"/>
  <c r="AF287" i="1" s="1"/>
  <c r="AG287" i="1" s="1"/>
  <c r="AB287" i="1" s="1"/>
  <c r="AD345" i="1"/>
  <c r="AF345" i="1" s="1"/>
  <c r="AG345" i="1" s="1"/>
  <c r="AB345" i="1" s="1"/>
  <c r="AD15" i="1"/>
  <c r="AF15" i="1" s="1"/>
  <c r="AC51" i="1"/>
  <c r="AC360" i="1"/>
  <c r="AE360" i="1" s="1"/>
  <c r="AC312" i="1"/>
  <c r="AE312" i="1" s="1"/>
  <c r="AC327" i="1"/>
  <c r="AE327" i="1" s="1"/>
  <c r="AD167" i="1"/>
  <c r="AF167" i="1" s="1"/>
  <c r="AC366" i="1"/>
  <c r="AE366" i="1" s="1"/>
  <c r="AC124" i="1"/>
  <c r="AE124" i="1" s="1"/>
  <c r="AG124" i="1" s="1"/>
  <c r="AB124" i="1" s="1"/>
  <c r="AC397" i="1"/>
  <c r="AE397" i="1" s="1"/>
  <c r="AC99" i="1"/>
  <c r="AE99" i="1" s="1"/>
  <c r="AD400" i="1"/>
  <c r="AF400" i="1" s="1"/>
  <c r="AD201" i="1"/>
  <c r="AF201" i="1" s="1"/>
  <c r="AC348" i="1"/>
  <c r="AE348" i="1" s="1"/>
  <c r="AC188" i="1"/>
  <c r="AE188" i="1" s="1"/>
  <c r="AD280" i="1"/>
  <c r="AF280" i="1" s="1"/>
  <c r="AC97" i="1"/>
  <c r="AE97" i="1" s="1"/>
  <c r="AC329" i="1"/>
  <c r="AE329" i="1" s="1"/>
  <c r="AC373" i="1"/>
  <c r="AC304" i="1"/>
  <c r="AE304" i="1" s="1"/>
  <c r="AC159" i="1"/>
  <c r="AE159" i="1" s="1"/>
  <c r="AD132" i="1"/>
  <c r="AF132" i="1" s="1"/>
  <c r="AG132" i="1" s="1"/>
  <c r="AB132" i="1" s="1"/>
  <c r="AC378" i="1"/>
  <c r="AE378" i="1" s="1"/>
  <c r="AC349" i="1"/>
  <c r="AE349" i="1" s="1"/>
  <c r="AC354" i="1"/>
  <c r="AE354" i="1" s="1"/>
  <c r="AD256" i="1"/>
  <c r="AC407" i="1"/>
  <c r="AE407" i="1" s="1"/>
  <c r="AC139" i="1"/>
  <c r="AE139" i="1" s="1"/>
  <c r="AC309" i="1"/>
  <c r="AE309" i="1" s="1"/>
  <c r="AC138" i="1"/>
  <c r="AE138" i="1" s="1"/>
  <c r="AC382" i="1"/>
  <c r="AE382" i="1" s="1"/>
  <c r="G17" i="139"/>
  <c r="X18" i="1"/>
  <c r="AE227" i="1"/>
  <c r="AG227" i="1" s="1"/>
  <c r="AB227" i="1" s="1"/>
  <c r="G5" i="139"/>
  <c r="J5" i="139" s="1"/>
  <c r="K5" i="139" s="1"/>
  <c r="AH270" i="1" s="1"/>
  <c r="G33" i="139"/>
  <c r="I33" i="139" s="1"/>
  <c r="G32" i="139"/>
  <c r="G40" i="139"/>
  <c r="G37" i="139"/>
  <c r="X29" i="1"/>
  <c r="X255" i="1"/>
  <c r="N49" i="139"/>
  <c r="G49" i="139"/>
  <c r="P13" i="139"/>
  <c r="Q13" i="139"/>
  <c r="R13" i="139" s="1"/>
  <c r="AI257" i="1" s="1"/>
  <c r="G18" i="139"/>
  <c r="G12" i="139"/>
  <c r="G16" i="139"/>
  <c r="G34" i="139"/>
  <c r="G47" i="139"/>
  <c r="G21" i="139"/>
  <c r="G27" i="139"/>
  <c r="G36" i="139"/>
  <c r="G52" i="139"/>
  <c r="G23" i="139"/>
  <c r="G45" i="139"/>
  <c r="G25" i="139"/>
  <c r="G28" i="139"/>
  <c r="I22" i="139"/>
  <c r="J22" i="139"/>
  <c r="K22" i="139" s="1"/>
  <c r="AH408" i="1" s="1"/>
  <c r="G19" i="139"/>
  <c r="G60" i="139"/>
  <c r="G46" i="139"/>
  <c r="G41" i="139"/>
  <c r="G14" i="139"/>
  <c r="G20" i="139"/>
  <c r="G13" i="139"/>
  <c r="G6" i="139"/>
  <c r="I15" i="139"/>
  <c r="J15" i="139"/>
  <c r="K15" i="139" s="1"/>
  <c r="AH271" i="1" s="1"/>
  <c r="G30" i="139"/>
  <c r="G38" i="139"/>
  <c r="G59" i="139"/>
  <c r="G51" i="139"/>
  <c r="G39" i="139"/>
  <c r="I55" i="139"/>
  <c r="G42" i="139"/>
  <c r="G11" i="139"/>
  <c r="G50" i="139"/>
  <c r="G54" i="139"/>
  <c r="G35" i="139"/>
  <c r="I10" i="139"/>
  <c r="J10" i="139"/>
  <c r="K10" i="139" s="1"/>
  <c r="AH269" i="1" s="1"/>
  <c r="J29" i="139"/>
  <c r="K29" i="139" s="1"/>
  <c r="AH26" i="1" s="1"/>
  <c r="G26" i="139"/>
  <c r="AE6" i="1"/>
  <c r="G43" i="139"/>
  <c r="G7" i="139"/>
  <c r="AG65" i="1"/>
  <c r="AB65" i="1" s="1"/>
  <c r="AG254" i="1"/>
  <c r="AB254" i="1" s="1"/>
  <c r="H31" i="139"/>
  <c r="J31" i="139" s="1"/>
  <c r="K31" i="139" s="1"/>
  <c r="AH254" i="1" s="1"/>
  <c r="G24" i="139"/>
  <c r="AG85" i="1"/>
  <c r="AB85" i="1" s="1"/>
  <c r="G56" i="139"/>
  <c r="G9" i="139"/>
  <c r="I44" i="139"/>
  <c r="J44" i="139"/>
  <c r="K44" i="139" s="1"/>
  <c r="AH346" i="1" s="1"/>
  <c r="AG89" i="1"/>
  <c r="AB89" i="1" s="1"/>
  <c r="X240" i="1"/>
  <c r="X6" i="1"/>
  <c r="V4" i="1"/>
  <c r="W4" i="1"/>
  <c r="X43" i="1"/>
  <c r="AE402" i="1"/>
  <c r="N32" i="139"/>
  <c r="AG18" i="1"/>
  <c r="AB18" i="1" s="1"/>
  <c r="AG76" i="1"/>
  <c r="AB76" i="1" s="1"/>
  <c r="AG72" i="1"/>
  <c r="AB72" i="1" s="1"/>
  <c r="X251" i="1"/>
  <c r="AG58" i="1"/>
  <c r="AB58" i="1" s="1"/>
  <c r="AE25" i="1"/>
  <c r="AG25" i="1" s="1"/>
  <c r="AB25" i="1" s="1"/>
  <c r="AE231" i="1"/>
  <c r="AE400" i="1"/>
  <c r="N20" i="139"/>
  <c r="AE165" i="1"/>
  <c r="AF286" i="1"/>
  <c r="AE338" i="1"/>
  <c r="H40" i="139" s="1"/>
  <c r="X41" i="1"/>
  <c r="X17" i="1"/>
  <c r="N41" i="139"/>
  <c r="N29" i="139"/>
  <c r="AF37" i="1"/>
  <c r="AF184" i="1"/>
  <c r="AG184" i="1" s="1"/>
  <c r="AB184" i="1" s="1"/>
  <c r="AE144" i="1"/>
  <c r="AE331" i="1"/>
  <c r="AF210" i="1"/>
  <c r="AG210" i="1" s="1"/>
  <c r="AB210" i="1" s="1"/>
  <c r="AG87" i="1"/>
  <c r="AB87" i="1" s="1"/>
  <c r="AG63" i="1"/>
  <c r="AB63" i="1" s="1"/>
  <c r="AG84" i="1"/>
  <c r="AB84" i="1" s="1"/>
  <c r="AG53" i="1"/>
  <c r="AB53" i="1" s="1"/>
  <c r="AG62" i="1"/>
  <c r="AB62" i="1" s="1"/>
  <c r="X34" i="1"/>
  <c r="AG346" i="1"/>
  <c r="AB346" i="1" s="1"/>
  <c r="AG59" i="1"/>
  <c r="AB59" i="1" s="1"/>
  <c r="AG88" i="1"/>
  <c r="AB88" i="1" s="1"/>
  <c r="AF98" i="1"/>
  <c r="AF309" i="1"/>
  <c r="AF283" i="1"/>
  <c r="AF219" i="1"/>
  <c r="X379" i="1"/>
  <c r="X105" i="1"/>
  <c r="AF115" i="1"/>
  <c r="AF355" i="1"/>
  <c r="AF147" i="1"/>
  <c r="AF135" i="1"/>
  <c r="X318" i="1"/>
  <c r="AE318" i="1"/>
  <c r="X157" i="1"/>
  <c r="AE157" i="1"/>
  <c r="AF171" i="1"/>
  <c r="X119" i="1"/>
  <c r="AE119" i="1"/>
  <c r="AG119" i="1" s="1"/>
  <c r="AB119" i="1" s="1"/>
  <c r="X118" i="1"/>
  <c r="AF311" i="1"/>
  <c r="AF360" i="1"/>
  <c r="X399" i="1"/>
  <c r="X140" i="1"/>
  <c r="X113" i="1"/>
  <c r="X404" i="1"/>
  <c r="AE404" i="1"/>
  <c r="AF104" i="1"/>
  <c r="X192" i="1"/>
  <c r="AE192" i="1"/>
  <c r="X303" i="1"/>
  <c r="X131" i="1"/>
  <c r="AF275" i="1"/>
  <c r="AF329" i="1"/>
  <c r="AF92" i="1"/>
  <c r="AF202" i="1"/>
  <c r="X275" i="1"/>
  <c r="AE275" i="1"/>
  <c r="AF193" i="1"/>
  <c r="X405" i="1"/>
  <c r="X237" i="1"/>
  <c r="AE237" i="1"/>
  <c r="AG237" i="1" s="1"/>
  <c r="AB237" i="1" s="1"/>
  <c r="X238" i="1"/>
  <c r="AF375" i="1"/>
  <c r="X325" i="1"/>
  <c r="AF332" i="1"/>
  <c r="X148" i="1"/>
  <c r="AE148" i="1"/>
  <c r="X308" i="1"/>
  <c r="AF333" i="1"/>
  <c r="AG408" i="1"/>
  <c r="AB408" i="1" s="1"/>
  <c r="AG64" i="1"/>
  <c r="AB64" i="1" s="1"/>
  <c r="X389" i="1"/>
  <c r="AE389" i="1"/>
  <c r="X370" i="1"/>
  <c r="AG91" i="1"/>
  <c r="AB91" i="1" s="1"/>
  <c r="X226" i="1"/>
  <c r="AG74" i="1"/>
  <c r="AB74" i="1" s="1"/>
  <c r="X358" i="1"/>
  <c r="X314" i="1"/>
  <c r="AE314" i="1"/>
  <c r="AF96" i="1"/>
  <c r="AF95" i="1"/>
  <c r="X109" i="1"/>
  <c r="AE109" i="1"/>
  <c r="AF173" i="1"/>
  <c r="X316" i="1"/>
  <c r="AE316" i="1"/>
  <c r="AF341" i="1"/>
  <c r="X401" i="1"/>
  <c r="AE401" i="1"/>
  <c r="X347" i="1"/>
  <c r="AE347" i="1"/>
  <c r="X350" i="1"/>
  <c r="AE350" i="1"/>
  <c r="AF197" i="1"/>
  <c r="AF113" i="1"/>
  <c r="AG113" i="1" s="1"/>
  <c r="AB113" i="1" s="1"/>
  <c r="AF242" i="1"/>
  <c r="AF351" i="1"/>
  <c r="AG351" i="1" s="1"/>
  <c r="AB351" i="1" s="1"/>
  <c r="X218" i="1"/>
  <c r="AE218" i="1"/>
  <c r="X133" i="1"/>
  <c r="AF349" i="1"/>
  <c r="X215" i="1"/>
  <c r="X289" i="1"/>
  <c r="X281" i="1"/>
  <c r="AF328" i="1"/>
  <c r="X343" i="1"/>
  <c r="AE343" i="1"/>
  <c r="AF138" i="1"/>
  <c r="X344" i="1"/>
  <c r="AF325" i="1"/>
  <c r="AF277" i="1"/>
  <c r="AF406" i="1"/>
  <c r="X364" i="1"/>
  <c r="AF146" i="1"/>
  <c r="X227" i="1"/>
  <c r="AF323" i="1"/>
  <c r="AG323" i="1" s="1"/>
  <c r="AB323" i="1" s="1"/>
  <c r="X158" i="1"/>
  <c r="X170" i="1"/>
  <c r="AE170" i="1"/>
  <c r="AF296" i="1"/>
  <c r="X361" i="1"/>
  <c r="X116" i="1"/>
  <c r="AF304" i="1"/>
  <c r="X213" i="1"/>
  <c r="AE213" i="1"/>
  <c r="X144" i="1"/>
  <c r="X234" i="1"/>
  <c r="X375" i="1"/>
  <c r="AF142" i="1"/>
  <c r="AG142" i="1" s="1"/>
  <c r="AB142" i="1" s="1"/>
  <c r="AF319" i="1"/>
  <c r="AF100" i="1"/>
  <c r="X92" i="1"/>
  <c r="AE92" i="1"/>
  <c r="X126" i="1"/>
  <c r="X114" i="1"/>
  <c r="AE114" i="1"/>
  <c r="AF347" i="1"/>
  <c r="X296" i="1"/>
  <c r="AE296" i="1"/>
  <c r="X167" i="1"/>
  <c r="AE167" i="1"/>
  <c r="AF376" i="1"/>
  <c r="AG376" i="1" s="1"/>
  <c r="AB376" i="1" s="1"/>
  <c r="X175" i="1"/>
  <c r="AE175" i="1"/>
  <c r="AF274" i="1"/>
  <c r="X176" i="1"/>
  <c r="AE176" i="1"/>
  <c r="AF103" i="1"/>
  <c r="X362" i="1"/>
  <c r="X129" i="1"/>
  <c r="X331" i="1"/>
  <c r="X410" i="1"/>
  <c r="X279" i="1"/>
  <c r="X393" i="1"/>
  <c r="X337" i="1"/>
  <c r="AF381" i="1"/>
  <c r="X117" i="1"/>
  <c r="AE117" i="1"/>
  <c r="AF192" i="1"/>
  <c r="AF397" i="1"/>
  <c r="X151" i="1"/>
  <c r="AE151" i="1"/>
  <c r="AF177" i="1"/>
  <c r="X273" i="1"/>
  <c r="X156" i="1"/>
  <c r="AF313" i="1"/>
  <c r="X387" i="1"/>
  <c r="X262" i="1"/>
  <c r="AF136" i="1"/>
  <c r="X214" i="1"/>
  <c r="AF324" i="1"/>
  <c r="AF350" i="1"/>
  <c r="X315" i="1"/>
  <c r="AE315" i="1"/>
  <c r="AF106" i="1"/>
  <c r="X390" i="1"/>
  <c r="AE390" i="1"/>
  <c r="AF392" i="1"/>
  <c r="X297" i="1"/>
  <c r="X258" i="1"/>
  <c r="X146" i="1"/>
  <c r="AE146" i="1"/>
  <c r="X266" i="1"/>
  <c r="X134" i="1"/>
  <c r="X94" i="1"/>
  <c r="AF153" i="1"/>
  <c r="X142" i="1"/>
  <c r="X230" i="1"/>
  <c r="AF178" i="1"/>
  <c r="X93" i="1"/>
  <c r="AE93" i="1"/>
  <c r="X212" i="1"/>
  <c r="AF380" i="1"/>
  <c r="AG60" i="1"/>
  <c r="AB60" i="1" s="1"/>
  <c r="AF361" i="1"/>
  <c r="AF306" i="1"/>
  <c r="X194" i="1"/>
  <c r="AE194" i="1"/>
  <c r="X257" i="1"/>
  <c r="X278" i="1"/>
  <c r="X406" i="1"/>
  <c r="AE406" i="1"/>
  <c r="X104" i="1"/>
  <c r="AE104" i="1"/>
  <c r="X243" i="1"/>
  <c r="X384" i="1"/>
  <c r="AF181" i="1"/>
  <c r="X391" i="1"/>
  <c r="X249" i="1"/>
  <c r="X229" i="1"/>
  <c r="X95" i="1"/>
  <c r="AF117" i="1"/>
  <c r="X128" i="1"/>
  <c r="AF159" i="1"/>
  <c r="AF148" i="1"/>
  <c r="AF221" i="1"/>
  <c r="AF207" i="1"/>
  <c r="N27" i="139"/>
  <c r="X216" i="1"/>
  <c r="AE216" i="1"/>
  <c r="X345" i="1"/>
  <c r="AF405" i="1"/>
  <c r="AG405" i="1" s="1"/>
  <c r="AB405" i="1" s="1"/>
  <c r="X96" i="1"/>
  <c r="X253" i="1"/>
  <c r="X386" i="1"/>
  <c r="AE386" i="1"/>
  <c r="AF312" i="1"/>
  <c r="X381" i="1"/>
  <c r="X367" i="1"/>
  <c r="X300" i="1"/>
  <c r="AE300" i="1"/>
  <c r="AF356" i="1"/>
  <c r="AF403" i="1"/>
  <c r="AG403" i="1" s="1"/>
  <c r="AB403" i="1" s="1"/>
  <c r="X125" i="1"/>
  <c r="X108" i="1"/>
  <c r="AG86" i="1"/>
  <c r="AB86" i="1" s="1"/>
  <c r="X392" i="1"/>
  <c r="X149" i="1"/>
  <c r="AE149" i="1"/>
  <c r="X293" i="1"/>
  <c r="X352" i="1"/>
  <c r="X324" i="1"/>
  <c r="AF308" i="1"/>
  <c r="X369" i="1"/>
  <c r="X302" i="1"/>
  <c r="AE302" i="1"/>
  <c r="AG302" i="1" s="1"/>
  <c r="AB302" i="1" s="1"/>
  <c r="X123" i="1"/>
  <c r="AF259" i="1"/>
  <c r="X388" i="1"/>
  <c r="X224" i="1"/>
  <c r="X359" i="1"/>
  <c r="AF378" i="1"/>
  <c r="X219" i="1"/>
  <c r="AE219" i="1"/>
  <c r="X272" i="1"/>
  <c r="AG70" i="1"/>
  <c r="AB70" i="1" s="1"/>
  <c r="X195" i="1"/>
  <c r="X402" i="1"/>
  <c r="X261" i="1"/>
  <c r="AF155" i="1"/>
  <c r="X294" i="1"/>
  <c r="AE294" i="1"/>
  <c r="AG294" i="1" s="1"/>
  <c r="AB294" i="1" s="1"/>
  <c r="AF139" i="1"/>
  <c r="X356" i="1"/>
  <c r="AE356" i="1"/>
  <c r="X115" i="1"/>
  <c r="AE115" i="1"/>
  <c r="AF342" i="1"/>
  <c r="AG342" i="1" s="1"/>
  <c r="AB342" i="1" s="1"/>
  <c r="AF110" i="1"/>
  <c r="X311" i="1"/>
  <c r="X323" i="1"/>
  <c r="X395" i="1"/>
  <c r="AE395" i="1"/>
  <c r="X193" i="1"/>
  <c r="AE193" i="1"/>
  <c r="X285" i="1"/>
  <c r="AE285" i="1"/>
  <c r="AG285" i="1" s="1"/>
  <c r="AB285" i="1" s="1"/>
  <c r="X217" i="1"/>
  <c r="X309" i="1"/>
  <c r="AF228" i="1"/>
  <c r="AG228" i="1" s="1"/>
  <c r="AB228" i="1" s="1"/>
  <c r="AF404" i="1"/>
  <c r="X317" i="1"/>
  <c r="AE317" i="1"/>
  <c r="AF365" i="1"/>
  <c r="AF395" i="1"/>
  <c r="X111" i="1"/>
  <c r="X210" i="1"/>
  <c r="AF151" i="1"/>
  <c r="X138" i="1"/>
  <c r="X153" i="1"/>
  <c r="AE153" i="1"/>
  <c r="X222" i="1"/>
  <c r="X394" i="1"/>
  <c r="AF330" i="1"/>
  <c r="X371" i="1"/>
  <c r="X305" i="1"/>
  <c r="AF180" i="1"/>
  <c r="AF367" i="1"/>
  <c r="X360" i="1"/>
  <c r="X396" i="1"/>
  <c r="AE396" i="1"/>
  <c r="X211" i="1"/>
  <c r="AE211" i="1"/>
  <c r="AG211" i="1" s="1"/>
  <c r="AB211" i="1" s="1"/>
  <c r="X244" i="1"/>
  <c r="AF191" i="1"/>
  <c r="X326" i="1"/>
  <c r="AF339" i="1"/>
  <c r="AF218" i="1"/>
  <c r="X135" i="1"/>
  <c r="X171" i="1"/>
  <c r="AE171" i="1"/>
  <c r="X284" i="1"/>
  <c r="AF145" i="1"/>
  <c r="AG145" i="1" s="1"/>
  <c r="AB145" i="1" s="1"/>
  <c r="AF321" i="1"/>
  <c r="AF310" i="1"/>
  <c r="X112" i="1"/>
  <c r="X145" i="1"/>
  <c r="X407" i="1"/>
  <c r="AF141" i="1"/>
  <c r="X139" i="1"/>
  <c r="N17" i="139"/>
  <c r="AF203" i="1"/>
  <c r="AF318" i="1"/>
  <c r="X154" i="1"/>
  <c r="AE154" i="1"/>
  <c r="AF187" i="1"/>
  <c r="X365" i="1"/>
  <c r="X274" i="1"/>
  <c r="X184" i="1"/>
  <c r="AF260" i="1"/>
  <c r="AF391" i="1"/>
  <c r="AG391" i="1" s="1"/>
  <c r="AB391" i="1" s="1"/>
  <c r="X332" i="1"/>
  <c r="AE332" i="1"/>
  <c r="X312" i="1"/>
  <c r="X327" i="1"/>
  <c r="AF97" i="1"/>
  <c r="AF188" i="1"/>
  <c r="X341" i="1"/>
  <c r="X336" i="1"/>
  <c r="AE336" i="1"/>
  <c r="AG336" i="1" s="1"/>
  <c r="AB336" i="1" s="1"/>
  <c r="AF291" i="1"/>
  <c r="AF348" i="1"/>
  <c r="X280" i="1"/>
  <c r="AE280" i="1"/>
  <c r="X150" i="1"/>
  <c r="AF116" i="1"/>
  <c r="X246" i="1"/>
  <c r="X380" i="1"/>
  <c r="X202" i="1"/>
  <c r="AE202" i="1"/>
  <c r="X206" i="1"/>
  <c r="AE206" i="1"/>
  <c r="X247" i="1"/>
  <c r="X299" i="1"/>
  <c r="AF372" i="1"/>
  <c r="AG372" i="1" s="1"/>
  <c r="AB372" i="1" s="1"/>
  <c r="X233" i="1"/>
  <c r="X106" i="1"/>
  <c r="AE106" i="1"/>
  <c r="X288" i="1"/>
  <c r="AF371" i="1"/>
  <c r="AG371" i="1" s="1"/>
  <c r="AB371" i="1" s="1"/>
  <c r="X310" i="1"/>
  <c r="X307" i="1"/>
  <c r="X163" i="1"/>
  <c r="X355" i="1"/>
  <c r="AF322" i="1"/>
  <c r="X161" i="1"/>
  <c r="X235" i="1"/>
  <c r="AE235" i="1"/>
  <c r="AG235" i="1" s="1"/>
  <c r="AB235" i="1" s="1"/>
  <c r="AF363" i="1"/>
  <c r="X267" i="1"/>
  <c r="X256" i="1"/>
  <c r="AF94" i="1"/>
  <c r="X368" i="1"/>
  <c r="X121" i="1"/>
  <c r="AF128" i="1"/>
  <c r="AG128" i="1" s="1"/>
  <c r="AB128" i="1" s="1"/>
  <c r="AF194" i="1"/>
  <c r="X143" i="1"/>
  <c r="X403" i="1"/>
  <c r="AF208" i="1"/>
  <c r="X166" i="1"/>
  <c r="X189" i="1"/>
  <c r="X107" i="1"/>
  <c r="AE107" i="1"/>
  <c r="X411" i="1"/>
  <c r="X353" i="1"/>
  <c r="AE353" i="1"/>
  <c r="X398" i="1"/>
  <c r="X177" i="1"/>
  <c r="AE177" i="1"/>
  <c r="X242" i="1"/>
  <c r="X290" i="1"/>
  <c r="X186" i="1"/>
  <c r="AF315" i="1"/>
  <c r="X245" i="1"/>
  <c r="AE245" i="1"/>
  <c r="AG245" i="1" s="1"/>
  <c r="AB245" i="1" s="1"/>
  <c r="AF137" i="1"/>
  <c r="X103" i="1"/>
  <c r="AE103" i="1"/>
  <c r="AF331" i="1"/>
  <c r="AG75" i="1"/>
  <c r="AB75" i="1" s="1"/>
  <c r="AF316" i="1"/>
  <c r="AG83" i="1"/>
  <c r="AB83" i="1" s="1"/>
  <c r="X382" i="1"/>
  <c r="AF343" i="1"/>
  <c r="X357" i="1"/>
  <c r="AE357" i="1"/>
  <c r="AG357" i="1" s="1"/>
  <c r="AB357" i="1" s="1"/>
  <c r="X268" i="1"/>
  <c r="N51" i="139"/>
  <c r="X205" i="1"/>
  <c r="AE205" i="1"/>
  <c r="X223" i="1"/>
  <c r="AF390" i="1"/>
  <c r="X225" i="1"/>
  <c r="X340" i="1"/>
  <c r="AE340" i="1"/>
  <c r="AF157" i="1"/>
  <c r="AF297" i="1"/>
  <c r="X376" i="1"/>
  <c r="X120" i="1"/>
  <c r="X319" i="1"/>
  <c r="AF226" i="1"/>
  <c r="AG226" i="1" s="1"/>
  <c r="AB226" i="1" s="1"/>
  <c r="AF160" i="1"/>
  <c r="AG66" i="1"/>
  <c r="AB66" i="1" s="1"/>
  <c r="AG69" i="1"/>
  <c r="AB69" i="1" s="1"/>
  <c r="X179" i="1"/>
  <c r="AE179" i="1"/>
  <c r="AF282" i="1"/>
  <c r="X334" i="1"/>
  <c r="AF183" i="1"/>
  <c r="X383" i="1"/>
  <c r="X342" i="1"/>
  <c r="X228" i="1"/>
  <c r="AF190" i="1"/>
  <c r="X164" i="1"/>
  <c r="X339" i="1"/>
  <c r="AF327" i="1"/>
  <c r="X197" i="1"/>
  <c r="AE197" i="1"/>
  <c r="AF112" i="1"/>
  <c r="AG112" i="1" s="1"/>
  <c r="AB112" i="1" s="1"/>
  <c r="AF374" i="1"/>
  <c r="X313" i="1"/>
  <c r="X141" i="1"/>
  <c r="AE141" i="1"/>
  <c r="X136" i="1"/>
  <c r="X363" i="1"/>
  <c r="X203" i="1"/>
  <c r="AE203" i="1"/>
  <c r="X101" i="1"/>
  <c r="X209" i="1"/>
  <c r="AE209" i="1"/>
  <c r="X276" i="1"/>
  <c r="AE276" i="1"/>
  <c r="AF298" i="1"/>
  <c r="X400" i="1"/>
  <c r="X182" i="1"/>
  <c r="X292" i="1"/>
  <c r="AE292" i="1"/>
  <c r="AG292" i="1" s="1"/>
  <c r="AB292" i="1" s="1"/>
  <c r="AF340" i="1"/>
  <c r="AF278" i="1"/>
  <c r="AF344" i="1"/>
  <c r="X322" i="1"/>
  <c r="AE322" i="1"/>
  <c r="X200" i="1"/>
  <c r="AE200" i="1"/>
  <c r="AF172" i="1"/>
  <c r="X298" i="1"/>
  <c r="AE298" i="1"/>
  <c r="X127" i="1"/>
  <c r="AF399" i="1"/>
  <c r="AF93" i="1"/>
  <c r="X169" i="1"/>
  <c r="AE169" i="1"/>
  <c r="X321" i="1"/>
  <c r="X231" i="1"/>
  <c r="X132" i="1"/>
  <c r="AF307" i="1"/>
  <c r="X100" i="1"/>
  <c r="AG61" i="1"/>
  <c r="AB61" i="1" s="1"/>
  <c r="X333" i="1"/>
  <c r="AE333" i="1"/>
  <c r="X282" i="1"/>
  <c r="AF99" i="1"/>
  <c r="X162" i="1"/>
  <c r="X270" i="1"/>
  <c r="AF258" i="1"/>
  <c r="AG258" i="1" s="1"/>
  <c r="AB258" i="1" s="1"/>
  <c r="X295" i="1"/>
  <c r="AE295" i="1"/>
  <c r="AF337" i="1"/>
  <c r="AG68" i="1"/>
  <c r="AB68" i="1" s="1"/>
  <c r="X165" i="1"/>
  <c r="AF134" i="1"/>
  <c r="X185" i="1"/>
  <c r="AF382" i="1"/>
  <c r="X98" i="1"/>
  <c r="X191" i="1"/>
  <c r="AE191" i="1"/>
  <c r="AF169" i="1"/>
  <c r="AF166" i="1"/>
  <c r="X366" i="1"/>
  <c r="X351" i="1"/>
  <c r="X124" i="1"/>
  <c r="AF231" i="1"/>
  <c r="AF373" i="1"/>
  <c r="X397" i="1"/>
  <c r="AF216" i="1"/>
  <c r="X207" i="1"/>
  <c r="AE207" i="1"/>
  <c r="X204" i="1"/>
  <c r="AF388" i="1"/>
  <c r="X99" i="1"/>
  <c r="X260" i="1"/>
  <c r="AE260" i="1"/>
  <c r="X348" i="1"/>
  <c r="AF230" i="1"/>
  <c r="X188" i="1"/>
  <c r="N6" i="139"/>
  <c r="AF370" i="1"/>
  <c r="X181" i="1"/>
  <c r="AE181" i="1"/>
  <c r="AF176" i="1"/>
  <c r="X232" i="1"/>
  <c r="X221" i="1"/>
  <c r="AE221" i="1"/>
  <c r="X173" i="1"/>
  <c r="AE173" i="1"/>
  <c r="AF364" i="1"/>
  <c r="X168" i="1"/>
  <c r="AE168" i="1"/>
  <c r="X172" i="1"/>
  <c r="AE172" i="1"/>
  <c r="AF401" i="1"/>
  <c r="X97" i="1"/>
  <c r="X372" i="1"/>
  <c r="AF165" i="1"/>
  <c r="X328" i="1"/>
  <c r="AE328" i="1"/>
  <c r="X329" i="1"/>
  <c r="X373" i="1"/>
  <c r="AE373" i="1"/>
  <c r="X304" i="1"/>
  <c r="X159" i="1"/>
  <c r="AF144" i="1"/>
  <c r="AF366" i="1"/>
  <c r="X378" i="1"/>
  <c r="X349" i="1"/>
  <c r="X354" i="1"/>
  <c r="AF256" i="1"/>
  <c r="X250" i="1"/>
  <c r="AF300" i="1"/>
  <c r="X147" i="1"/>
  <c r="AE147" i="1"/>
  <c r="X385" i="1"/>
  <c r="X248" i="1"/>
  <c r="X239" i="1"/>
  <c r="AE239" i="1"/>
  <c r="AG239" i="1" s="1"/>
  <c r="AB239" i="1" s="1"/>
  <c r="AF389" i="1"/>
  <c r="X178" i="1"/>
  <c r="X220" i="1"/>
  <c r="X130" i="1"/>
  <c r="AF359" i="1"/>
  <c r="X252" i="1"/>
  <c r="X277" i="1"/>
  <c r="AF213" i="1"/>
  <c r="AF107" i="1"/>
  <c r="AG77" i="1"/>
  <c r="AB77" i="1" s="1"/>
  <c r="X241" i="1"/>
  <c r="AF48" i="1"/>
  <c r="X374" i="1"/>
  <c r="X265" i="1"/>
  <c r="X187" i="1"/>
  <c r="X174" i="1"/>
  <c r="X287" i="1"/>
  <c r="AF289" i="1"/>
  <c r="O49" i="139" s="1"/>
  <c r="AF394" i="1"/>
  <c r="X330" i="1"/>
  <c r="AE330" i="1"/>
  <c r="AF109" i="1"/>
  <c r="X335" i="1"/>
  <c r="AG377" i="1"/>
  <c r="AB377" i="1" s="1"/>
  <c r="AF305" i="1"/>
  <c r="X183" i="1"/>
  <c r="AE183" i="1"/>
  <c r="X291" i="1"/>
  <c r="AE291" i="1"/>
  <c r="AF149" i="1"/>
  <c r="X283" i="1"/>
  <c r="X110" i="1"/>
  <c r="AE110" i="1"/>
  <c r="X306" i="1"/>
  <c r="X301" i="1"/>
  <c r="AE301" i="1"/>
  <c r="AG301" i="1" s="1"/>
  <c r="AB301" i="1" s="1"/>
  <c r="AF358" i="1"/>
  <c r="X320" i="1"/>
  <c r="AE320" i="1"/>
  <c r="AF317" i="1"/>
  <c r="X190" i="1"/>
  <c r="AE190" i="1"/>
  <c r="X208" i="1"/>
  <c r="AE208" i="1"/>
  <c r="X155" i="1"/>
  <c r="AE155" i="1"/>
  <c r="X152" i="1"/>
  <c r="X259" i="1"/>
  <c r="AE259" i="1"/>
  <c r="X201" i="1"/>
  <c r="AE201" i="1"/>
  <c r="AF154" i="1"/>
  <c r="AG67" i="1"/>
  <c r="AB67" i="1" s="1"/>
  <c r="AF102" i="1"/>
  <c r="AG102" i="1" s="1"/>
  <c r="AB102" i="1" s="1"/>
  <c r="X199" i="1"/>
  <c r="AF387" i="1"/>
  <c r="X180" i="1"/>
  <c r="AE180" i="1"/>
  <c r="AF281" i="1"/>
  <c r="AF276" i="1"/>
  <c r="AF303" i="1"/>
  <c r="X236" i="1"/>
  <c r="AG79" i="1"/>
  <c r="AB79" i="1" s="1"/>
  <c r="AF168" i="1"/>
  <c r="X409" i="1"/>
  <c r="AG90" i="1"/>
  <c r="AB90" i="1" s="1"/>
  <c r="X196" i="1"/>
  <c r="AE196" i="1"/>
  <c r="AF229" i="1"/>
  <c r="AF369" i="1"/>
  <c r="X338" i="1"/>
  <c r="X160" i="1"/>
  <c r="AE160" i="1"/>
  <c r="X264" i="1"/>
  <c r="X102" i="1"/>
  <c r="X137" i="1"/>
  <c r="X286" i="1"/>
  <c r="AE286" i="1"/>
  <c r="X122" i="1"/>
  <c r="X198" i="1"/>
  <c r="X263" i="1"/>
  <c r="AE263" i="1"/>
  <c r="AG263" i="1" s="1"/>
  <c r="AB263" i="1" s="1"/>
  <c r="AF353" i="1"/>
  <c r="AF133" i="1"/>
  <c r="AG133" i="1" s="1"/>
  <c r="AB133" i="1" s="1"/>
  <c r="X52" i="1"/>
  <c r="X32" i="1"/>
  <c r="N55" i="139"/>
  <c r="N9" i="139"/>
  <c r="N59" i="139"/>
  <c r="AE23" i="1"/>
  <c r="H32" i="139" s="1"/>
  <c r="N57" i="139"/>
  <c r="AF50" i="1"/>
  <c r="N42" i="139"/>
  <c r="X36" i="1"/>
  <c r="N40" i="139"/>
  <c r="X25" i="1"/>
  <c r="N5" i="139"/>
  <c r="Q5" i="139" s="1"/>
  <c r="AF13" i="1"/>
  <c r="X16" i="1"/>
  <c r="AE8" i="1"/>
  <c r="AE32" i="1"/>
  <c r="N16" i="139"/>
  <c r="N50" i="139"/>
  <c r="X37" i="1"/>
  <c r="X7" i="1"/>
  <c r="X49" i="1"/>
  <c r="X31" i="1"/>
  <c r="N21" i="139"/>
  <c r="AF31" i="1"/>
  <c r="N46" i="139"/>
  <c r="N26" i="139"/>
  <c r="N37" i="139"/>
  <c r="N25" i="139"/>
  <c r="N24" i="139"/>
  <c r="N56" i="139"/>
  <c r="N11" i="139"/>
  <c r="X13" i="1"/>
  <c r="N14" i="139"/>
  <c r="N28" i="139"/>
  <c r="N54" i="139"/>
  <c r="X23" i="1"/>
  <c r="N30" i="139"/>
  <c r="X26" i="1"/>
  <c r="N47" i="139"/>
  <c r="N34" i="139"/>
  <c r="N12" i="139"/>
  <c r="N45" i="139"/>
  <c r="N52" i="139"/>
  <c r="N38" i="139"/>
  <c r="X47" i="1"/>
  <c r="N35" i="139"/>
  <c r="N39" i="139"/>
  <c r="N43" i="139"/>
  <c r="N23" i="139"/>
  <c r="N18" i="139"/>
  <c r="N36" i="139"/>
  <c r="N19" i="139"/>
  <c r="P7" i="139"/>
  <c r="P15" i="139"/>
  <c r="P33" i="139"/>
  <c r="L3" i="71"/>
  <c r="X42" i="1"/>
  <c r="P10" i="139"/>
  <c r="P31" i="139"/>
  <c r="X45" i="1"/>
  <c r="X38" i="1"/>
  <c r="X8" i="1"/>
  <c r="X21" i="1"/>
  <c r="X15" i="1"/>
  <c r="X35" i="1"/>
  <c r="X39" i="1"/>
  <c r="X24" i="1"/>
  <c r="X12" i="1"/>
  <c r="X50" i="1"/>
  <c r="X30" i="1"/>
  <c r="X10" i="1"/>
  <c r="X27" i="1"/>
  <c r="X28" i="1"/>
  <c r="X33" i="1"/>
  <c r="X14" i="1"/>
  <c r="X44" i="1"/>
  <c r="X51" i="1"/>
  <c r="X46" i="1"/>
  <c r="X19" i="1"/>
  <c r="X48" i="1"/>
  <c r="X20" i="1"/>
  <c r="O60" i="139"/>
  <c r="Q60" i="139" s="1"/>
  <c r="AE11" i="1"/>
  <c r="AF22" i="1"/>
  <c r="O58" i="139" s="1"/>
  <c r="Q58" i="139" s="1"/>
  <c r="O22" i="139"/>
  <c r="Q22" i="139" s="1"/>
  <c r="AF11" i="1"/>
  <c r="AF9" i="1"/>
  <c r="O44" i="139" s="1"/>
  <c r="Q44" i="139" s="1"/>
  <c r="AE22" i="1"/>
  <c r="AF6" i="1"/>
  <c r="O53" i="139"/>
  <c r="Q53" i="139" s="1"/>
  <c r="AE17" i="1"/>
  <c r="O48" i="139"/>
  <c r="Q48" i="139" s="1"/>
  <c r="AF32" i="1"/>
  <c r="AF16" i="1"/>
  <c r="AE9" i="1"/>
  <c r="H57" i="139" s="1"/>
  <c r="AF40" i="1"/>
  <c r="AE47" i="1"/>
  <c r="AF49" i="1"/>
  <c r="AG29" i="1"/>
  <c r="AG322" i="1" l="1"/>
  <c r="AB322" i="1" s="1"/>
  <c r="AG363" i="1"/>
  <c r="AB363" i="1" s="1"/>
  <c r="AG209" i="1"/>
  <c r="AB209" i="1" s="1"/>
  <c r="J32" i="139"/>
  <c r="K32" i="139" s="1"/>
  <c r="AH23" i="1" s="1"/>
  <c r="I5" i="139"/>
  <c r="I48" i="139"/>
  <c r="AG402" i="1"/>
  <c r="AB402" i="1" s="1"/>
  <c r="AG162" i="1"/>
  <c r="AB162" i="1" s="1"/>
  <c r="AG410" i="1"/>
  <c r="AB410" i="1" s="1"/>
  <c r="AG400" i="1"/>
  <c r="AB400" i="1" s="1"/>
  <c r="AM257" i="1"/>
  <c r="J33" i="139"/>
  <c r="K33" i="139" s="1"/>
  <c r="AH262" i="1" s="1"/>
  <c r="Q49" i="139"/>
  <c r="AG98" i="1"/>
  <c r="AB98" i="1" s="1"/>
  <c r="AG193" i="1"/>
  <c r="AB193" i="1" s="1"/>
  <c r="P11" i="139"/>
  <c r="Q11" i="139"/>
  <c r="R11" i="139" s="1"/>
  <c r="P27" i="139"/>
  <c r="Q27" i="139"/>
  <c r="R27" i="139" s="1"/>
  <c r="P41" i="139"/>
  <c r="Q41" i="139"/>
  <c r="R41" i="139" s="1"/>
  <c r="AI267" i="1" s="1"/>
  <c r="J49" i="139"/>
  <c r="K49" i="139" s="1"/>
  <c r="AH289" i="1" s="1"/>
  <c r="I49" i="139"/>
  <c r="P6" i="139"/>
  <c r="Q6" i="139"/>
  <c r="R6" i="139" s="1"/>
  <c r="AI272" i="1" s="1"/>
  <c r="P32" i="139"/>
  <c r="Q32" i="139"/>
  <c r="R32" i="139" s="1"/>
  <c r="R10" i="139"/>
  <c r="AI269" i="1" s="1"/>
  <c r="R33" i="139"/>
  <c r="AI262" i="1" s="1"/>
  <c r="R7" i="139"/>
  <c r="AI268" i="1" s="1"/>
  <c r="R31" i="139"/>
  <c r="AI254" i="1" s="1"/>
  <c r="R15" i="139"/>
  <c r="AI271" i="1" s="1"/>
  <c r="H14" i="139"/>
  <c r="I14" i="139" s="1"/>
  <c r="AG216" i="1"/>
  <c r="AB216" i="1" s="1"/>
  <c r="AG349" i="1"/>
  <c r="AB349" i="1" s="1"/>
  <c r="AG328" i="1"/>
  <c r="AB328" i="1" s="1"/>
  <c r="AG207" i="1"/>
  <c r="AB207" i="1" s="1"/>
  <c r="H47" i="139"/>
  <c r="J47" i="139" s="1"/>
  <c r="K47" i="139" s="1"/>
  <c r="AG144" i="1"/>
  <c r="AB144" i="1" s="1"/>
  <c r="AG179" i="1"/>
  <c r="AB179" i="1" s="1"/>
  <c r="AG160" i="1"/>
  <c r="AB160" i="1" s="1"/>
  <c r="AG355" i="1"/>
  <c r="AB355" i="1" s="1"/>
  <c r="AG360" i="1"/>
  <c r="AB360" i="1" s="1"/>
  <c r="AG281" i="1"/>
  <c r="AB281" i="1" s="1"/>
  <c r="H17" i="139"/>
  <c r="I17" i="139" s="1"/>
  <c r="P5" i="139"/>
  <c r="N2" i="139"/>
  <c r="H21" i="139"/>
  <c r="J21" i="139" s="1"/>
  <c r="K21" i="139" s="1"/>
  <c r="H52" i="139"/>
  <c r="I52" i="139" s="1"/>
  <c r="H25" i="139"/>
  <c r="J25" i="139" s="1"/>
  <c r="K25" i="139" s="1"/>
  <c r="H37" i="139"/>
  <c r="J37" i="139" s="1"/>
  <c r="K37" i="139" s="1"/>
  <c r="I40" i="139"/>
  <c r="J40" i="139"/>
  <c r="K40" i="139" s="1"/>
  <c r="J7" i="139"/>
  <c r="K7" i="139" s="1"/>
  <c r="AH268" i="1" s="1"/>
  <c r="I7" i="139"/>
  <c r="I31" i="139"/>
  <c r="I6" i="139"/>
  <c r="J6" i="139"/>
  <c r="K6" i="139" s="1"/>
  <c r="AH272" i="1" s="1"/>
  <c r="AG386" i="1"/>
  <c r="AB386" i="1" s="1"/>
  <c r="H59" i="139"/>
  <c r="J59" i="139" s="1"/>
  <c r="K59" i="139" s="1"/>
  <c r="AH386" i="1" s="1"/>
  <c r="H27" i="139"/>
  <c r="J11" i="139"/>
  <c r="K11" i="139" s="1"/>
  <c r="I11" i="139"/>
  <c r="AG295" i="1"/>
  <c r="AB295" i="1" s="1"/>
  <c r="H28" i="139"/>
  <c r="I28" i="139" s="1"/>
  <c r="AG34" i="1"/>
  <c r="AB34" i="1" s="1"/>
  <c r="H58" i="139"/>
  <c r="AG206" i="1"/>
  <c r="AB206" i="1" s="1"/>
  <c r="H60" i="139"/>
  <c r="I60" i="139" s="1"/>
  <c r="H46" i="139"/>
  <c r="I46" i="139" s="1"/>
  <c r="J13" i="139"/>
  <c r="K13" i="139" s="1"/>
  <c r="AH257" i="1" s="1"/>
  <c r="I13" i="139"/>
  <c r="H39" i="139"/>
  <c r="I39" i="139" s="1"/>
  <c r="J57" i="139"/>
  <c r="K57" i="139" s="1"/>
  <c r="I57" i="139"/>
  <c r="AG181" i="1"/>
  <c r="AB181" i="1" s="1"/>
  <c r="H51" i="139"/>
  <c r="J51" i="139" s="1"/>
  <c r="K51" i="139" s="1"/>
  <c r="I32" i="139"/>
  <c r="H18" i="139"/>
  <c r="H16" i="139"/>
  <c r="J41" i="139"/>
  <c r="K41" i="139" s="1"/>
  <c r="AH267" i="1" s="1"/>
  <c r="I41" i="139"/>
  <c r="I42" i="139"/>
  <c r="J42" i="139"/>
  <c r="K42" i="139" s="1"/>
  <c r="I20" i="139"/>
  <c r="J20" i="139"/>
  <c r="K20" i="139" s="1"/>
  <c r="AG320" i="1"/>
  <c r="AB320" i="1" s="1"/>
  <c r="H35" i="139"/>
  <c r="J35" i="139" s="1"/>
  <c r="K35" i="139" s="1"/>
  <c r="AH320" i="1" s="1"/>
  <c r="H56" i="139"/>
  <c r="I56" i="139" s="1"/>
  <c r="G2" i="139"/>
  <c r="I9" i="139"/>
  <c r="J9" i="139"/>
  <c r="K9" i="139" s="1"/>
  <c r="AH273" i="1" s="1"/>
  <c r="H23" i="139"/>
  <c r="AG348" i="1"/>
  <c r="AB348" i="1" s="1"/>
  <c r="AG296" i="1"/>
  <c r="AB296" i="1" s="1"/>
  <c r="X4" i="1"/>
  <c r="AG381" i="1"/>
  <c r="AB381" i="1" s="1"/>
  <c r="AG231" i="1"/>
  <c r="AB231" i="1" s="1"/>
  <c r="AG101" i="1"/>
  <c r="AB101" i="1" s="1"/>
  <c r="AG242" i="1"/>
  <c r="AB242" i="1" s="1"/>
  <c r="AG221" i="1"/>
  <c r="AB221" i="1" s="1"/>
  <c r="AG309" i="1"/>
  <c r="AB309" i="1" s="1"/>
  <c r="AG319" i="1"/>
  <c r="AB319" i="1" s="1"/>
  <c r="AG23" i="1"/>
  <c r="AB23" i="1" s="1"/>
  <c r="AG159" i="1"/>
  <c r="AB159" i="1" s="1"/>
  <c r="AG331" i="1"/>
  <c r="AB331" i="1" s="1"/>
  <c r="AG286" i="1"/>
  <c r="AB286" i="1" s="1"/>
  <c r="AG183" i="1"/>
  <c r="AB183" i="1" s="1"/>
  <c r="AG304" i="1"/>
  <c r="AB304" i="1" s="1"/>
  <c r="AG259" i="1"/>
  <c r="AB259" i="1" s="1"/>
  <c r="AG333" i="1"/>
  <c r="AB333" i="1" s="1"/>
  <c r="AG171" i="1"/>
  <c r="AB171" i="1" s="1"/>
  <c r="AG138" i="1"/>
  <c r="AB138" i="1" s="1"/>
  <c r="AG115" i="1"/>
  <c r="AB115" i="1" s="1"/>
  <c r="AG180" i="1"/>
  <c r="AB180" i="1" s="1"/>
  <c r="AG201" i="1"/>
  <c r="AB201" i="1" s="1"/>
  <c r="AG217" i="1"/>
  <c r="AB217" i="1" s="1"/>
  <c r="AG338" i="1"/>
  <c r="AB338" i="1" s="1"/>
  <c r="AG311" i="1"/>
  <c r="AB311" i="1" s="1"/>
  <c r="AG95" i="1"/>
  <c r="AB95" i="1" s="1"/>
  <c r="AG230" i="1"/>
  <c r="AB230" i="1" s="1"/>
  <c r="AG397" i="1"/>
  <c r="AB397" i="1" s="1"/>
  <c r="AG165" i="1"/>
  <c r="AB165" i="1" s="1"/>
  <c r="AG219" i="1"/>
  <c r="AB219" i="1" s="1"/>
  <c r="AG202" i="1"/>
  <c r="AB202" i="1" s="1"/>
  <c r="AG104" i="1"/>
  <c r="AB104" i="1" s="1"/>
  <c r="AG407" i="1"/>
  <c r="AB407" i="1" s="1"/>
  <c r="AG173" i="1"/>
  <c r="AB173" i="1" s="1"/>
  <c r="AG177" i="1"/>
  <c r="AB177" i="1" s="1"/>
  <c r="AG321" i="1"/>
  <c r="AB321" i="1" s="1"/>
  <c r="AG223" i="1"/>
  <c r="AB223" i="1" s="1"/>
  <c r="AG341" i="1"/>
  <c r="AB341" i="1" s="1"/>
  <c r="AG396" i="1"/>
  <c r="AB396" i="1" s="1"/>
  <c r="AG135" i="1"/>
  <c r="AB135" i="1" s="1"/>
  <c r="AG196" i="1"/>
  <c r="AB196" i="1" s="1"/>
  <c r="AG329" i="1"/>
  <c r="AB329" i="1" s="1"/>
  <c r="AG186" i="1"/>
  <c r="AB186" i="1" s="1"/>
  <c r="AG362" i="1"/>
  <c r="AB362" i="1" s="1"/>
  <c r="AG274" i="1"/>
  <c r="AB274" i="1" s="1"/>
  <c r="AG96" i="1"/>
  <c r="AB96" i="1" s="1"/>
  <c r="AG153" i="1"/>
  <c r="AB153" i="1" s="1"/>
  <c r="AG356" i="1"/>
  <c r="AB356" i="1" s="1"/>
  <c r="AG174" i="1"/>
  <c r="AB174" i="1" s="1"/>
  <c r="AG324" i="1"/>
  <c r="AB324" i="1" s="1"/>
  <c r="AG406" i="1"/>
  <c r="AB406" i="1" s="1"/>
  <c r="AG392" i="1"/>
  <c r="AB392" i="1" s="1"/>
  <c r="AG110" i="1"/>
  <c r="AB110" i="1" s="1"/>
  <c r="AG277" i="1"/>
  <c r="AB277" i="1" s="1"/>
  <c r="AG137" i="1"/>
  <c r="AB137" i="1" s="1"/>
  <c r="AG339" i="1"/>
  <c r="AB339" i="1" s="1"/>
  <c r="AG312" i="1"/>
  <c r="AB312" i="1" s="1"/>
  <c r="AG191" i="1"/>
  <c r="AB191" i="1" s="1"/>
  <c r="AG306" i="1"/>
  <c r="AB306" i="1" s="1"/>
  <c r="AG178" i="1"/>
  <c r="AB178" i="1" s="1"/>
  <c r="AG313" i="1"/>
  <c r="AB313" i="1" s="1"/>
  <c r="AG332" i="1"/>
  <c r="AB332" i="1" s="1"/>
  <c r="AG92" i="1"/>
  <c r="AB92" i="1" s="1"/>
  <c r="AG260" i="1"/>
  <c r="AB260" i="1" s="1"/>
  <c r="AG190" i="1"/>
  <c r="AB190" i="1" s="1"/>
  <c r="AG310" i="1"/>
  <c r="AB310" i="1" s="1"/>
  <c r="AG139" i="1"/>
  <c r="AB139" i="1" s="1"/>
  <c r="AG187" i="1"/>
  <c r="AB187" i="1" s="1"/>
  <c r="AG378" i="1"/>
  <c r="AB378" i="1" s="1"/>
  <c r="AG172" i="1"/>
  <c r="AB172" i="1" s="1"/>
  <c r="AG97" i="1"/>
  <c r="AB97" i="1" s="1"/>
  <c r="AG375" i="1"/>
  <c r="AB375" i="1" s="1"/>
  <c r="AG141" i="1"/>
  <c r="AB141" i="1" s="1"/>
  <c r="AG365" i="1"/>
  <c r="AB365" i="1" s="1"/>
  <c r="AG99" i="1"/>
  <c r="AB99" i="1" s="1"/>
  <c r="AG291" i="1"/>
  <c r="AB291" i="1" s="1"/>
  <c r="AG147" i="1"/>
  <c r="AB147" i="1" s="1"/>
  <c r="AG188" i="1"/>
  <c r="AB188" i="1" s="1"/>
  <c r="AG205" i="1"/>
  <c r="AB205" i="1" s="1"/>
  <c r="AG103" i="1"/>
  <c r="AB103" i="1" s="1"/>
  <c r="AG200" i="1"/>
  <c r="AB200" i="1" s="1"/>
  <c r="AG106" i="1"/>
  <c r="AB106" i="1" s="1"/>
  <c r="AG354" i="1"/>
  <c r="AB354" i="1" s="1"/>
  <c r="AG282" i="1"/>
  <c r="AB282" i="1" s="1"/>
  <c r="AG100" i="1"/>
  <c r="AB100" i="1" s="1"/>
  <c r="AG298" i="1"/>
  <c r="AB298" i="1" s="1"/>
  <c r="AG189" i="1"/>
  <c r="AB189" i="1" s="1"/>
  <c r="AG380" i="1"/>
  <c r="AB380" i="1" s="1"/>
  <c r="AG359" i="1"/>
  <c r="AB359" i="1" s="1"/>
  <c r="AG390" i="1"/>
  <c r="AB390" i="1" s="1"/>
  <c r="AG347" i="1"/>
  <c r="AB347" i="1" s="1"/>
  <c r="AG358" i="1"/>
  <c r="AB358" i="1" s="1"/>
  <c r="AG325" i="1"/>
  <c r="AB325" i="1" s="1"/>
  <c r="AG275" i="1"/>
  <c r="AB275" i="1" s="1"/>
  <c r="AG404" i="1"/>
  <c r="AB404" i="1" s="1"/>
  <c r="AG155" i="1"/>
  <c r="AB155" i="1" s="1"/>
  <c r="AG373" i="1"/>
  <c r="AB373" i="1" s="1"/>
  <c r="AG290" i="1"/>
  <c r="AB290" i="1" s="1"/>
  <c r="AG116" i="1"/>
  <c r="AB116" i="1" s="1"/>
  <c r="AG330" i="1"/>
  <c r="AB330" i="1" s="1"/>
  <c r="AG154" i="1"/>
  <c r="AB154" i="1" s="1"/>
  <c r="AG305" i="1"/>
  <c r="AB305" i="1" s="1"/>
  <c r="AG394" i="1"/>
  <c r="AB394" i="1" s="1"/>
  <c r="AG388" i="1"/>
  <c r="AB388" i="1" s="1"/>
  <c r="AG367" i="1"/>
  <c r="AB367" i="1" s="1"/>
  <c r="AG229" i="1"/>
  <c r="AB229" i="1" s="1"/>
  <c r="AG94" i="1"/>
  <c r="AB94" i="1" s="1"/>
  <c r="AG146" i="1"/>
  <c r="AB146" i="1" s="1"/>
  <c r="AG117" i="1"/>
  <c r="AB117" i="1" s="1"/>
  <c r="AG170" i="1"/>
  <c r="AB170" i="1" s="1"/>
  <c r="AG344" i="1"/>
  <c r="AB344" i="1" s="1"/>
  <c r="AG157" i="1"/>
  <c r="AB157" i="1" s="1"/>
  <c r="AG303" i="1"/>
  <c r="AB303" i="1" s="1"/>
  <c r="AG236" i="1"/>
  <c r="AB236" i="1" s="1"/>
  <c r="AG374" i="1"/>
  <c r="AB374" i="1" s="1"/>
  <c r="AG340" i="1"/>
  <c r="AB340" i="1" s="1"/>
  <c r="AG307" i="1"/>
  <c r="AB307" i="1" s="1"/>
  <c r="AG149" i="1"/>
  <c r="AB149" i="1" s="1"/>
  <c r="AG93" i="1"/>
  <c r="AB93" i="1" s="1"/>
  <c r="AG297" i="1"/>
  <c r="AB297" i="1" s="1"/>
  <c r="AG151" i="1"/>
  <c r="AB151" i="1" s="1"/>
  <c r="AG167" i="1"/>
  <c r="AB167" i="1" s="1"/>
  <c r="AG114" i="1"/>
  <c r="AB114" i="1" s="1"/>
  <c r="AG364" i="1"/>
  <c r="AB364" i="1" s="1"/>
  <c r="AG370" i="1"/>
  <c r="AB370" i="1" s="1"/>
  <c r="AG148" i="1"/>
  <c r="AB148" i="1" s="1"/>
  <c r="AG176" i="1"/>
  <c r="AB176" i="1" s="1"/>
  <c r="AG168" i="1"/>
  <c r="AB168" i="1" s="1"/>
  <c r="AG366" i="1"/>
  <c r="AB366" i="1" s="1"/>
  <c r="AG169" i="1"/>
  <c r="AB169" i="1" s="1"/>
  <c r="AG276" i="1"/>
  <c r="AB276" i="1" s="1"/>
  <c r="AG166" i="1"/>
  <c r="AB166" i="1" s="1"/>
  <c r="AG280" i="1"/>
  <c r="AB280" i="1" s="1"/>
  <c r="AG156" i="1"/>
  <c r="AB156" i="1" s="1"/>
  <c r="AG361" i="1"/>
  <c r="AB361" i="1" s="1"/>
  <c r="AG316" i="1"/>
  <c r="AB316" i="1" s="1"/>
  <c r="AG192" i="1"/>
  <c r="AB192" i="1" s="1"/>
  <c r="AG318" i="1"/>
  <c r="AB318" i="1" s="1"/>
  <c r="AG379" i="1"/>
  <c r="AB379" i="1" s="1"/>
  <c r="AG256" i="1"/>
  <c r="AB256" i="1" s="1"/>
  <c r="AG249" i="1"/>
  <c r="AB249" i="1" s="1"/>
  <c r="AG194" i="1"/>
  <c r="AB194" i="1" s="1"/>
  <c r="AG134" i="1"/>
  <c r="AB134" i="1" s="1"/>
  <c r="AG387" i="1"/>
  <c r="AB387" i="1" s="1"/>
  <c r="AG289" i="1"/>
  <c r="AB289" i="1" s="1"/>
  <c r="AG140" i="1"/>
  <c r="AB140" i="1" s="1"/>
  <c r="AG283" i="1"/>
  <c r="AB283" i="1" s="1"/>
  <c r="AG136" i="1"/>
  <c r="AB136" i="1" s="1"/>
  <c r="AG197" i="1"/>
  <c r="AB197" i="1" s="1"/>
  <c r="AG107" i="1"/>
  <c r="AB107" i="1" s="1"/>
  <c r="AG284" i="1"/>
  <c r="AB284" i="1" s="1"/>
  <c r="AG315" i="1"/>
  <c r="AB315" i="1" s="1"/>
  <c r="AG175" i="1"/>
  <c r="AB175" i="1" s="1"/>
  <c r="AG350" i="1"/>
  <c r="AB350" i="1" s="1"/>
  <c r="AG109" i="1"/>
  <c r="AB109" i="1" s="1"/>
  <c r="AG314" i="1"/>
  <c r="AB314" i="1" s="1"/>
  <c r="AG203" i="1"/>
  <c r="AB203" i="1" s="1"/>
  <c r="AG161" i="1"/>
  <c r="AB161" i="1" s="1"/>
  <c r="AG327" i="1"/>
  <c r="AB327" i="1" s="1"/>
  <c r="AG317" i="1"/>
  <c r="AB317" i="1" s="1"/>
  <c r="AG369" i="1"/>
  <c r="AB369" i="1" s="1"/>
  <c r="AG300" i="1"/>
  <c r="AB300" i="1" s="1"/>
  <c r="AG278" i="1"/>
  <c r="AB278" i="1" s="1"/>
  <c r="AG337" i="1"/>
  <c r="AB337" i="1" s="1"/>
  <c r="AG343" i="1"/>
  <c r="AB343" i="1" s="1"/>
  <c r="AG218" i="1"/>
  <c r="AB218" i="1" s="1"/>
  <c r="AG401" i="1"/>
  <c r="AB401" i="1" s="1"/>
  <c r="AG389" i="1"/>
  <c r="AB389" i="1" s="1"/>
  <c r="AG382" i="1"/>
  <c r="AB382" i="1" s="1"/>
  <c r="AG353" i="1"/>
  <c r="AB353" i="1" s="1"/>
  <c r="AG208" i="1"/>
  <c r="AB208" i="1" s="1"/>
  <c r="AG395" i="1"/>
  <c r="AB395" i="1" s="1"/>
  <c r="AG213" i="1"/>
  <c r="AB213" i="1" s="1"/>
  <c r="AG158" i="1"/>
  <c r="AB158" i="1" s="1"/>
  <c r="AG308" i="1"/>
  <c r="AB308" i="1" s="1"/>
  <c r="AG399" i="1"/>
  <c r="AB399" i="1" s="1"/>
  <c r="O9" i="139"/>
  <c r="Q9" i="139" s="1"/>
  <c r="O20" i="139"/>
  <c r="P20" i="139" s="1"/>
  <c r="O17" i="139"/>
  <c r="P17" i="139" s="1"/>
  <c r="O56" i="139"/>
  <c r="Q56" i="139" s="1"/>
  <c r="AE7" i="1"/>
  <c r="AF51" i="1"/>
  <c r="O50" i="139"/>
  <c r="Q50" i="139" s="1"/>
  <c r="O23" i="139"/>
  <c r="Q23" i="139" s="1"/>
  <c r="O51" i="139"/>
  <c r="Q51" i="139" s="1"/>
  <c r="O39" i="139"/>
  <c r="Q39" i="139" s="1"/>
  <c r="O46" i="139"/>
  <c r="Q46" i="139" s="1"/>
  <c r="AG31" i="1"/>
  <c r="AB31" i="1" s="1"/>
  <c r="O21" i="139"/>
  <c r="Q21" i="139" s="1"/>
  <c r="O40" i="139"/>
  <c r="Q40" i="139" s="1"/>
  <c r="AF38" i="1"/>
  <c r="AE16" i="1"/>
  <c r="AG16" i="1" s="1"/>
  <c r="AF28" i="1"/>
  <c r="AE24" i="1"/>
  <c r="H45" i="139" s="1"/>
  <c r="AE42" i="1"/>
  <c r="AF42" i="1"/>
  <c r="AE44" i="1"/>
  <c r="AE35" i="1"/>
  <c r="AF17" i="1"/>
  <c r="O59" i="139" s="1"/>
  <c r="Q59" i="139" s="1"/>
  <c r="AE37" i="1"/>
  <c r="AF26" i="1"/>
  <c r="AE14" i="1"/>
  <c r="AG40" i="1"/>
  <c r="AB40" i="1" s="1"/>
  <c r="AF52" i="1"/>
  <c r="AG52" i="1" s="1"/>
  <c r="AB52" i="1" s="1"/>
  <c r="AF45" i="1"/>
  <c r="AE21" i="1"/>
  <c r="AE33" i="1"/>
  <c r="AE38" i="1"/>
  <c r="H34" i="139" s="1"/>
  <c r="AF8" i="1"/>
  <c r="AF21" i="1"/>
  <c r="AE15" i="1"/>
  <c r="AF35" i="1"/>
  <c r="AE50" i="1"/>
  <c r="AF24" i="1"/>
  <c r="AE39" i="1"/>
  <c r="H54" i="139" s="1"/>
  <c r="J54" i="139" s="1"/>
  <c r="K54" i="139" s="1"/>
  <c r="AF30" i="1"/>
  <c r="AE49" i="1"/>
  <c r="AG49" i="1" s="1"/>
  <c r="AB49" i="1" s="1"/>
  <c r="AF12" i="1"/>
  <c r="O16" i="139" s="1"/>
  <c r="P16" i="139" s="1"/>
  <c r="AF10" i="1"/>
  <c r="O55" i="139" s="1"/>
  <c r="Q55" i="139" s="1"/>
  <c r="AE27" i="1"/>
  <c r="H50" i="139" s="1"/>
  <c r="I50" i="139" s="1"/>
  <c r="AE28" i="1"/>
  <c r="AF14" i="1"/>
  <c r="AF33" i="1"/>
  <c r="O42" i="139" s="1"/>
  <c r="Q42" i="139" s="1"/>
  <c r="AF44" i="1"/>
  <c r="AE51" i="1"/>
  <c r="AE46" i="1"/>
  <c r="H26" i="139" s="1"/>
  <c r="I26" i="139" s="1"/>
  <c r="AF19" i="1"/>
  <c r="O12" i="139" s="1"/>
  <c r="P12" i="139" s="1"/>
  <c r="AF46" i="1"/>
  <c r="AF20" i="1"/>
  <c r="O57" i="139" s="1"/>
  <c r="Q57" i="139" s="1"/>
  <c r="AE19" i="1"/>
  <c r="H12" i="139" s="1"/>
  <c r="AE13" i="1"/>
  <c r="AE48" i="1"/>
  <c r="AE20" i="1"/>
  <c r="H36" i="139" s="1"/>
  <c r="AF47" i="1"/>
  <c r="O35" i="139" s="1"/>
  <c r="Q35" i="139" s="1"/>
  <c r="AG43" i="1"/>
  <c r="AB43" i="1" s="1"/>
  <c r="AG22" i="1"/>
  <c r="AG11" i="1"/>
  <c r="AG9" i="1"/>
  <c r="AG32" i="1"/>
  <c r="AG6" i="1"/>
  <c r="AB29" i="1"/>
  <c r="AH130" i="1" l="1"/>
  <c r="N390" i="166"/>
  <c r="AH377" i="1"/>
  <c r="AH9" i="1"/>
  <c r="AH65" i="1"/>
  <c r="AH403" i="1"/>
  <c r="AH397" i="1"/>
  <c r="AH194" i="1"/>
  <c r="AH72" i="1"/>
  <c r="AH243" i="1"/>
  <c r="AH395" i="1"/>
  <c r="AI130" i="1"/>
  <c r="AI23" i="1"/>
  <c r="AI85" i="1"/>
  <c r="AK85" i="1" s="1"/>
  <c r="AA85" i="1" s="1"/>
  <c r="AI294" i="1"/>
  <c r="AK294" i="1" s="1"/>
  <c r="AA294" i="1" s="1"/>
  <c r="AI122" i="1"/>
  <c r="AM122" i="1" s="1"/>
  <c r="AI118" i="1"/>
  <c r="AK118" i="1" s="1"/>
  <c r="AA118" i="1" s="1"/>
  <c r="AH89" i="1"/>
  <c r="AH369" i="1"/>
  <c r="AH337" i="1"/>
  <c r="AH232" i="1"/>
  <c r="AH364" i="1"/>
  <c r="AH162" i="1"/>
  <c r="AH90" i="1"/>
  <c r="AH93" i="1"/>
  <c r="AH384" i="1"/>
  <c r="AH192" i="1"/>
  <c r="AH128" i="1"/>
  <c r="AH356" i="1"/>
  <c r="AH344" i="1"/>
  <c r="AH214" i="1"/>
  <c r="AH182" i="1"/>
  <c r="AH373" i="1"/>
  <c r="AH341" i="1"/>
  <c r="AH371" i="1"/>
  <c r="AH339" i="1"/>
  <c r="AH368" i="1"/>
  <c r="AH199" i="1"/>
  <c r="AH366" i="1"/>
  <c r="AH110" i="1"/>
  <c r="AH109" i="1"/>
  <c r="AH148" i="1"/>
  <c r="AH106" i="1"/>
  <c r="AH367" i="1"/>
  <c r="AH103" i="1"/>
  <c r="AH365" i="1"/>
  <c r="AH92" i="1"/>
  <c r="AH277" i="1"/>
  <c r="AH39" i="1"/>
  <c r="AH249" i="1"/>
  <c r="AH87" i="1"/>
  <c r="AH280" i="1"/>
  <c r="AH74" i="1"/>
  <c r="AH236" i="1"/>
  <c r="AH260" i="1"/>
  <c r="AH75" i="1"/>
  <c r="AH43" i="1"/>
  <c r="AH41" i="1"/>
  <c r="AI266" i="1"/>
  <c r="AM266" i="1" s="1"/>
  <c r="AI265" i="1"/>
  <c r="AK265" i="1" s="1"/>
  <c r="AA265" i="1" s="1"/>
  <c r="AI261" i="1"/>
  <c r="AM261" i="1" s="1"/>
  <c r="AI264" i="1"/>
  <c r="AK264" i="1" s="1"/>
  <c r="AA264" i="1" s="1"/>
  <c r="AH255" i="1"/>
  <c r="AH31" i="1"/>
  <c r="AH265" i="1"/>
  <c r="AH264" i="1"/>
  <c r="AH261" i="1"/>
  <c r="AH266" i="1"/>
  <c r="AH329" i="1"/>
  <c r="AH181" i="1"/>
  <c r="AH400" i="1"/>
  <c r="AH283" i="1"/>
  <c r="AH338" i="1"/>
  <c r="AH58" i="1"/>
  <c r="AH59" i="1"/>
  <c r="AH318" i="1"/>
  <c r="AH380" i="1"/>
  <c r="AH172" i="1"/>
  <c r="AH45" i="1"/>
  <c r="AH63" i="1"/>
  <c r="AH290" i="1"/>
  <c r="AH230" i="1"/>
  <c r="AH343" i="1"/>
  <c r="AH116" i="1"/>
  <c r="AK257" i="1"/>
  <c r="AA257" i="1" s="1"/>
  <c r="AK262" i="1"/>
  <c r="AA262" i="1" s="1"/>
  <c r="AK267" i="1"/>
  <c r="AA267" i="1" s="1"/>
  <c r="AM130" i="1"/>
  <c r="AM272" i="1"/>
  <c r="N205" i="166" s="1"/>
  <c r="AK271" i="1"/>
  <c r="AA271" i="1" s="1"/>
  <c r="J14" i="139"/>
  <c r="K14" i="139" s="1"/>
  <c r="Q17" i="139"/>
  <c r="R17" i="139" s="1"/>
  <c r="AI119" i="1" s="1"/>
  <c r="Q20" i="139"/>
  <c r="R20" i="139" s="1"/>
  <c r="Q16" i="139"/>
  <c r="R16" i="139" s="1"/>
  <c r="Q12" i="139"/>
  <c r="R12" i="139" s="1"/>
  <c r="AK272" i="1"/>
  <c r="R5" i="139"/>
  <c r="AI270" i="1" s="1"/>
  <c r="I47" i="139"/>
  <c r="J39" i="139"/>
  <c r="K39" i="139" s="1"/>
  <c r="I21" i="139"/>
  <c r="J60" i="139"/>
  <c r="K60" i="139" s="1"/>
  <c r="AH206" i="1" s="1"/>
  <c r="I35" i="139"/>
  <c r="H43" i="139"/>
  <c r="I43" i="139" s="1"/>
  <c r="I37" i="139"/>
  <c r="H38" i="139"/>
  <c r="I38" i="139" s="1"/>
  <c r="J17" i="139"/>
  <c r="K17" i="139" s="1"/>
  <c r="AH119" i="1" s="1"/>
  <c r="I59" i="139"/>
  <c r="J46" i="139"/>
  <c r="K46" i="139" s="1"/>
  <c r="I25" i="139"/>
  <c r="J52" i="139"/>
  <c r="K52" i="139" s="1"/>
  <c r="H19" i="139"/>
  <c r="I19" i="139" s="1"/>
  <c r="J45" i="139"/>
  <c r="K45" i="139" s="1"/>
  <c r="I45" i="139"/>
  <c r="J36" i="139"/>
  <c r="K36" i="139" s="1"/>
  <c r="I36" i="139"/>
  <c r="J27" i="139"/>
  <c r="K27" i="139" s="1"/>
  <c r="I27" i="139"/>
  <c r="I54" i="139"/>
  <c r="H24" i="139"/>
  <c r="J34" i="139"/>
  <c r="K34" i="139" s="1"/>
  <c r="I34" i="139"/>
  <c r="J50" i="139"/>
  <c r="K50" i="139" s="1"/>
  <c r="AG37" i="1"/>
  <c r="AB37" i="1" s="1"/>
  <c r="H30" i="139"/>
  <c r="J26" i="139"/>
  <c r="K26" i="139" s="1"/>
  <c r="I23" i="139"/>
  <c r="J23" i="139"/>
  <c r="K23" i="139" s="1"/>
  <c r="J28" i="139"/>
  <c r="K28" i="139" s="1"/>
  <c r="I16" i="139"/>
  <c r="J16" i="139"/>
  <c r="K16" i="139" s="1"/>
  <c r="J56" i="139"/>
  <c r="K56" i="139" s="1"/>
  <c r="J12" i="139"/>
  <c r="K12" i="139" s="1"/>
  <c r="I12" i="139"/>
  <c r="J18" i="139"/>
  <c r="K18" i="139" s="1"/>
  <c r="I18" i="139"/>
  <c r="J58" i="139"/>
  <c r="K58" i="139" s="1"/>
  <c r="AH34" i="1" s="1"/>
  <c r="I58" i="139"/>
  <c r="I51" i="139"/>
  <c r="P9" i="139"/>
  <c r="AF4" i="1"/>
  <c r="AE4" i="1"/>
  <c r="AB6" i="1"/>
  <c r="AM269" i="1"/>
  <c r="AK269" i="1"/>
  <c r="AA269" i="1" s="1"/>
  <c r="AM262" i="1"/>
  <c r="AM254" i="1"/>
  <c r="AK254" i="1"/>
  <c r="AA254" i="1" s="1"/>
  <c r="AM265" i="1"/>
  <c r="AM271" i="1"/>
  <c r="AM268" i="1"/>
  <c r="AK268" i="1"/>
  <c r="AA268" i="1" s="1"/>
  <c r="O47" i="139"/>
  <c r="Q47" i="139" s="1"/>
  <c r="O18" i="139"/>
  <c r="O29" i="139"/>
  <c r="Q29" i="139" s="1"/>
  <c r="O14" i="139"/>
  <c r="Q14" i="139" s="1"/>
  <c r="O26" i="139"/>
  <c r="AG47" i="1"/>
  <c r="AB47" i="1" s="1"/>
  <c r="O19" i="139"/>
  <c r="Q19" i="139" s="1"/>
  <c r="O24" i="139"/>
  <c r="Q24" i="139" s="1"/>
  <c r="O30" i="139"/>
  <c r="Q30" i="139" s="1"/>
  <c r="O52" i="139"/>
  <c r="Q52" i="139" s="1"/>
  <c r="O25" i="139"/>
  <c r="Q25" i="139" s="1"/>
  <c r="O43" i="139"/>
  <c r="Q43" i="139" s="1"/>
  <c r="O36" i="139"/>
  <c r="Q36" i="139" s="1"/>
  <c r="O28" i="139"/>
  <c r="Q28" i="139" s="1"/>
  <c r="O37" i="139"/>
  <c r="Q37" i="139" s="1"/>
  <c r="AG7" i="1"/>
  <c r="AB7" i="1" s="1"/>
  <c r="O38" i="139"/>
  <c r="Q38" i="139" s="1"/>
  <c r="O45" i="139"/>
  <c r="Q45" i="139" s="1"/>
  <c r="O34" i="139"/>
  <c r="Q34" i="139" s="1"/>
  <c r="O54" i="139"/>
  <c r="Q54" i="139" s="1"/>
  <c r="AG17" i="1"/>
  <c r="AB17" i="1" s="1"/>
  <c r="P57" i="139"/>
  <c r="AG42" i="1"/>
  <c r="AB42" i="1" s="1"/>
  <c r="AG26" i="1"/>
  <c r="AB26" i="1" s="1"/>
  <c r="AG45" i="1"/>
  <c r="AB45" i="1" s="1"/>
  <c r="AG38" i="1"/>
  <c r="AB38" i="1" s="1"/>
  <c r="AG8" i="1"/>
  <c r="AB8" i="1" s="1"/>
  <c r="AG21" i="1"/>
  <c r="AB21" i="1" s="1"/>
  <c r="AG15" i="1"/>
  <c r="AB15" i="1" s="1"/>
  <c r="AG35" i="1"/>
  <c r="AB35" i="1" s="1"/>
  <c r="AG24" i="1"/>
  <c r="AB24" i="1" s="1"/>
  <c r="AG30" i="1"/>
  <c r="AB30" i="1" s="1"/>
  <c r="AG50" i="1"/>
  <c r="AB50" i="1" s="1"/>
  <c r="AG12" i="1"/>
  <c r="AB12" i="1" s="1"/>
  <c r="AG39" i="1"/>
  <c r="AB39" i="1" s="1"/>
  <c r="AG10" i="1"/>
  <c r="AG28" i="1"/>
  <c r="AB28" i="1" s="1"/>
  <c r="AG27" i="1"/>
  <c r="AB27" i="1" s="1"/>
  <c r="AG33" i="1"/>
  <c r="AB33" i="1" s="1"/>
  <c r="AG14" i="1"/>
  <c r="AB14" i="1" s="1"/>
  <c r="AG44" i="1"/>
  <c r="AB44" i="1" s="1"/>
  <c r="AG51" i="1"/>
  <c r="AB51" i="1" s="1"/>
  <c r="AG46" i="1"/>
  <c r="AB46" i="1" s="1"/>
  <c r="AG48" i="1"/>
  <c r="AB48" i="1" s="1"/>
  <c r="AG19" i="1"/>
  <c r="AB19" i="1" s="1"/>
  <c r="AG13" i="1"/>
  <c r="AB13" i="1" s="1"/>
  <c r="AG20" i="1"/>
  <c r="AB22" i="1"/>
  <c r="AB11" i="1"/>
  <c r="AB32" i="1"/>
  <c r="AB9" i="1"/>
  <c r="AB16" i="1"/>
  <c r="N68" i="166" l="1"/>
  <c r="N238" i="166"/>
  <c r="N12" i="166"/>
  <c r="N27" i="166"/>
  <c r="N32" i="166"/>
  <c r="N316" i="166"/>
  <c r="N317" i="166"/>
  <c r="N314" i="166"/>
  <c r="AM264" i="1"/>
  <c r="N137" i="166"/>
  <c r="U390" i="166"/>
  <c r="T390" i="166"/>
  <c r="N69" i="166"/>
  <c r="U205" i="166"/>
  <c r="T205" i="166"/>
  <c r="AH124" i="1"/>
  <c r="AH301" i="1"/>
  <c r="AH19" i="1"/>
  <c r="AH294" i="1"/>
  <c r="AH122" i="1"/>
  <c r="AH118" i="1"/>
  <c r="AH85" i="1"/>
  <c r="AH362" i="1"/>
  <c r="AH354" i="1"/>
  <c r="AH170" i="1"/>
  <c r="AH200" i="1"/>
  <c r="AH396" i="1"/>
  <c r="AH212" i="1"/>
  <c r="AH163" i="1"/>
  <c r="AH251" i="1"/>
  <c r="AH167" i="1"/>
  <c r="AH179" i="1"/>
  <c r="AI255" i="1"/>
  <c r="AM255" i="1" s="1"/>
  <c r="AI31" i="1"/>
  <c r="AH185" i="1"/>
  <c r="AH209" i="1"/>
  <c r="AH177" i="1"/>
  <c r="AH201" i="1"/>
  <c r="AH210" i="1"/>
  <c r="AH202" i="1"/>
  <c r="AH379" i="1"/>
  <c r="AH216" i="1"/>
  <c r="AH184" i="1"/>
  <c r="AH239" i="1"/>
  <c r="AH207" i="1"/>
  <c r="AH175" i="1"/>
  <c r="AH213" i="1"/>
  <c r="AH205" i="1"/>
  <c r="AH331" i="1"/>
  <c r="AH218" i="1"/>
  <c r="AH219" i="1"/>
  <c r="AH211" i="1"/>
  <c r="AH203" i="1"/>
  <c r="AH208" i="1"/>
  <c r="AH159" i="1"/>
  <c r="AH197" i="1"/>
  <c r="AH173" i="1"/>
  <c r="AH196" i="1"/>
  <c r="AH180" i="1"/>
  <c r="AH198" i="1"/>
  <c r="AH126" i="1"/>
  <c r="AH120" i="1"/>
  <c r="AH302" i="1"/>
  <c r="AH12" i="1"/>
  <c r="AH394" i="1"/>
  <c r="AH393" i="1"/>
  <c r="AH327" i="1"/>
  <c r="AH326" i="1"/>
  <c r="AH325" i="1"/>
  <c r="AH387" i="1"/>
  <c r="AH381" i="1"/>
  <c r="AH284" i="1"/>
  <c r="AH324" i="1"/>
  <c r="AH248" i="1"/>
  <c r="AH245" i="1"/>
  <c r="AH67" i="1"/>
  <c r="AH27" i="1"/>
  <c r="AH401" i="1"/>
  <c r="AH322" i="1"/>
  <c r="AH321" i="1"/>
  <c r="AH392" i="1"/>
  <c r="AH391" i="1"/>
  <c r="AH390" i="1"/>
  <c r="AH389" i="1"/>
  <c r="AH323" i="1"/>
  <c r="AH382" i="1"/>
  <c r="AH349" i="1"/>
  <c r="AH151" i="1"/>
  <c r="AH388" i="1"/>
  <c r="AH274" i="1"/>
  <c r="AH143" i="1"/>
  <c r="AH111" i="1"/>
  <c r="AH405" i="1"/>
  <c r="AH307" i="1"/>
  <c r="AH141" i="1"/>
  <c r="AH77" i="1"/>
  <c r="AH69" i="1"/>
  <c r="AH20" i="1"/>
  <c r="AH17" i="1"/>
  <c r="AH296" i="1"/>
  <c r="AH295" i="1"/>
  <c r="AH300" i="1"/>
  <c r="AH317" i="1"/>
  <c r="AH315" i="1"/>
  <c r="AH316" i="1"/>
  <c r="AH305" i="1"/>
  <c r="AH351" i="1"/>
  <c r="AH221" i="1"/>
  <c r="AH304" i="1"/>
  <c r="AH306" i="1"/>
  <c r="AH303" i="1"/>
  <c r="AH38" i="1"/>
  <c r="AH313" i="1"/>
  <c r="AH169" i="1"/>
  <c r="AH168" i="1"/>
  <c r="AH64" i="1"/>
  <c r="AH378" i="1"/>
  <c r="AH86" i="1"/>
  <c r="AH311" i="1"/>
  <c r="AH310" i="1"/>
  <c r="AH68" i="1"/>
  <c r="AH66" i="1"/>
  <c r="AH24" i="1"/>
  <c r="AH22" i="1"/>
  <c r="AH328" i="1"/>
  <c r="AH398" i="1"/>
  <c r="AH142" i="1"/>
  <c r="AH40" i="1"/>
  <c r="AH129" i="1"/>
  <c r="AH125" i="1"/>
  <c r="AH227" i="1"/>
  <c r="AH153" i="1"/>
  <c r="AH298" i="1"/>
  <c r="AH361" i="1"/>
  <c r="AH297" i="1"/>
  <c r="AH193" i="1"/>
  <c r="AH360" i="1"/>
  <c r="AH104" i="1"/>
  <c r="AH359" i="1"/>
  <c r="AH191" i="1"/>
  <c r="AH61" i="1"/>
  <c r="AH383" i="1"/>
  <c r="AH183" i="1"/>
  <c r="AH190" i="1"/>
  <c r="AH157" i="1"/>
  <c r="AH312" i="1"/>
  <c r="AH375" i="1"/>
  <c r="AH79" i="1"/>
  <c r="AH149" i="1"/>
  <c r="AH171" i="1"/>
  <c r="AH372" i="1"/>
  <c r="AH220" i="1"/>
  <c r="AH107" i="1"/>
  <c r="AH363" i="1"/>
  <c r="AH155" i="1"/>
  <c r="AH370" i="1"/>
  <c r="AH237" i="1"/>
  <c r="AH147" i="1"/>
  <c r="AH165" i="1"/>
  <c r="AH84" i="1"/>
  <c r="AH235" i="1"/>
  <c r="AH83" i="1"/>
  <c r="AH154" i="1"/>
  <c r="AI124" i="1"/>
  <c r="AM124" i="1" s="1"/>
  <c r="AI301" i="1"/>
  <c r="AK301" i="1" s="1"/>
  <c r="AA301" i="1" s="1"/>
  <c r="AI19" i="1"/>
  <c r="AH121" i="1"/>
  <c r="AH127" i="1"/>
  <c r="AH288" i="1"/>
  <c r="AH123" i="1"/>
  <c r="AH336" i="1"/>
  <c r="AH131" i="1"/>
  <c r="AI126" i="1"/>
  <c r="AK126" i="1" s="1"/>
  <c r="AA126" i="1" s="1"/>
  <c r="AI302" i="1"/>
  <c r="AK302" i="1" s="1"/>
  <c r="AA302" i="1" s="1"/>
  <c r="AI198" i="1"/>
  <c r="AM198" i="1" s="1"/>
  <c r="AI120" i="1"/>
  <c r="AM120" i="1" s="1"/>
  <c r="AI12" i="1"/>
  <c r="AH223" i="1"/>
  <c r="AH407" i="1"/>
  <c r="AH314" i="1"/>
  <c r="AH229" i="1"/>
  <c r="AH132" i="1"/>
  <c r="AK122" i="1"/>
  <c r="AA122" i="1" s="1"/>
  <c r="AK130" i="1"/>
  <c r="AA130" i="1" s="1"/>
  <c r="AM267" i="1"/>
  <c r="AM85" i="1"/>
  <c r="AM294" i="1"/>
  <c r="AK261" i="1"/>
  <c r="AA261" i="1" s="1"/>
  <c r="AK266" i="1"/>
  <c r="AA266" i="1" s="1"/>
  <c r="AM118" i="1"/>
  <c r="N59" i="71"/>
  <c r="AA272" i="1"/>
  <c r="AM80" i="1"/>
  <c r="AK81" i="1"/>
  <c r="AA81" i="1" s="1"/>
  <c r="AM119" i="1"/>
  <c r="P26" i="139"/>
  <c r="Q26" i="139"/>
  <c r="R26" i="139" s="1"/>
  <c r="P18" i="139"/>
  <c r="Q18" i="139"/>
  <c r="R18" i="139" s="1"/>
  <c r="R57" i="139"/>
  <c r="J43" i="139"/>
  <c r="K43" i="139" s="1"/>
  <c r="J38" i="139"/>
  <c r="K38" i="139" s="1"/>
  <c r="J19" i="139"/>
  <c r="K19" i="139" s="1"/>
  <c r="J30" i="139"/>
  <c r="K30" i="139" s="1"/>
  <c r="I30" i="139"/>
  <c r="J24" i="139"/>
  <c r="K24" i="139" s="1"/>
  <c r="I24" i="139"/>
  <c r="O2" i="139"/>
  <c r="R9" i="139"/>
  <c r="AI273" i="1" s="1"/>
  <c r="H2" i="139"/>
  <c r="AG4" i="1"/>
  <c r="P56" i="139"/>
  <c r="P46" i="139"/>
  <c r="P23" i="139"/>
  <c r="P52" i="139"/>
  <c r="P40" i="139"/>
  <c r="P14" i="139"/>
  <c r="P55" i="139"/>
  <c r="P53" i="139"/>
  <c r="P51" i="139"/>
  <c r="P60" i="139"/>
  <c r="P42" i="139"/>
  <c r="P48" i="139"/>
  <c r="P50" i="139"/>
  <c r="P29" i="139"/>
  <c r="P21" i="139"/>
  <c r="P22" i="139"/>
  <c r="P44" i="139"/>
  <c r="P58" i="139"/>
  <c r="P49" i="139"/>
  <c r="P59" i="139"/>
  <c r="P39" i="139"/>
  <c r="AB10" i="1"/>
  <c r="AB20" i="1"/>
  <c r="N6" i="166" l="1"/>
  <c r="N384" i="166"/>
  <c r="N255" i="166"/>
  <c r="T69" i="166"/>
  <c r="U69" i="166"/>
  <c r="U27" i="166"/>
  <c r="T27" i="166"/>
  <c r="U317" i="166"/>
  <c r="T317" i="166"/>
  <c r="U12" i="166"/>
  <c r="T12" i="166"/>
  <c r="N28" i="166"/>
  <c r="N256" i="166"/>
  <c r="N29" i="166"/>
  <c r="N179" i="166"/>
  <c r="N140" i="166"/>
  <c r="U137" i="166"/>
  <c r="T137" i="166"/>
  <c r="U316" i="166"/>
  <c r="T316" i="166"/>
  <c r="T238" i="166"/>
  <c r="U238" i="166"/>
  <c r="N30" i="166"/>
  <c r="N382" i="166"/>
  <c r="N315" i="166"/>
  <c r="U32" i="166"/>
  <c r="T32" i="166"/>
  <c r="U68" i="166"/>
  <c r="T68" i="166"/>
  <c r="U314" i="166"/>
  <c r="T314" i="166"/>
  <c r="AH137" i="1"/>
  <c r="AH225" i="1"/>
  <c r="AH161" i="1"/>
  <c r="AH97" i="1"/>
  <c r="AH250" i="1"/>
  <c r="AH136" i="1"/>
  <c r="AH95" i="1"/>
  <c r="AH166" i="1"/>
  <c r="AH134" i="1"/>
  <c r="AH94" i="1"/>
  <c r="AH332" i="1"/>
  <c r="AH224" i="1"/>
  <c r="AH96" i="1"/>
  <c r="AH247" i="1"/>
  <c r="AH215" i="1"/>
  <c r="AH55" i="1"/>
  <c r="AH158" i="1"/>
  <c r="AH54" i="1"/>
  <c r="AH189" i="1"/>
  <c r="AH234" i="1"/>
  <c r="AH186" i="1"/>
  <c r="AH406" i="1"/>
  <c r="AH246" i="1"/>
  <c r="AH176" i="1"/>
  <c r="AH135" i="1"/>
  <c r="AH174" i="1"/>
  <c r="AH138" i="1"/>
  <c r="AH53" i="1"/>
  <c r="AH156" i="1"/>
  <c r="AH100" i="1"/>
  <c r="AH99" i="1"/>
  <c r="AH178" i="1"/>
  <c r="AH140" i="1"/>
  <c r="AH139" i="1"/>
  <c r="AH98" i="1"/>
  <c r="AH188" i="1"/>
  <c r="AH187" i="1"/>
  <c r="AH244" i="1"/>
  <c r="AH52" i="1"/>
  <c r="AH50" i="1"/>
  <c r="AH51" i="1"/>
  <c r="AH49" i="1"/>
  <c r="AH48" i="1"/>
  <c r="AI121" i="1"/>
  <c r="AM121" i="1" s="1"/>
  <c r="AI131" i="1"/>
  <c r="AK131" i="1" s="1"/>
  <c r="AA131" i="1" s="1"/>
  <c r="AI288" i="1"/>
  <c r="AM288" i="1" s="1"/>
  <c r="AI123" i="1"/>
  <c r="AK123" i="1" s="1"/>
  <c r="AA123" i="1" s="1"/>
  <c r="AI127" i="1"/>
  <c r="AK127" i="1" s="1"/>
  <c r="AA127" i="1" s="1"/>
  <c r="AI336" i="1"/>
  <c r="AK336" i="1" s="1"/>
  <c r="AA336" i="1" s="1"/>
  <c r="AH241" i="1"/>
  <c r="AH330" i="1"/>
  <c r="AH319" i="1"/>
  <c r="AH114" i="1"/>
  <c r="AH78" i="1"/>
  <c r="AH309" i="1"/>
  <c r="AH308" i="1"/>
  <c r="AH115" i="1"/>
  <c r="AH117" i="1"/>
  <c r="AH37" i="1"/>
  <c r="AH281" i="1"/>
  <c r="AH217" i="1"/>
  <c r="AH409" i="1"/>
  <c r="AH113" i="1"/>
  <c r="AH57" i="1"/>
  <c r="AH385" i="1"/>
  <c r="AH353" i="1"/>
  <c r="AH62" i="1"/>
  <c r="AH357" i="1"/>
  <c r="AH293" i="1"/>
  <c r="AH291" i="1"/>
  <c r="AH350" i="1"/>
  <c r="AH352" i="1"/>
  <c r="AH56" i="1"/>
  <c r="AH287" i="1"/>
  <c r="AH286" i="1"/>
  <c r="AH222" i="1"/>
  <c r="AH285" i="1"/>
  <c r="AH253" i="1"/>
  <c r="AH411" i="1"/>
  <c r="AH347" i="1"/>
  <c r="AH152" i="1"/>
  <c r="AH88" i="1"/>
  <c r="AH279" i="1"/>
  <c r="AH342" i="1"/>
  <c r="AH226" i="1"/>
  <c r="AH275" i="1"/>
  <c r="AH410" i="1"/>
  <c r="AH112" i="1"/>
  <c r="AH335" i="1"/>
  <c r="AH71" i="1"/>
  <c r="AH238" i="1"/>
  <c r="AH333" i="1"/>
  <c r="AH108" i="1"/>
  <c r="AH60" i="1"/>
  <c r="AH259" i="1"/>
  <c r="AH334" i="1"/>
  <c r="AH70" i="1"/>
  <c r="AH404" i="1"/>
  <c r="AH340" i="1"/>
  <c r="AH299" i="1"/>
  <c r="AH195" i="1"/>
  <c r="AH258" i="1"/>
  <c r="AH101" i="1"/>
  <c r="AH76" i="1"/>
  <c r="AH28" i="1"/>
  <c r="AH7" i="1"/>
  <c r="AH44" i="1"/>
  <c r="AH15" i="1"/>
  <c r="AH36" i="1"/>
  <c r="AH16" i="1"/>
  <c r="AH21" i="1"/>
  <c r="AH233" i="1"/>
  <c r="AH252" i="1"/>
  <c r="AH282" i="1"/>
  <c r="AH256" i="1"/>
  <c r="AH376" i="1"/>
  <c r="AH240" i="1"/>
  <c r="AH164" i="1"/>
  <c r="AH33" i="1"/>
  <c r="AH35" i="1"/>
  <c r="AH6" i="1"/>
  <c r="AI129" i="1"/>
  <c r="AM129" i="1" s="1"/>
  <c r="AI227" i="1"/>
  <c r="AK227" i="1" s="1"/>
  <c r="AA227" i="1" s="1"/>
  <c r="AI125" i="1"/>
  <c r="AK125" i="1" s="1"/>
  <c r="AA125" i="1" s="1"/>
  <c r="AH345" i="1"/>
  <c r="AH145" i="1"/>
  <c r="AH105" i="1"/>
  <c r="AH358" i="1"/>
  <c r="AH133" i="1"/>
  <c r="AH355" i="1"/>
  <c r="AH242" i="1"/>
  <c r="AH160" i="1"/>
  <c r="AH374" i="1"/>
  <c r="AH278" i="1"/>
  <c r="AH150" i="1"/>
  <c r="AH348" i="1"/>
  <c r="AH402" i="1"/>
  <c r="AH146" i="1"/>
  <c r="AH399" i="1"/>
  <c r="AH276" i="1"/>
  <c r="AH204" i="1"/>
  <c r="AH144" i="1"/>
  <c r="AH231" i="1"/>
  <c r="AH91" i="1"/>
  <c r="AH8" i="1"/>
  <c r="AH42" i="1"/>
  <c r="AH18" i="1"/>
  <c r="AH14" i="1"/>
  <c r="AI377" i="1"/>
  <c r="AM377" i="1" s="1"/>
  <c r="AI9" i="1"/>
  <c r="AK255" i="1"/>
  <c r="AA255" i="1" s="1"/>
  <c r="AM273" i="1"/>
  <c r="AK80" i="1"/>
  <c r="AA80" i="1" s="1"/>
  <c r="AK124" i="1"/>
  <c r="AA124" i="1" s="1"/>
  <c r="AK119" i="1"/>
  <c r="AA119" i="1" s="1"/>
  <c r="AK120" i="1"/>
  <c r="AA120" i="1" s="1"/>
  <c r="AM81" i="1"/>
  <c r="AM301" i="1"/>
  <c r="AM126" i="1"/>
  <c r="AK198" i="1"/>
  <c r="AA198" i="1" s="1"/>
  <c r="AM302" i="1"/>
  <c r="AK292" i="1"/>
  <c r="AA292" i="1" s="1"/>
  <c r="AK263" i="1"/>
  <c r="AA263" i="1" s="1"/>
  <c r="R53" i="139"/>
  <c r="AI73" i="1" s="1"/>
  <c r="R58" i="139"/>
  <c r="AI34" i="1" s="1"/>
  <c r="R29" i="139"/>
  <c r="AI26" i="1" s="1"/>
  <c r="R14" i="139"/>
  <c r="R39" i="139"/>
  <c r="R50" i="139"/>
  <c r="R40" i="139"/>
  <c r="R60" i="139"/>
  <c r="AI206" i="1" s="1"/>
  <c r="R51" i="139"/>
  <c r="R56" i="139"/>
  <c r="R21" i="139"/>
  <c r="R59" i="139"/>
  <c r="AI386" i="1" s="1"/>
  <c r="R52" i="139"/>
  <c r="R22" i="139"/>
  <c r="AI408" i="1" s="1"/>
  <c r="R55" i="139"/>
  <c r="AI10" i="1" s="1"/>
  <c r="R48" i="139"/>
  <c r="AI82" i="1" s="1"/>
  <c r="R49" i="139"/>
  <c r="AI289" i="1" s="1"/>
  <c r="R42" i="139"/>
  <c r="R23" i="139"/>
  <c r="R46" i="139"/>
  <c r="R44" i="139"/>
  <c r="AI346" i="1" s="1"/>
  <c r="AK273" i="1"/>
  <c r="AA273" i="1" s="1"/>
  <c r="P34" i="139"/>
  <c r="P47" i="139"/>
  <c r="P35" i="139"/>
  <c r="P54" i="139"/>
  <c r="P36" i="139"/>
  <c r="P45" i="139"/>
  <c r="P37" i="139"/>
  <c r="P24" i="139"/>
  <c r="P25" i="139"/>
  <c r="P30" i="139"/>
  <c r="P38" i="139"/>
  <c r="P28" i="139"/>
  <c r="P19" i="139"/>
  <c r="P43" i="139"/>
  <c r="AK377" i="1" l="1"/>
  <c r="AA377" i="1" s="1"/>
  <c r="N84" i="166"/>
  <c r="N343" i="166"/>
  <c r="N383" i="166"/>
  <c r="N162" i="166"/>
  <c r="U179" i="166"/>
  <c r="T179" i="166"/>
  <c r="U28" i="166"/>
  <c r="T28" i="166"/>
  <c r="U140" i="166"/>
  <c r="T140" i="166"/>
  <c r="N8" i="166"/>
  <c r="U315" i="166"/>
  <c r="T315" i="166"/>
  <c r="U255" i="166"/>
  <c r="T255" i="166"/>
  <c r="N79" i="166"/>
  <c r="N253" i="166"/>
  <c r="U382" i="166"/>
  <c r="T382" i="166"/>
  <c r="N344" i="166"/>
  <c r="T29" i="166"/>
  <c r="U29" i="166"/>
  <c r="U384" i="166"/>
  <c r="T384" i="166"/>
  <c r="U30" i="166"/>
  <c r="T30" i="166"/>
  <c r="U256" i="166"/>
  <c r="T256" i="166"/>
  <c r="U6" i="166"/>
  <c r="T6" i="166"/>
  <c r="N381" i="166"/>
  <c r="AI170" i="1"/>
  <c r="AK170" i="1" s="1"/>
  <c r="AA170" i="1" s="1"/>
  <c r="AI163" i="1"/>
  <c r="AI212" i="1"/>
  <c r="AM212" i="1" s="1"/>
  <c r="AI251" i="1"/>
  <c r="AI362" i="1"/>
  <c r="AM362" i="1" s="1"/>
  <c r="AI179" i="1"/>
  <c r="AI354" i="1"/>
  <c r="AK354" i="1" s="1"/>
  <c r="AA354" i="1" s="1"/>
  <c r="AI167" i="1"/>
  <c r="AI200" i="1"/>
  <c r="AI396" i="1"/>
  <c r="AM396" i="1" s="1"/>
  <c r="AI229" i="1"/>
  <c r="AI314" i="1"/>
  <c r="AI223" i="1"/>
  <c r="AK223" i="1" s="1"/>
  <c r="AA223" i="1" s="1"/>
  <c r="AI407" i="1"/>
  <c r="AI132" i="1"/>
  <c r="AM132" i="1" s="1"/>
  <c r="AI398" i="1"/>
  <c r="AM398" i="1" s="1"/>
  <c r="AI142" i="1"/>
  <c r="AK142" i="1" s="1"/>
  <c r="AA142" i="1" s="1"/>
  <c r="AI328" i="1"/>
  <c r="AM328" i="1" s="1"/>
  <c r="AI40" i="1"/>
  <c r="AI249" i="1"/>
  <c r="AI260" i="1"/>
  <c r="AM260" i="1" s="1"/>
  <c r="AI87" i="1"/>
  <c r="AM87" i="1" s="1"/>
  <c r="AI75" i="1"/>
  <c r="AI74" i="1"/>
  <c r="AI236" i="1"/>
  <c r="AK236" i="1" s="1"/>
  <c r="AA236" i="1" s="1"/>
  <c r="AI280" i="1"/>
  <c r="AM280" i="1" s="1"/>
  <c r="AI43" i="1"/>
  <c r="AI41" i="1"/>
  <c r="AI290" i="1"/>
  <c r="AK290" i="1" s="1"/>
  <c r="AA290" i="1" s="1"/>
  <c r="AI63" i="1"/>
  <c r="AI185" i="1"/>
  <c r="AM185" i="1" s="1"/>
  <c r="AI209" i="1"/>
  <c r="AI177" i="1"/>
  <c r="AI202" i="1"/>
  <c r="AK202" i="1" s="1"/>
  <c r="AA202" i="1" s="1"/>
  <c r="AI201" i="1"/>
  <c r="AM201" i="1" s="1"/>
  <c r="AI210" i="1"/>
  <c r="AK210" i="1" s="1"/>
  <c r="AA210" i="1" s="1"/>
  <c r="AI219" i="1"/>
  <c r="AK219" i="1" s="1"/>
  <c r="AA219" i="1" s="1"/>
  <c r="AI211" i="1"/>
  <c r="AI379" i="1"/>
  <c r="AM379" i="1" s="1"/>
  <c r="AI205" i="1"/>
  <c r="AI218" i="1"/>
  <c r="AM218" i="1" s="1"/>
  <c r="AI216" i="1"/>
  <c r="AI239" i="1"/>
  <c r="AI175" i="1"/>
  <c r="AI208" i="1"/>
  <c r="AM208" i="1" s="1"/>
  <c r="AI203" i="1"/>
  <c r="AI184" i="1"/>
  <c r="AI207" i="1"/>
  <c r="AM207" i="1" s="1"/>
  <c r="AI213" i="1"/>
  <c r="AK213" i="1" s="1"/>
  <c r="AA213" i="1" s="1"/>
  <c r="AI331" i="1"/>
  <c r="AM331" i="1" s="1"/>
  <c r="AI329" i="1"/>
  <c r="AI283" i="1"/>
  <c r="AI181" i="1"/>
  <c r="AM181" i="1" s="1"/>
  <c r="AI400" i="1"/>
  <c r="AM400" i="1" s="1"/>
  <c r="AI338" i="1"/>
  <c r="AI58" i="1"/>
  <c r="AM58" i="1" s="1"/>
  <c r="AI59" i="1"/>
  <c r="AM59" i="1" s="1"/>
  <c r="AI393" i="1"/>
  <c r="AM393" i="1" s="1"/>
  <c r="AI67" i="1"/>
  <c r="AK67" i="1" s="1"/>
  <c r="AA67" i="1" s="1"/>
  <c r="AI324" i="1"/>
  <c r="AM324" i="1" s="1"/>
  <c r="AI381" i="1"/>
  <c r="AM381" i="1" s="1"/>
  <c r="AI284" i="1"/>
  <c r="AM284" i="1" s="1"/>
  <c r="AI394" i="1"/>
  <c r="AM394" i="1" s="1"/>
  <c r="AI327" i="1"/>
  <c r="AK327" i="1" s="1"/>
  <c r="AA327" i="1" s="1"/>
  <c r="AI325" i="1"/>
  <c r="AI245" i="1"/>
  <c r="AM245" i="1" s="1"/>
  <c r="AI326" i="1"/>
  <c r="AM326" i="1" s="1"/>
  <c r="AI248" i="1"/>
  <c r="AI387" i="1"/>
  <c r="AI27" i="1"/>
  <c r="AI153" i="1"/>
  <c r="AM153" i="1" s="1"/>
  <c r="AI361" i="1"/>
  <c r="AM361" i="1" s="1"/>
  <c r="AI297" i="1"/>
  <c r="AI193" i="1"/>
  <c r="AK193" i="1" s="1"/>
  <c r="AA193" i="1" s="1"/>
  <c r="AI298" i="1"/>
  <c r="AM298" i="1" s="1"/>
  <c r="AI165" i="1"/>
  <c r="AI220" i="1"/>
  <c r="AI383" i="1"/>
  <c r="AI183" i="1"/>
  <c r="AM183" i="1" s="1"/>
  <c r="AI190" i="1"/>
  <c r="AI157" i="1"/>
  <c r="AK157" i="1" s="1"/>
  <c r="AA157" i="1" s="1"/>
  <c r="AI370" i="1"/>
  <c r="AK370" i="1" s="1"/>
  <c r="AA370" i="1" s="1"/>
  <c r="AI61" i="1"/>
  <c r="AM61" i="1" s="1"/>
  <c r="AI84" i="1"/>
  <c r="AI155" i="1"/>
  <c r="AM155" i="1" s="1"/>
  <c r="AI154" i="1"/>
  <c r="AM154" i="1" s="1"/>
  <c r="AI147" i="1"/>
  <c r="AM147" i="1" s="1"/>
  <c r="AI83" i="1"/>
  <c r="AI372" i="1"/>
  <c r="AM372" i="1" s="1"/>
  <c r="AI171" i="1"/>
  <c r="AI360" i="1"/>
  <c r="AM360" i="1" s="1"/>
  <c r="AI104" i="1"/>
  <c r="AK104" i="1" s="1"/>
  <c r="AA104" i="1" s="1"/>
  <c r="AI191" i="1"/>
  <c r="AM191" i="1" s="1"/>
  <c r="AI363" i="1"/>
  <c r="AI375" i="1"/>
  <c r="AK375" i="1" s="1"/>
  <c r="AA375" i="1" s="1"/>
  <c r="AI107" i="1"/>
  <c r="AM107" i="1" s="1"/>
  <c r="AI237" i="1"/>
  <c r="AM237" i="1" s="1"/>
  <c r="AI359" i="1"/>
  <c r="AK359" i="1" s="1"/>
  <c r="AA359" i="1" s="1"/>
  <c r="AI312" i="1"/>
  <c r="AI79" i="1"/>
  <c r="AI149" i="1"/>
  <c r="AI235" i="1"/>
  <c r="AI180" i="1"/>
  <c r="AM180" i="1" s="1"/>
  <c r="AI197" i="1"/>
  <c r="AI173" i="1"/>
  <c r="AI196" i="1"/>
  <c r="AM196" i="1" s="1"/>
  <c r="AI159" i="1"/>
  <c r="AM159" i="1" s="1"/>
  <c r="AM82" i="1"/>
  <c r="AM386" i="1"/>
  <c r="AM73" i="1"/>
  <c r="AK288" i="1"/>
  <c r="AA288" i="1" s="1"/>
  <c r="AM336" i="1"/>
  <c r="AK129" i="1"/>
  <c r="AA129" i="1" s="1"/>
  <c r="AM127" i="1"/>
  <c r="AM292" i="1"/>
  <c r="AM125" i="1"/>
  <c r="AK329" i="1"/>
  <c r="AA329" i="1" s="1"/>
  <c r="AM227" i="1"/>
  <c r="AM131" i="1"/>
  <c r="AK121" i="1"/>
  <c r="AA121" i="1" s="1"/>
  <c r="AM123" i="1"/>
  <c r="AK82" i="1"/>
  <c r="AA82" i="1" s="1"/>
  <c r="AM251" i="1"/>
  <c r="AM263" i="1"/>
  <c r="AM314" i="1"/>
  <c r="AK229" i="1"/>
  <c r="AA229" i="1" s="1"/>
  <c r="R24" i="139"/>
  <c r="R28" i="139"/>
  <c r="R54" i="139"/>
  <c r="R38" i="139"/>
  <c r="R35" i="139"/>
  <c r="AI320" i="1" s="1"/>
  <c r="R45" i="139"/>
  <c r="R34" i="139"/>
  <c r="R19" i="139"/>
  <c r="R36" i="139"/>
  <c r="R30" i="139"/>
  <c r="R25" i="139"/>
  <c r="R37" i="139"/>
  <c r="R47" i="139"/>
  <c r="R43" i="139"/>
  <c r="J2" i="139"/>
  <c r="Q2" i="139"/>
  <c r="AK212" i="1"/>
  <c r="AA212" i="1" s="1"/>
  <c r="AK408" i="1"/>
  <c r="AA408" i="1" s="1"/>
  <c r="AM408" i="1"/>
  <c r="AK289" i="1"/>
  <c r="AA289" i="1" s="1"/>
  <c r="AM289" i="1"/>
  <c r="AK61" i="1"/>
  <c r="AA61" i="1" s="1"/>
  <c r="AK251" i="1"/>
  <c r="AA251" i="1" s="1"/>
  <c r="AK346" i="1"/>
  <c r="AA346" i="1" s="1"/>
  <c r="AM346" i="1"/>
  <c r="AK326" i="1"/>
  <c r="AA326" i="1" s="1"/>
  <c r="AM170" i="1"/>
  <c r="AK201" i="1"/>
  <c r="AA201" i="1" s="1"/>
  <c r="AK328" i="1"/>
  <c r="AA328" i="1" s="1"/>
  <c r="AJ272" i="1"/>
  <c r="AL272" i="1"/>
  <c r="O205" i="166" s="1"/>
  <c r="AL130" i="1"/>
  <c r="AJ130" i="1"/>
  <c r="Z130" i="1" s="1"/>
  <c r="AL377" i="1"/>
  <c r="AJ377" i="1"/>
  <c r="Z377" i="1" s="1"/>
  <c r="AK298" i="1" l="1"/>
  <c r="AA298" i="1" s="1"/>
  <c r="AM67" i="1"/>
  <c r="AM142" i="1"/>
  <c r="AK396" i="1"/>
  <c r="AA396" i="1" s="1"/>
  <c r="AM236" i="1"/>
  <c r="AM177" i="1"/>
  <c r="N397" i="166" s="1"/>
  <c r="AK177" i="1"/>
  <c r="AA177" i="1" s="1"/>
  <c r="AM173" i="1"/>
  <c r="N387" i="166" s="1"/>
  <c r="AM157" i="1"/>
  <c r="N38" i="166" s="1"/>
  <c r="AK173" i="1"/>
  <c r="AA173" i="1" s="1"/>
  <c r="AK325" i="1"/>
  <c r="AA325" i="1" s="1"/>
  <c r="AK372" i="1"/>
  <c r="AA372" i="1" s="1"/>
  <c r="AM325" i="1"/>
  <c r="N244" i="166" s="1"/>
  <c r="AK362" i="1"/>
  <c r="AA362" i="1" s="1"/>
  <c r="AM223" i="1"/>
  <c r="N87" i="166" s="1"/>
  <c r="AM290" i="1"/>
  <c r="N138" i="166" s="1"/>
  <c r="AM283" i="1"/>
  <c r="AM387" i="1"/>
  <c r="N247" i="166" s="1"/>
  <c r="AM354" i="1"/>
  <c r="AK381" i="1"/>
  <c r="AA381" i="1" s="1"/>
  <c r="AK387" i="1"/>
  <c r="AA387" i="1" s="1"/>
  <c r="AK132" i="1"/>
  <c r="AA132" i="1" s="1"/>
  <c r="AK191" i="1"/>
  <c r="AA191" i="1" s="1"/>
  <c r="AK331" i="1"/>
  <c r="AA331" i="1" s="1"/>
  <c r="AM202" i="1"/>
  <c r="N391" i="166" s="1"/>
  <c r="AK283" i="1"/>
  <c r="AA283" i="1" s="1"/>
  <c r="AK216" i="1"/>
  <c r="AA216" i="1" s="1"/>
  <c r="AM216" i="1"/>
  <c r="N407" i="166" s="1"/>
  <c r="AK393" i="1"/>
  <c r="AA393" i="1" s="1"/>
  <c r="AM75" i="1"/>
  <c r="N163" i="166" s="1"/>
  <c r="AK75" i="1"/>
  <c r="AA75" i="1" s="1"/>
  <c r="AM327" i="1"/>
  <c r="N242" i="166" s="1"/>
  <c r="AM338" i="1"/>
  <c r="N26" i="166" s="1"/>
  <c r="AK183" i="1"/>
  <c r="AA183" i="1" s="1"/>
  <c r="AK338" i="1"/>
  <c r="AA338" i="1" s="1"/>
  <c r="AK394" i="1"/>
  <c r="AA394" i="1" s="1"/>
  <c r="AK398" i="1"/>
  <c r="AA398" i="1" s="1"/>
  <c r="AM190" i="1"/>
  <c r="N39" i="166" s="1"/>
  <c r="AK58" i="1"/>
  <c r="AA58" i="1" s="1"/>
  <c r="AK361" i="1"/>
  <c r="AA361" i="1" s="1"/>
  <c r="AK190" i="1"/>
  <c r="AA190" i="1" s="1"/>
  <c r="AK205" i="1"/>
  <c r="AA205" i="1" s="1"/>
  <c r="AK363" i="1"/>
  <c r="AA363" i="1" s="1"/>
  <c r="AM235" i="1"/>
  <c r="N36" i="166" s="1"/>
  <c r="AK407" i="1"/>
  <c r="AA407" i="1" s="1"/>
  <c r="AM375" i="1"/>
  <c r="N55" i="166" s="1"/>
  <c r="AK383" i="1"/>
  <c r="AA383" i="1" s="1"/>
  <c r="AM383" i="1"/>
  <c r="N46" i="166" s="1"/>
  <c r="N35" i="166"/>
  <c r="N385" i="166"/>
  <c r="N389" i="166"/>
  <c r="N65" i="166"/>
  <c r="N246" i="166"/>
  <c r="N158" i="166"/>
  <c r="N239" i="166"/>
  <c r="N52" i="166"/>
  <c r="N252" i="166"/>
  <c r="N406" i="166"/>
  <c r="N248" i="166"/>
  <c r="N156" i="166"/>
  <c r="N34" i="166"/>
  <c r="N388" i="166"/>
  <c r="N45" i="166"/>
  <c r="N25" i="166"/>
  <c r="N213" i="166"/>
  <c r="N90" i="166"/>
  <c r="N57" i="166"/>
  <c r="N212" i="166"/>
  <c r="N402" i="166"/>
  <c r="N88" i="166"/>
  <c r="N66" i="166"/>
  <c r="U381" i="166"/>
  <c r="T381" i="166"/>
  <c r="N403" i="166"/>
  <c r="N208" i="166"/>
  <c r="N157" i="166"/>
  <c r="N251" i="166"/>
  <c r="N250" i="166"/>
  <c r="U343" i="166"/>
  <c r="T343" i="166"/>
  <c r="N395" i="166"/>
  <c r="N214" i="166"/>
  <c r="N409" i="166"/>
  <c r="N78" i="166"/>
  <c r="N83" i="166"/>
  <c r="U253" i="166"/>
  <c r="T253" i="166"/>
  <c r="N154" i="166"/>
  <c r="N399" i="166"/>
  <c r="N171" i="166"/>
  <c r="N41" i="166"/>
  <c r="N215" i="166"/>
  <c r="N243" i="166"/>
  <c r="AK248" i="1"/>
  <c r="AA248" i="1" s="1"/>
  <c r="N63" i="166"/>
  <c r="N49" i="166"/>
  <c r="AM248" i="1"/>
  <c r="N24" i="166"/>
  <c r="N40" i="166"/>
  <c r="N161" i="166"/>
  <c r="N211" i="166"/>
  <c r="N77" i="166"/>
  <c r="N169" i="166"/>
  <c r="N249" i="166"/>
  <c r="U79" i="166"/>
  <c r="T79" i="166"/>
  <c r="U8" i="166"/>
  <c r="T8" i="166"/>
  <c r="U162" i="166"/>
  <c r="T162" i="166"/>
  <c r="N160" i="166"/>
  <c r="N155" i="166"/>
  <c r="N400" i="166"/>
  <c r="N54" i="166"/>
  <c r="N56" i="166"/>
  <c r="N170" i="166"/>
  <c r="N342" i="166"/>
  <c r="N81" i="166"/>
  <c r="N241" i="166"/>
  <c r="N31" i="166"/>
  <c r="U84" i="166"/>
  <c r="T84" i="166"/>
  <c r="N166" i="166"/>
  <c r="N82" i="166"/>
  <c r="N340" i="166"/>
  <c r="N44" i="166"/>
  <c r="N47" i="166"/>
  <c r="N86" i="166"/>
  <c r="N80" i="166"/>
  <c r="U344" i="166"/>
  <c r="T344" i="166"/>
  <c r="U383" i="166"/>
  <c r="T383" i="166"/>
  <c r="O68" i="166"/>
  <c r="W205" i="166"/>
  <c r="R205" i="166" s="1"/>
  <c r="V205" i="166"/>
  <c r="Q205" i="166" s="1"/>
  <c r="P205" i="166"/>
  <c r="AN272" i="1" s="1"/>
  <c r="O344" i="166"/>
  <c r="AI318" i="1"/>
  <c r="AK318" i="1" s="1"/>
  <c r="AA318" i="1" s="1"/>
  <c r="AI172" i="1"/>
  <c r="AI380" i="1"/>
  <c r="AK380" i="1" s="1"/>
  <c r="AA380" i="1" s="1"/>
  <c r="AI45" i="1"/>
  <c r="AI65" i="1"/>
  <c r="AI194" i="1"/>
  <c r="AI243" i="1"/>
  <c r="AI397" i="1"/>
  <c r="AI72" i="1"/>
  <c r="AI403" i="1"/>
  <c r="AI395" i="1"/>
  <c r="AI409" i="1"/>
  <c r="AK409" i="1" s="1"/>
  <c r="AA409" i="1" s="1"/>
  <c r="AI281" i="1"/>
  <c r="AI217" i="1"/>
  <c r="AM217" i="1" s="1"/>
  <c r="AI113" i="1"/>
  <c r="AI258" i="1"/>
  <c r="AK258" i="1" s="1"/>
  <c r="AA258" i="1" s="1"/>
  <c r="AI226" i="1"/>
  <c r="AK226" i="1" s="1"/>
  <c r="AA226" i="1" s="1"/>
  <c r="AI385" i="1"/>
  <c r="AI353" i="1"/>
  <c r="AK353" i="1" s="1"/>
  <c r="AA353" i="1" s="1"/>
  <c r="AI57" i="1"/>
  <c r="AK57" i="1" s="1"/>
  <c r="AA57" i="1" s="1"/>
  <c r="AI101" i="1"/>
  <c r="AI60" i="1"/>
  <c r="AM60" i="1" s="1"/>
  <c r="AI259" i="1"/>
  <c r="AI195" i="1"/>
  <c r="AM195" i="1" s="1"/>
  <c r="AI352" i="1"/>
  <c r="AI56" i="1"/>
  <c r="AI287" i="1"/>
  <c r="AI286" i="1"/>
  <c r="AI222" i="1"/>
  <c r="AI285" i="1"/>
  <c r="AI253" i="1"/>
  <c r="AI410" i="1"/>
  <c r="AK410" i="1" s="1"/>
  <c r="AA410" i="1" s="1"/>
  <c r="AI350" i="1"/>
  <c r="AM350" i="1" s="1"/>
  <c r="AI108" i="1"/>
  <c r="AI76" i="1"/>
  <c r="AI275" i="1"/>
  <c r="AI112" i="1"/>
  <c r="AM112" i="1" s="1"/>
  <c r="AI335" i="1"/>
  <c r="AM335" i="1" s="1"/>
  <c r="AI71" i="1"/>
  <c r="AI238" i="1"/>
  <c r="AI333" i="1"/>
  <c r="AI152" i="1"/>
  <c r="AI88" i="1"/>
  <c r="AK88" i="1" s="1"/>
  <c r="AA88" i="1" s="1"/>
  <c r="AI342" i="1"/>
  <c r="AM342" i="1" s="1"/>
  <c r="AI411" i="1"/>
  <c r="AI334" i="1"/>
  <c r="AI70" i="1"/>
  <c r="AI404" i="1"/>
  <c r="AI340" i="1"/>
  <c r="AK340" i="1" s="1"/>
  <c r="AA340" i="1" s="1"/>
  <c r="AI299" i="1"/>
  <c r="AK299" i="1" s="1"/>
  <c r="AA299" i="1" s="1"/>
  <c r="AI347" i="1"/>
  <c r="AI62" i="1"/>
  <c r="AI357" i="1"/>
  <c r="AI293" i="1"/>
  <c r="AI291" i="1"/>
  <c r="AI279" i="1"/>
  <c r="AI21" i="1"/>
  <c r="AK21" i="1" s="1"/>
  <c r="AA21" i="1" s="1"/>
  <c r="AI7" i="1"/>
  <c r="AI28" i="1"/>
  <c r="AI15" i="1"/>
  <c r="AI44" i="1"/>
  <c r="AI16" i="1"/>
  <c r="AI36" i="1"/>
  <c r="AI116" i="1"/>
  <c r="AM116" i="1" s="1"/>
  <c r="AI230" i="1"/>
  <c r="AI343" i="1"/>
  <c r="AK343" i="1" s="1"/>
  <c r="AA343" i="1" s="1"/>
  <c r="AI241" i="1"/>
  <c r="AM241" i="1" s="1"/>
  <c r="AI319" i="1"/>
  <c r="AI330" i="1"/>
  <c r="AI117" i="1"/>
  <c r="AK117" i="1" s="1"/>
  <c r="AA117" i="1" s="1"/>
  <c r="AI115" i="1"/>
  <c r="AK115" i="1" s="1"/>
  <c r="AA115" i="1" s="1"/>
  <c r="AI308" i="1"/>
  <c r="AI78" i="1"/>
  <c r="AI309" i="1"/>
  <c r="AI114" i="1"/>
  <c r="AI37" i="1"/>
  <c r="AI305" i="1"/>
  <c r="AI351" i="1"/>
  <c r="AI221" i="1"/>
  <c r="AK221" i="1" s="1"/>
  <c r="AA221" i="1" s="1"/>
  <c r="AI304" i="1"/>
  <c r="AI306" i="1"/>
  <c r="AI303" i="1"/>
  <c r="AM303" i="1" s="1"/>
  <c r="AI38" i="1"/>
  <c r="AM38" i="1" s="1"/>
  <c r="AI345" i="1"/>
  <c r="AM345" i="1" s="1"/>
  <c r="AI145" i="1"/>
  <c r="AI105" i="1"/>
  <c r="AI160" i="1"/>
  <c r="AI91" i="1"/>
  <c r="AM91" i="1" s="1"/>
  <c r="AI402" i="1"/>
  <c r="AM402" i="1" s="1"/>
  <c r="AI276" i="1"/>
  <c r="AM276" i="1" s="1"/>
  <c r="AI204" i="1"/>
  <c r="AI399" i="1"/>
  <c r="AI146" i="1"/>
  <c r="AI358" i="1"/>
  <c r="AI133" i="1"/>
  <c r="AK133" i="1" s="1"/>
  <c r="AA133" i="1" s="1"/>
  <c r="AI278" i="1"/>
  <c r="AK278" i="1" s="1"/>
  <c r="AA278" i="1" s="1"/>
  <c r="AI150" i="1"/>
  <c r="AI348" i="1"/>
  <c r="AI144" i="1"/>
  <c r="AI231" i="1"/>
  <c r="AM231" i="1" s="1"/>
  <c r="AI355" i="1"/>
  <c r="AI242" i="1"/>
  <c r="AI374" i="1"/>
  <c r="AI8" i="1"/>
  <c r="AK8" i="1" s="1"/>
  <c r="AI42" i="1"/>
  <c r="AI18" i="1"/>
  <c r="AI14" i="1"/>
  <c r="AM14" i="1" s="1"/>
  <c r="AI401" i="1"/>
  <c r="AI321" i="1"/>
  <c r="AK321" i="1" s="1"/>
  <c r="AA321" i="1" s="1"/>
  <c r="AI69" i="1"/>
  <c r="AI151" i="1"/>
  <c r="AI388" i="1"/>
  <c r="AI382" i="1"/>
  <c r="AI349" i="1"/>
  <c r="AI141" i="1"/>
  <c r="AI77" i="1"/>
  <c r="AK77" i="1" s="1"/>
  <c r="AA77" i="1" s="1"/>
  <c r="AI323" i="1"/>
  <c r="AM323" i="1" s="1"/>
  <c r="AI391" i="1"/>
  <c r="AI389" i="1"/>
  <c r="AI111" i="1"/>
  <c r="AM111" i="1" s="1"/>
  <c r="AI307" i="1"/>
  <c r="AK307" i="1" s="1"/>
  <c r="AA307" i="1" s="1"/>
  <c r="AI274" i="1"/>
  <c r="AK274" i="1" s="1"/>
  <c r="AA274" i="1" s="1"/>
  <c r="AI392" i="1"/>
  <c r="AM392" i="1" s="1"/>
  <c r="AI390" i="1"/>
  <c r="AI322" i="1"/>
  <c r="AK322" i="1" s="1"/>
  <c r="AA322" i="1" s="1"/>
  <c r="AI143" i="1"/>
  <c r="AI405" i="1"/>
  <c r="AI17" i="1"/>
  <c r="AM17" i="1" s="1"/>
  <c r="AI20" i="1"/>
  <c r="AI313" i="1"/>
  <c r="AI169" i="1"/>
  <c r="AM169" i="1" s="1"/>
  <c r="AI378" i="1"/>
  <c r="AM378" i="1" s="1"/>
  <c r="AI66" i="1"/>
  <c r="AM66" i="1" s="1"/>
  <c r="AI86" i="1"/>
  <c r="AI68" i="1"/>
  <c r="AI168" i="1"/>
  <c r="AI311" i="1"/>
  <c r="AK311" i="1" s="1"/>
  <c r="AA311" i="1" s="1"/>
  <c r="AI64" i="1"/>
  <c r="AI310" i="1"/>
  <c r="AI24" i="1"/>
  <c r="AK24" i="1" s="1"/>
  <c r="AI22" i="1"/>
  <c r="AK22" i="1" s="1"/>
  <c r="AA22" i="1" s="1"/>
  <c r="AI89" i="1"/>
  <c r="AM89" i="1" s="1"/>
  <c r="AI369" i="1"/>
  <c r="AM369" i="1" s="1"/>
  <c r="AI337" i="1"/>
  <c r="AI106" i="1"/>
  <c r="AM106" i="1" s="1"/>
  <c r="AI92" i="1"/>
  <c r="AM92" i="1" s="1"/>
  <c r="AI384" i="1"/>
  <c r="AI192" i="1"/>
  <c r="AI128" i="1"/>
  <c r="AI356" i="1"/>
  <c r="AI162" i="1"/>
  <c r="AI90" i="1"/>
  <c r="AI93" i="1"/>
  <c r="AI148" i="1"/>
  <c r="AI277" i="1"/>
  <c r="AI368" i="1"/>
  <c r="AI199" i="1"/>
  <c r="AK199" i="1" s="1"/>
  <c r="AA199" i="1" s="1"/>
  <c r="AI366" i="1"/>
  <c r="AI110" i="1"/>
  <c r="AI371" i="1"/>
  <c r="AI232" i="1"/>
  <c r="AM232" i="1" s="1"/>
  <c r="AI364" i="1"/>
  <c r="AM364" i="1" s="1"/>
  <c r="AI344" i="1"/>
  <c r="AM344" i="1" s="1"/>
  <c r="AI214" i="1"/>
  <c r="AK214" i="1" s="1"/>
  <c r="AA214" i="1" s="1"/>
  <c r="AI373" i="1"/>
  <c r="AI367" i="1"/>
  <c r="AM367" i="1" s="1"/>
  <c r="AI103" i="1"/>
  <c r="AI365" i="1"/>
  <c r="AK365" i="1" s="1"/>
  <c r="AA365" i="1" s="1"/>
  <c r="AI109" i="1"/>
  <c r="AI339" i="1"/>
  <c r="AI182" i="1"/>
  <c r="AI341" i="1"/>
  <c r="AI39" i="1"/>
  <c r="AI317" i="1"/>
  <c r="AI296" i="1"/>
  <c r="AI300" i="1"/>
  <c r="AI315" i="1"/>
  <c r="AI295" i="1"/>
  <c r="AK295" i="1" s="1"/>
  <c r="AA295" i="1" s="1"/>
  <c r="AI316" i="1"/>
  <c r="AI233" i="1"/>
  <c r="AI256" i="1"/>
  <c r="AI252" i="1"/>
  <c r="AK252" i="1" s="1"/>
  <c r="AA252" i="1" s="1"/>
  <c r="AI240" i="1"/>
  <c r="AI164" i="1"/>
  <c r="AM164" i="1" s="1"/>
  <c r="AI282" i="1"/>
  <c r="AI376" i="1"/>
  <c r="AI33" i="1"/>
  <c r="AM33" i="1" s="1"/>
  <c r="AI6" i="1"/>
  <c r="AI35" i="1"/>
  <c r="AI234" i="1"/>
  <c r="AM234" i="1" s="1"/>
  <c r="AI138" i="1"/>
  <c r="AI137" i="1"/>
  <c r="AM137" i="1" s="1"/>
  <c r="AI225" i="1"/>
  <c r="AI161" i="1"/>
  <c r="AI97" i="1"/>
  <c r="AI98" i="1"/>
  <c r="AI188" i="1"/>
  <c r="AI156" i="1"/>
  <c r="AI99" i="1"/>
  <c r="AK99" i="1" s="1"/>
  <c r="AA99" i="1" s="1"/>
  <c r="AI250" i="1"/>
  <c r="AM250" i="1" s="1"/>
  <c r="AI224" i="1"/>
  <c r="AK224" i="1" s="1"/>
  <c r="AA224" i="1" s="1"/>
  <c r="AI96" i="1"/>
  <c r="AI247" i="1"/>
  <c r="AI215" i="1"/>
  <c r="AK215" i="1" s="1"/>
  <c r="AA215" i="1" s="1"/>
  <c r="AI55" i="1"/>
  <c r="AI158" i="1"/>
  <c r="AM158" i="1" s="1"/>
  <c r="AI54" i="1"/>
  <c r="AI189" i="1"/>
  <c r="AI187" i="1"/>
  <c r="AK187" i="1" s="1"/>
  <c r="AA187" i="1" s="1"/>
  <c r="AI53" i="1"/>
  <c r="AI244" i="1"/>
  <c r="AM244" i="1" s="1"/>
  <c r="AI140" i="1"/>
  <c r="AI176" i="1"/>
  <c r="AM176" i="1" s="1"/>
  <c r="AI135" i="1"/>
  <c r="AI174" i="1"/>
  <c r="AI166" i="1"/>
  <c r="AM166" i="1" s="1"/>
  <c r="AI94" i="1"/>
  <c r="AI406" i="1"/>
  <c r="AI186" i="1"/>
  <c r="AK186" i="1" s="1"/>
  <c r="AA186" i="1" s="1"/>
  <c r="AI100" i="1"/>
  <c r="AI178" i="1"/>
  <c r="AI136" i="1"/>
  <c r="AM136" i="1" s="1"/>
  <c r="N104" i="166" s="1"/>
  <c r="AI95" i="1"/>
  <c r="AM95" i="1" s="1"/>
  <c r="AI134" i="1"/>
  <c r="AK134" i="1" s="1"/>
  <c r="AA134" i="1" s="1"/>
  <c r="AI332" i="1"/>
  <c r="AI139" i="1"/>
  <c r="AM139" i="1" s="1"/>
  <c r="AI246" i="1"/>
  <c r="AK246" i="1" s="1"/>
  <c r="AA246" i="1" s="1"/>
  <c r="AI52" i="1"/>
  <c r="AM52" i="1" s="1"/>
  <c r="AI50" i="1"/>
  <c r="AI48" i="1"/>
  <c r="AI51" i="1"/>
  <c r="AI49" i="1"/>
  <c r="AK73" i="1"/>
  <c r="AA73" i="1" s="1"/>
  <c r="AK245" i="1"/>
  <c r="AA245" i="1" s="1"/>
  <c r="AM206" i="1"/>
  <c r="AK206" i="1"/>
  <c r="AA206" i="1" s="1"/>
  <c r="AK386" i="1"/>
  <c r="AA386" i="1" s="1"/>
  <c r="AM312" i="1"/>
  <c r="AK200" i="1"/>
  <c r="AA200" i="1" s="1"/>
  <c r="AM343" i="1"/>
  <c r="AK280" i="1"/>
  <c r="AA280" i="1" s="1"/>
  <c r="AK284" i="1"/>
  <c r="AA284" i="1" s="1"/>
  <c r="AM297" i="1"/>
  <c r="AK63" i="1"/>
  <c r="AA63" i="1" s="1"/>
  <c r="AK159" i="1"/>
  <c r="AA159" i="1" s="1"/>
  <c r="AK196" i="1"/>
  <c r="AA196" i="1" s="1"/>
  <c r="AM229" i="1"/>
  <c r="AM63" i="1"/>
  <c r="AK237" i="1"/>
  <c r="AA237" i="1" s="1"/>
  <c r="AK218" i="1"/>
  <c r="AA218" i="1" s="1"/>
  <c r="AM74" i="1"/>
  <c r="AK235" i="1"/>
  <c r="AA235" i="1" s="1"/>
  <c r="AK239" i="1"/>
  <c r="AA239" i="1" s="1"/>
  <c r="AK180" i="1"/>
  <c r="AA180" i="1" s="1"/>
  <c r="AK74" i="1"/>
  <c r="AA74" i="1" s="1"/>
  <c r="AK84" i="1"/>
  <c r="AA84" i="1" s="1"/>
  <c r="AM239" i="1"/>
  <c r="AK324" i="1"/>
  <c r="AA324" i="1" s="1"/>
  <c r="AK79" i="1"/>
  <c r="AA79" i="1" s="1"/>
  <c r="AK163" i="1"/>
  <c r="AA163" i="1" s="1"/>
  <c r="AM84" i="1"/>
  <c r="AK155" i="1"/>
  <c r="AA155" i="1" s="1"/>
  <c r="AK147" i="1"/>
  <c r="AA147" i="1" s="1"/>
  <c r="AM79" i="1"/>
  <c r="AM163" i="1"/>
  <c r="AK379" i="1"/>
  <c r="AA379" i="1" s="1"/>
  <c r="AM205" i="1"/>
  <c r="AM200" i="1"/>
  <c r="AK207" i="1"/>
  <c r="AA207" i="1" s="1"/>
  <c r="AK312" i="1"/>
  <c r="AA312" i="1" s="1"/>
  <c r="AK260" i="1"/>
  <c r="AA260" i="1" s="1"/>
  <c r="AK179" i="1"/>
  <c r="AA179" i="1" s="1"/>
  <c r="AM407" i="1"/>
  <c r="AM210" i="1"/>
  <c r="AK400" i="1"/>
  <c r="AA400" i="1" s="1"/>
  <c r="AM363" i="1"/>
  <c r="AM179" i="1"/>
  <c r="AK107" i="1"/>
  <c r="AA107" i="1" s="1"/>
  <c r="AM370" i="1"/>
  <c r="AK167" i="1"/>
  <c r="AA167" i="1" s="1"/>
  <c r="AK59" i="1"/>
  <c r="AA59" i="1" s="1"/>
  <c r="AM171" i="1"/>
  <c r="AK249" i="1"/>
  <c r="AA249" i="1" s="1"/>
  <c r="AM209" i="1"/>
  <c r="AK297" i="1"/>
  <c r="AA297" i="1" s="1"/>
  <c r="AM249" i="1"/>
  <c r="AK209" i="1"/>
  <c r="AA209" i="1" s="1"/>
  <c r="AM329" i="1"/>
  <c r="AK154" i="1"/>
  <c r="AA154" i="1" s="1"/>
  <c r="AK175" i="1"/>
  <c r="AA175" i="1" s="1"/>
  <c r="AK149" i="1"/>
  <c r="AA149" i="1" s="1"/>
  <c r="AM175" i="1"/>
  <c r="AM149" i="1"/>
  <c r="AK87" i="1"/>
  <c r="AA87" i="1" s="1"/>
  <c r="AK181" i="1"/>
  <c r="AA181" i="1" s="1"/>
  <c r="AK197" i="1"/>
  <c r="AA197" i="1" s="1"/>
  <c r="AM213" i="1"/>
  <c r="AK208" i="1"/>
  <c r="AA208" i="1" s="1"/>
  <c r="AM197" i="1"/>
  <c r="AK171" i="1"/>
  <c r="AA171" i="1" s="1"/>
  <c r="AK314" i="1"/>
  <c r="AA314" i="1" s="1"/>
  <c r="AK360" i="1"/>
  <c r="AA360" i="1" s="1"/>
  <c r="AM211" i="1"/>
  <c r="AK211" i="1"/>
  <c r="AA211" i="1" s="1"/>
  <c r="AK220" i="1"/>
  <c r="AA220" i="1" s="1"/>
  <c r="AM220" i="1"/>
  <c r="AK153" i="1"/>
  <c r="AA153" i="1" s="1"/>
  <c r="AK203" i="1"/>
  <c r="AA203" i="1" s="1"/>
  <c r="AM203" i="1"/>
  <c r="AK185" i="1"/>
  <c r="AA185" i="1" s="1"/>
  <c r="AM167" i="1"/>
  <c r="AM219" i="1"/>
  <c r="AM104" i="1"/>
  <c r="AM83" i="1"/>
  <c r="AK184" i="1"/>
  <c r="AA184" i="1" s="1"/>
  <c r="AK83" i="1"/>
  <c r="AA83" i="1" s="1"/>
  <c r="AM193" i="1"/>
  <c r="AM184" i="1"/>
  <c r="AM359" i="1"/>
  <c r="AK165" i="1"/>
  <c r="AA165" i="1" s="1"/>
  <c r="AM165" i="1"/>
  <c r="AM270" i="1"/>
  <c r="AK270" i="1"/>
  <c r="AA270" i="1" s="1"/>
  <c r="AM102" i="1"/>
  <c r="AK102" i="1"/>
  <c r="AA102" i="1" s="1"/>
  <c r="AM228" i="1"/>
  <c r="AK228" i="1"/>
  <c r="AA228" i="1" s="1"/>
  <c r="AK287" i="1"/>
  <c r="AA287" i="1" s="1"/>
  <c r="AL350" i="1"/>
  <c r="AJ350" i="1"/>
  <c r="Z350" i="1" s="1"/>
  <c r="AL357" i="1"/>
  <c r="AJ357" i="1"/>
  <c r="Z357" i="1" s="1"/>
  <c r="AL108" i="1"/>
  <c r="AJ108" i="1"/>
  <c r="Z108" i="1" s="1"/>
  <c r="AJ60" i="1"/>
  <c r="Z60" i="1" s="1"/>
  <c r="AL60" i="1"/>
  <c r="AL152" i="1"/>
  <c r="AJ152" i="1"/>
  <c r="Z152" i="1" s="1"/>
  <c r="AL168" i="1"/>
  <c r="AJ168" i="1"/>
  <c r="Z168" i="1" s="1"/>
  <c r="AL237" i="1"/>
  <c r="AJ237" i="1"/>
  <c r="Z237" i="1" s="1"/>
  <c r="AL155" i="1"/>
  <c r="AJ155" i="1"/>
  <c r="Z155" i="1" s="1"/>
  <c r="AL289" i="1"/>
  <c r="AJ289" i="1"/>
  <c r="Z289" i="1" s="1"/>
  <c r="AJ359" i="1"/>
  <c r="Z359" i="1" s="1"/>
  <c r="AL359" i="1"/>
  <c r="AL74" i="1"/>
  <c r="AJ74" i="1"/>
  <c r="Z74" i="1" s="1"/>
  <c r="AL389" i="1"/>
  <c r="AJ389" i="1"/>
  <c r="Z389" i="1" s="1"/>
  <c r="AL321" i="1"/>
  <c r="AJ321" i="1"/>
  <c r="Z321" i="1" s="1"/>
  <c r="AL80" i="1"/>
  <c r="AJ80" i="1"/>
  <c r="Z80" i="1" s="1"/>
  <c r="AJ245" i="1"/>
  <c r="Z245" i="1" s="1"/>
  <c r="AL245" i="1"/>
  <c r="AL122" i="1"/>
  <c r="AJ122" i="1"/>
  <c r="Z122" i="1" s="1"/>
  <c r="AL58" i="1"/>
  <c r="AJ58" i="1"/>
  <c r="Z58" i="1" s="1"/>
  <c r="AL221" i="1"/>
  <c r="AJ221" i="1"/>
  <c r="Z221" i="1" s="1"/>
  <c r="AL400" i="1"/>
  <c r="AJ400" i="1"/>
  <c r="Z400" i="1" s="1"/>
  <c r="AL244" i="1"/>
  <c r="AJ244" i="1"/>
  <c r="Z244" i="1" s="1"/>
  <c r="AL189" i="1"/>
  <c r="AJ189" i="1"/>
  <c r="Z189" i="1" s="1"/>
  <c r="AL100" i="1"/>
  <c r="AJ100" i="1"/>
  <c r="Z100" i="1" s="1"/>
  <c r="AL98" i="1"/>
  <c r="AJ98" i="1"/>
  <c r="Z98" i="1" s="1"/>
  <c r="AL96" i="1"/>
  <c r="AJ96" i="1"/>
  <c r="Z96" i="1" s="1"/>
  <c r="AL142" i="1"/>
  <c r="AJ142" i="1"/>
  <c r="Z142" i="1" s="1"/>
  <c r="AJ78" i="1"/>
  <c r="Z78" i="1" s="1"/>
  <c r="AL78" i="1"/>
  <c r="AL374" i="1"/>
  <c r="AJ374" i="1"/>
  <c r="Z374" i="1" s="1"/>
  <c r="AJ133" i="1"/>
  <c r="Z133" i="1" s="1"/>
  <c r="AL133" i="1"/>
  <c r="AJ144" i="1"/>
  <c r="Z144" i="1" s="1"/>
  <c r="AL144" i="1"/>
  <c r="AL219" i="1"/>
  <c r="AJ219" i="1"/>
  <c r="Z219" i="1" s="1"/>
  <c r="AL177" i="1"/>
  <c r="AJ177" i="1"/>
  <c r="Z177" i="1" s="1"/>
  <c r="Z272" i="1"/>
  <c r="M59" i="71"/>
  <c r="O59" i="71" s="1"/>
  <c r="P59" i="71" s="1"/>
  <c r="AL395" i="1"/>
  <c r="AJ395" i="1"/>
  <c r="Z395" i="1" s="1"/>
  <c r="AJ340" i="1"/>
  <c r="Z340" i="1" s="1"/>
  <c r="AL340" i="1"/>
  <c r="AJ76" i="1"/>
  <c r="Z76" i="1" s="1"/>
  <c r="AL76" i="1"/>
  <c r="AL66" i="1"/>
  <c r="AJ66" i="1"/>
  <c r="Z66" i="1" s="1"/>
  <c r="AL298" i="1"/>
  <c r="AJ298" i="1"/>
  <c r="Z298" i="1" s="1"/>
  <c r="AL297" i="1"/>
  <c r="AJ297" i="1"/>
  <c r="Z297" i="1" s="1"/>
  <c r="AL249" i="1"/>
  <c r="AJ249" i="1"/>
  <c r="Z249" i="1" s="1"/>
  <c r="AL401" i="1"/>
  <c r="AJ401" i="1"/>
  <c r="Z401" i="1" s="1"/>
  <c r="AL325" i="1"/>
  <c r="AJ325" i="1"/>
  <c r="Z325" i="1" s="1"/>
  <c r="AL59" i="1"/>
  <c r="AJ59" i="1"/>
  <c r="Z59" i="1" s="1"/>
  <c r="AL329" i="1"/>
  <c r="AJ329" i="1"/>
  <c r="Z329" i="1" s="1"/>
  <c r="AJ234" i="1"/>
  <c r="Z234" i="1" s="1"/>
  <c r="AL234" i="1"/>
  <c r="AL137" i="1"/>
  <c r="AJ137" i="1"/>
  <c r="Z137" i="1" s="1"/>
  <c r="AL135" i="1"/>
  <c r="AJ135" i="1"/>
  <c r="Z135" i="1" s="1"/>
  <c r="AL264" i="1"/>
  <c r="AJ264" i="1"/>
  <c r="Z264" i="1" s="1"/>
  <c r="AJ117" i="1"/>
  <c r="Z117" i="1" s="1"/>
  <c r="AL117" i="1"/>
  <c r="AL276" i="1"/>
  <c r="AJ276" i="1"/>
  <c r="Z276" i="1" s="1"/>
  <c r="AJ160" i="1"/>
  <c r="Z160" i="1" s="1"/>
  <c r="AL160" i="1"/>
  <c r="AL331" i="1"/>
  <c r="AJ331" i="1"/>
  <c r="Z331" i="1" s="1"/>
  <c r="AL185" i="1"/>
  <c r="AJ185" i="1"/>
  <c r="Z185" i="1" s="1"/>
  <c r="AL159" i="1"/>
  <c r="AJ159" i="1"/>
  <c r="Z159" i="1" s="1"/>
  <c r="AL206" i="1"/>
  <c r="AJ206" i="1"/>
  <c r="Z206" i="1" s="1"/>
  <c r="AL267" i="1"/>
  <c r="AJ267" i="1"/>
  <c r="Z267" i="1" s="1"/>
  <c r="AJ73" i="1"/>
  <c r="Z73" i="1" s="1"/>
  <c r="AL73" i="1"/>
  <c r="AJ22" i="1"/>
  <c r="Z22" i="1" s="1"/>
  <c r="AL286" i="1"/>
  <c r="AJ286" i="1"/>
  <c r="Z286" i="1" s="1"/>
  <c r="AL333" i="1"/>
  <c r="AJ333" i="1"/>
  <c r="Z333" i="1" s="1"/>
  <c r="AL347" i="1"/>
  <c r="AJ347" i="1"/>
  <c r="Z347" i="1" s="1"/>
  <c r="AL409" i="1"/>
  <c r="AJ409" i="1"/>
  <c r="Z409" i="1" s="1"/>
  <c r="AJ112" i="1"/>
  <c r="Z112" i="1" s="1"/>
  <c r="AL112" i="1"/>
  <c r="AL378" i="1"/>
  <c r="AJ378" i="1"/>
  <c r="Z378" i="1" s="1"/>
  <c r="AJ311" i="1"/>
  <c r="Z311" i="1" s="1"/>
  <c r="AL311" i="1"/>
  <c r="AJ165" i="1"/>
  <c r="Z165" i="1" s="1"/>
  <c r="AL165" i="1"/>
  <c r="AL147" i="1"/>
  <c r="AJ147" i="1"/>
  <c r="Z147" i="1" s="1"/>
  <c r="AL193" i="1"/>
  <c r="AJ193" i="1"/>
  <c r="Z193" i="1" s="1"/>
  <c r="AL191" i="1"/>
  <c r="AJ191" i="1"/>
  <c r="Z191" i="1" s="1"/>
  <c r="AL280" i="1"/>
  <c r="AJ280" i="1"/>
  <c r="Z280" i="1" s="1"/>
  <c r="AL349" i="1"/>
  <c r="AJ349" i="1"/>
  <c r="Z349" i="1" s="1"/>
  <c r="AL392" i="1"/>
  <c r="AJ392" i="1"/>
  <c r="Z392" i="1" s="1"/>
  <c r="AL394" i="1"/>
  <c r="AJ394" i="1"/>
  <c r="Z394" i="1" s="1"/>
  <c r="AL67" i="1"/>
  <c r="AJ67" i="1"/>
  <c r="Z67" i="1" s="1"/>
  <c r="AJ314" i="1"/>
  <c r="Z314" i="1" s="1"/>
  <c r="AL314" i="1"/>
  <c r="AL290" i="1"/>
  <c r="AJ290" i="1"/>
  <c r="Z290" i="1" s="1"/>
  <c r="AL305" i="1"/>
  <c r="AJ305" i="1"/>
  <c r="Z305" i="1" s="1"/>
  <c r="AL250" i="1"/>
  <c r="AJ250" i="1"/>
  <c r="Z250" i="1" s="1"/>
  <c r="AL55" i="1"/>
  <c r="AJ55" i="1"/>
  <c r="Z55" i="1" s="1"/>
  <c r="AL94" i="1"/>
  <c r="AJ94" i="1"/>
  <c r="Z94" i="1" s="1"/>
  <c r="AJ186" i="1"/>
  <c r="Z186" i="1" s="1"/>
  <c r="AL186" i="1"/>
  <c r="AJ224" i="1"/>
  <c r="Z224" i="1" s="1"/>
  <c r="AL224" i="1"/>
  <c r="AL230" i="1"/>
  <c r="AJ230" i="1"/>
  <c r="Z230" i="1" s="1"/>
  <c r="AL398" i="1"/>
  <c r="AJ398" i="1"/>
  <c r="Z398" i="1" s="1"/>
  <c r="AL115" i="1"/>
  <c r="AJ115" i="1"/>
  <c r="Z115" i="1" s="1"/>
  <c r="AL348" i="1"/>
  <c r="AJ348" i="1"/>
  <c r="Z348" i="1" s="1"/>
  <c r="AL355" i="1"/>
  <c r="AJ355" i="1"/>
  <c r="Z355" i="1" s="1"/>
  <c r="AJ399" i="1"/>
  <c r="Z399" i="1" s="1"/>
  <c r="AL399" i="1"/>
  <c r="AL211" i="1"/>
  <c r="AJ211" i="1"/>
  <c r="Z211" i="1" s="1"/>
  <c r="AL216" i="1"/>
  <c r="AJ216" i="1"/>
  <c r="Z216" i="1" s="1"/>
  <c r="AL301" i="1"/>
  <c r="AJ301" i="1"/>
  <c r="Z301" i="1" s="1"/>
  <c r="AL403" i="1"/>
  <c r="AJ403" i="1"/>
  <c r="Z403" i="1" s="1"/>
  <c r="AL411" i="1"/>
  <c r="AJ411" i="1"/>
  <c r="Z411" i="1" s="1"/>
  <c r="AL222" i="1"/>
  <c r="AJ222" i="1"/>
  <c r="Z222" i="1" s="1"/>
  <c r="AJ293" i="1"/>
  <c r="Z293" i="1" s="1"/>
  <c r="AL293" i="1"/>
  <c r="AL299" i="1"/>
  <c r="AJ299" i="1"/>
  <c r="Z299" i="1" s="1"/>
  <c r="AL385" i="1"/>
  <c r="AJ385" i="1"/>
  <c r="Z385" i="1" s="1"/>
  <c r="AL57" i="1"/>
  <c r="AJ57" i="1"/>
  <c r="Z57" i="1" s="1"/>
  <c r="AL310" i="1"/>
  <c r="AJ310" i="1"/>
  <c r="Z310" i="1" s="1"/>
  <c r="AL64" i="1"/>
  <c r="AJ64" i="1"/>
  <c r="Z64" i="1" s="1"/>
  <c r="AL79" i="1"/>
  <c r="AJ79" i="1"/>
  <c r="Z79" i="1" s="1"/>
  <c r="AL157" i="1"/>
  <c r="AJ157" i="1"/>
  <c r="Z157" i="1" s="1"/>
  <c r="AL107" i="1"/>
  <c r="AJ107" i="1"/>
  <c r="Z107" i="1" s="1"/>
  <c r="AL153" i="1"/>
  <c r="AJ153" i="1"/>
  <c r="Z153" i="1" s="1"/>
  <c r="AJ183" i="1"/>
  <c r="Z183" i="1" s="1"/>
  <c r="AL183" i="1"/>
  <c r="AL390" i="1"/>
  <c r="AJ390" i="1"/>
  <c r="Z390" i="1" s="1"/>
  <c r="AL141" i="1"/>
  <c r="AJ141" i="1"/>
  <c r="Z141" i="1" s="1"/>
  <c r="AL391" i="1"/>
  <c r="AJ391" i="1"/>
  <c r="Z391" i="1" s="1"/>
  <c r="AL326" i="1"/>
  <c r="AJ326" i="1"/>
  <c r="Z326" i="1" s="1"/>
  <c r="AL393" i="1"/>
  <c r="AJ393" i="1"/>
  <c r="Z393" i="1" s="1"/>
  <c r="AJ229" i="1"/>
  <c r="Z229" i="1" s="1"/>
  <c r="AL229" i="1"/>
  <c r="AL63" i="1"/>
  <c r="AJ63" i="1"/>
  <c r="Z63" i="1" s="1"/>
  <c r="AJ304" i="1"/>
  <c r="Z304" i="1" s="1"/>
  <c r="AL304" i="1"/>
  <c r="AL134" i="1"/>
  <c r="AJ134" i="1"/>
  <c r="Z134" i="1" s="1"/>
  <c r="AL158" i="1"/>
  <c r="AJ158" i="1"/>
  <c r="Z158" i="1" s="1"/>
  <c r="AJ54" i="1"/>
  <c r="Z54" i="1" s="1"/>
  <c r="AL54" i="1"/>
  <c r="AL178" i="1"/>
  <c r="AJ178" i="1"/>
  <c r="Z178" i="1" s="1"/>
  <c r="AJ176" i="1"/>
  <c r="Z176" i="1" s="1"/>
  <c r="AL176" i="1"/>
  <c r="AL116" i="1"/>
  <c r="AJ116" i="1"/>
  <c r="Z116" i="1" s="1"/>
  <c r="AL328" i="1"/>
  <c r="AJ328" i="1"/>
  <c r="Z328" i="1" s="1"/>
  <c r="AL114" i="1"/>
  <c r="AJ114" i="1"/>
  <c r="Z114" i="1" s="1"/>
  <c r="AL242" i="1"/>
  <c r="AJ242" i="1"/>
  <c r="Z242" i="1" s="1"/>
  <c r="AL146" i="1"/>
  <c r="AJ146" i="1"/>
  <c r="Z146" i="1" s="1"/>
  <c r="AJ231" i="1"/>
  <c r="Z231" i="1" s="1"/>
  <c r="AL231" i="1"/>
  <c r="AL203" i="1"/>
  <c r="AJ203" i="1"/>
  <c r="Z203" i="1" s="1"/>
  <c r="AJ208" i="1"/>
  <c r="Z208" i="1" s="1"/>
  <c r="AL208" i="1"/>
  <c r="AL124" i="1"/>
  <c r="AJ124" i="1"/>
  <c r="Z124" i="1" s="1"/>
  <c r="AL397" i="1"/>
  <c r="AJ397" i="1"/>
  <c r="Z397" i="1" s="1"/>
  <c r="AL334" i="1"/>
  <c r="AJ334" i="1"/>
  <c r="Z334" i="1" s="1"/>
  <c r="AL404" i="1"/>
  <c r="AJ404" i="1"/>
  <c r="Z404" i="1" s="1"/>
  <c r="AL285" i="1"/>
  <c r="AJ285" i="1"/>
  <c r="Z285" i="1" s="1"/>
  <c r="AL291" i="1"/>
  <c r="AJ291" i="1"/>
  <c r="Z291" i="1" s="1"/>
  <c r="AL353" i="1"/>
  <c r="AJ353" i="1"/>
  <c r="Z353" i="1" s="1"/>
  <c r="AJ335" i="1"/>
  <c r="Z335" i="1" s="1"/>
  <c r="AL335" i="1"/>
  <c r="AL86" i="1"/>
  <c r="AJ86" i="1"/>
  <c r="Z86" i="1" s="1"/>
  <c r="AL125" i="1"/>
  <c r="AJ125" i="1"/>
  <c r="Z125" i="1" s="1"/>
  <c r="AL372" i="1"/>
  <c r="AJ372" i="1"/>
  <c r="Z372" i="1" s="1"/>
  <c r="AJ149" i="1"/>
  <c r="Z149" i="1" s="1"/>
  <c r="AL149" i="1"/>
  <c r="AL84" i="1"/>
  <c r="AJ84" i="1"/>
  <c r="Z84" i="1" s="1"/>
  <c r="AL360" i="1"/>
  <c r="AJ360" i="1"/>
  <c r="Z360" i="1" s="1"/>
  <c r="AL260" i="1"/>
  <c r="AJ260" i="1"/>
  <c r="Z260" i="1" s="1"/>
  <c r="AJ388" i="1"/>
  <c r="Z388" i="1" s="1"/>
  <c r="AL388" i="1"/>
  <c r="AL77" i="1"/>
  <c r="AJ77" i="1"/>
  <c r="Z77" i="1" s="1"/>
  <c r="AL151" i="1"/>
  <c r="AJ151" i="1"/>
  <c r="Z151" i="1" s="1"/>
  <c r="AL284" i="1"/>
  <c r="AJ284" i="1"/>
  <c r="Z284" i="1" s="1"/>
  <c r="AL248" i="1"/>
  <c r="AJ248" i="1"/>
  <c r="Z248" i="1" s="1"/>
  <c r="AL132" i="1"/>
  <c r="AJ132" i="1"/>
  <c r="Z132" i="1" s="1"/>
  <c r="AL268" i="1"/>
  <c r="O238" i="166" s="1"/>
  <c r="AJ268" i="1"/>
  <c r="Z268" i="1" s="1"/>
  <c r="AL351" i="1"/>
  <c r="AJ351" i="1"/>
  <c r="Z351" i="1" s="1"/>
  <c r="AJ332" i="1"/>
  <c r="Z332" i="1" s="1"/>
  <c r="AL332" i="1"/>
  <c r="AL188" i="1"/>
  <c r="AJ188" i="1"/>
  <c r="Z188" i="1" s="1"/>
  <c r="AL140" i="1"/>
  <c r="AJ140" i="1"/>
  <c r="Z140" i="1" s="1"/>
  <c r="AJ138" i="1"/>
  <c r="Z138" i="1" s="1"/>
  <c r="AL138" i="1"/>
  <c r="AL136" i="1"/>
  <c r="AJ136" i="1"/>
  <c r="Z136" i="1" s="1"/>
  <c r="AJ343" i="1"/>
  <c r="Z343" i="1" s="1"/>
  <c r="AL343" i="1"/>
  <c r="AL270" i="1"/>
  <c r="O22" i="166" s="1"/>
  <c r="AJ270" i="1"/>
  <c r="Z270" i="1" s="1"/>
  <c r="AL241" i="1"/>
  <c r="AJ241" i="1"/>
  <c r="Z241" i="1" s="1"/>
  <c r="AL358" i="1"/>
  <c r="AJ358" i="1"/>
  <c r="Z358" i="1" s="1"/>
  <c r="AL91" i="1"/>
  <c r="AJ91" i="1"/>
  <c r="Z91" i="1" s="1"/>
  <c r="AL218" i="1"/>
  <c r="AJ218" i="1"/>
  <c r="Z218" i="1" s="1"/>
  <c r="AL210" i="1"/>
  <c r="AJ210" i="1"/>
  <c r="Z210" i="1" s="1"/>
  <c r="AL184" i="1"/>
  <c r="AJ184" i="1"/>
  <c r="Z184" i="1" s="1"/>
  <c r="AL196" i="1"/>
  <c r="AJ196" i="1"/>
  <c r="Z196" i="1" s="1"/>
  <c r="AL243" i="1"/>
  <c r="AJ243" i="1"/>
  <c r="Z243" i="1" s="1"/>
  <c r="AL228" i="1"/>
  <c r="AJ228" i="1"/>
  <c r="Z228" i="1" s="1"/>
  <c r="AL238" i="1"/>
  <c r="AJ238" i="1"/>
  <c r="Z238" i="1" s="1"/>
  <c r="AL253" i="1"/>
  <c r="AJ253" i="1"/>
  <c r="Z253" i="1" s="1"/>
  <c r="AL275" i="1"/>
  <c r="AJ275" i="1"/>
  <c r="Z275" i="1" s="1"/>
  <c r="AL281" i="1"/>
  <c r="AJ281" i="1"/>
  <c r="Z281" i="1" s="1"/>
  <c r="AL287" i="1"/>
  <c r="AJ287" i="1"/>
  <c r="Z287" i="1" s="1"/>
  <c r="AL68" i="1"/>
  <c r="AJ68" i="1"/>
  <c r="Z68" i="1" s="1"/>
  <c r="AL227" i="1"/>
  <c r="AJ227" i="1"/>
  <c r="Z227" i="1" s="1"/>
  <c r="AL370" i="1"/>
  <c r="AJ370" i="1"/>
  <c r="Z370" i="1" s="1"/>
  <c r="AJ61" i="1"/>
  <c r="Z61" i="1" s="1"/>
  <c r="AL61" i="1"/>
  <c r="AL154" i="1"/>
  <c r="AJ154" i="1"/>
  <c r="Z154" i="1" s="1"/>
  <c r="AL312" i="1"/>
  <c r="AJ312" i="1"/>
  <c r="Z312" i="1" s="1"/>
  <c r="AL236" i="1"/>
  <c r="AJ236" i="1"/>
  <c r="Z236" i="1" s="1"/>
  <c r="AL274" i="1"/>
  <c r="AJ274" i="1"/>
  <c r="Z274" i="1" s="1"/>
  <c r="AL69" i="1"/>
  <c r="AJ69" i="1"/>
  <c r="Z69" i="1" s="1"/>
  <c r="AL143" i="1"/>
  <c r="AJ143" i="1"/>
  <c r="Z143" i="1" s="1"/>
  <c r="AL387" i="1"/>
  <c r="AJ387" i="1"/>
  <c r="Z387" i="1" s="1"/>
  <c r="AL327" i="1"/>
  <c r="AJ327" i="1"/>
  <c r="Z327" i="1" s="1"/>
  <c r="AJ407" i="1"/>
  <c r="Z407" i="1" s="1"/>
  <c r="AL407" i="1"/>
  <c r="AL303" i="1"/>
  <c r="AJ303" i="1"/>
  <c r="Z303" i="1" s="1"/>
  <c r="AL246" i="1"/>
  <c r="AJ246" i="1"/>
  <c r="Z246" i="1" s="1"/>
  <c r="AL156" i="1"/>
  <c r="AJ156" i="1"/>
  <c r="Z156" i="1" s="1"/>
  <c r="AL99" i="1"/>
  <c r="AJ99" i="1"/>
  <c r="Z99" i="1" s="1"/>
  <c r="AJ97" i="1"/>
  <c r="Z97" i="1" s="1"/>
  <c r="AL97" i="1"/>
  <c r="AJ266" i="1"/>
  <c r="Z266" i="1" s="1"/>
  <c r="AL266" i="1"/>
  <c r="AJ330" i="1"/>
  <c r="Z330" i="1" s="1"/>
  <c r="AL330" i="1"/>
  <c r="AJ319" i="1"/>
  <c r="Z319" i="1" s="1"/>
  <c r="AL319" i="1"/>
  <c r="AJ402" i="1"/>
  <c r="Z402" i="1" s="1"/>
  <c r="AL402" i="1"/>
  <c r="AL345" i="1"/>
  <c r="AJ345" i="1"/>
  <c r="Z345" i="1" s="1"/>
  <c r="AJ213" i="1"/>
  <c r="Z213" i="1" s="1"/>
  <c r="AL213" i="1"/>
  <c r="AJ202" i="1"/>
  <c r="Z202" i="1" s="1"/>
  <c r="AL202" i="1"/>
  <c r="AL239" i="1"/>
  <c r="AJ239" i="1"/>
  <c r="Z239" i="1" s="1"/>
  <c r="AL180" i="1"/>
  <c r="AJ180" i="1"/>
  <c r="Z180" i="1" s="1"/>
  <c r="AL194" i="1"/>
  <c r="AJ194" i="1"/>
  <c r="Z194" i="1" s="1"/>
  <c r="AL71" i="1"/>
  <c r="AJ71" i="1"/>
  <c r="Z71" i="1" s="1"/>
  <c r="AL342" i="1"/>
  <c r="AJ342" i="1"/>
  <c r="Z342" i="1" s="1"/>
  <c r="AJ101" i="1"/>
  <c r="Z101" i="1" s="1"/>
  <c r="AL101" i="1"/>
  <c r="AL259" i="1"/>
  <c r="AJ259" i="1"/>
  <c r="Z259" i="1" s="1"/>
  <c r="AL217" i="1"/>
  <c r="AJ217" i="1"/>
  <c r="Z217" i="1" s="1"/>
  <c r="AL279" i="1"/>
  <c r="AJ279" i="1"/>
  <c r="Z279" i="1" s="1"/>
  <c r="AL313" i="1"/>
  <c r="AJ313" i="1"/>
  <c r="Z313" i="1" s="1"/>
  <c r="AL129" i="1"/>
  <c r="AJ129" i="1"/>
  <c r="Z129" i="1" s="1"/>
  <c r="AL220" i="1"/>
  <c r="AJ220" i="1"/>
  <c r="Z220" i="1" s="1"/>
  <c r="AL363" i="1"/>
  <c r="AJ363" i="1"/>
  <c r="Z363" i="1" s="1"/>
  <c r="AL83" i="1"/>
  <c r="AJ83" i="1"/>
  <c r="Z83" i="1" s="1"/>
  <c r="AL104" i="1"/>
  <c r="AJ104" i="1"/>
  <c r="Z104" i="1" s="1"/>
  <c r="AL87" i="1"/>
  <c r="AJ87" i="1"/>
  <c r="Z87" i="1" s="1"/>
  <c r="AJ322" i="1"/>
  <c r="Z322" i="1" s="1"/>
  <c r="AL322" i="1"/>
  <c r="AL323" i="1"/>
  <c r="AJ323" i="1"/>
  <c r="Z323" i="1" s="1"/>
  <c r="AL111" i="1"/>
  <c r="AJ111" i="1"/>
  <c r="Z111" i="1" s="1"/>
  <c r="AJ324" i="1"/>
  <c r="Z324" i="1" s="1"/>
  <c r="AL324" i="1"/>
  <c r="AL118" i="1"/>
  <c r="AJ118" i="1"/>
  <c r="Z118" i="1" s="1"/>
  <c r="AL223" i="1"/>
  <c r="AJ223" i="1"/>
  <c r="Z223" i="1" s="1"/>
  <c r="AL269" i="1"/>
  <c r="O12" i="166" s="1"/>
  <c r="AJ269" i="1"/>
  <c r="Z269" i="1" s="1"/>
  <c r="AJ181" i="1"/>
  <c r="Z181" i="1" s="1"/>
  <c r="AL181" i="1"/>
  <c r="AL166" i="1"/>
  <c r="AJ166" i="1"/>
  <c r="Z166" i="1" s="1"/>
  <c r="AL102" i="1"/>
  <c r="AJ102" i="1"/>
  <c r="Z102" i="1" s="1"/>
  <c r="AL53" i="1"/>
  <c r="AJ53" i="1"/>
  <c r="Z53" i="1" s="1"/>
  <c r="AL225" i="1"/>
  <c r="AJ225" i="1"/>
  <c r="Z225" i="1" s="1"/>
  <c r="AJ247" i="1"/>
  <c r="Z247" i="1" s="1"/>
  <c r="AL247" i="1"/>
  <c r="AJ261" i="1"/>
  <c r="Z261" i="1" s="1"/>
  <c r="AL261" i="1"/>
  <c r="AL308" i="1"/>
  <c r="AJ308" i="1"/>
  <c r="Z308" i="1" s="1"/>
  <c r="AL273" i="1"/>
  <c r="AJ273" i="1"/>
  <c r="Z273" i="1" s="1"/>
  <c r="AL278" i="1"/>
  <c r="AJ278" i="1"/>
  <c r="Z278" i="1" s="1"/>
  <c r="AL145" i="1"/>
  <c r="AJ145" i="1"/>
  <c r="Z145" i="1" s="1"/>
  <c r="AL205" i="1"/>
  <c r="AJ205" i="1"/>
  <c r="Z205" i="1" s="1"/>
  <c r="AL209" i="1"/>
  <c r="AJ209" i="1"/>
  <c r="Z209" i="1" s="1"/>
  <c r="AL207" i="1"/>
  <c r="AJ207" i="1"/>
  <c r="Z207" i="1" s="1"/>
  <c r="AJ197" i="1"/>
  <c r="Z197" i="1" s="1"/>
  <c r="AL197" i="1"/>
  <c r="AL65" i="1"/>
  <c r="AJ65" i="1"/>
  <c r="Z65" i="1" s="1"/>
  <c r="AL226" i="1"/>
  <c r="AJ226" i="1"/>
  <c r="Z226" i="1" s="1"/>
  <c r="AL62" i="1"/>
  <c r="AJ62" i="1"/>
  <c r="Z62" i="1" s="1"/>
  <c r="AL352" i="1"/>
  <c r="AJ352" i="1"/>
  <c r="Z352" i="1" s="1"/>
  <c r="AL56" i="1"/>
  <c r="AJ56" i="1"/>
  <c r="Z56" i="1" s="1"/>
  <c r="AL171" i="1"/>
  <c r="AJ171" i="1"/>
  <c r="Z171" i="1" s="1"/>
  <c r="AJ375" i="1"/>
  <c r="Z375" i="1" s="1"/>
  <c r="AL375" i="1"/>
  <c r="AL405" i="1"/>
  <c r="AJ405" i="1"/>
  <c r="Z405" i="1" s="1"/>
  <c r="AJ119" i="1"/>
  <c r="Z119" i="1" s="1"/>
  <c r="AL119" i="1"/>
  <c r="AL85" i="1"/>
  <c r="AJ85" i="1"/>
  <c r="Z85" i="1" s="1"/>
  <c r="AL306" i="1"/>
  <c r="AJ306" i="1"/>
  <c r="Z306" i="1" s="1"/>
  <c r="AL406" i="1"/>
  <c r="AJ406" i="1"/>
  <c r="Z406" i="1" s="1"/>
  <c r="AL139" i="1"/>
  <c r="AJ139" i="1"/>
  <c r="Z139" i="1" s="1"/>
  <c r="AL204" i="1"/>
  <c r="AJ204" i="1"/>
  <c r="Z204" i="1" s="1"/>
  <c r="AL254" i="1"/>
  <c r="AJ254" i="1"/>
  <c r="Z254" i="1" s="1"/>
  <c r="AL29" i="1"/>
  <c r="AL262" i="1"/>
  <c r="AJ262" i="1"/>
  <c r="Z262" i="1" s="1"/>
  <c r="AL255" i="1"/>
  <c r="AJ255" i="1"/>
  <c r="Z255" i="1" s="1"/>
  <c r="AL82" i="1"/>
  <c r="AJ82" i="1"/>
  <c r="Z82" i="1" s="1"/>
  <c r="AJ410" i="1"/>
  <c r="Z410" i="1" s="1"/>
  <c r="AL410" i="1"/>
  <c r="AL258" i="1"/>
  <c r="AJ258" i="1"/>
  <c r="Z258" i="1" s="1"/>
  <c r="AL70" i="1"/>
  <c r="AJ70" i="1"/>
  <c r="Z70" i="1" s="1"/>
  <c r="AL195" i="1"/>
  <c r="AJ195" i="1"/>
  <c r="Z195" i="1" s="1"/>
  <c r="AL113" i="1"/>
  <c r="AJ113" i="1"/>
  <c r="Z113" i="1" s="1"/>
  <c r="AL88" i="1"/>
  <c r="AJ88" i="1"/>
  <c r="Z88" i="1" s="1"/>
  <c r="AL169" i="1"/>
  <c r="AJ169" i="1"/>
  <c r="Z169" i="1" s="1"/>
  <c r="AL408" i="1"/>
  <c r="AJ408" i="1"/>
  <c r="Z408" i="1" s="1"/>
  <c r="AL190" i="1"/>
  <c r="AJ190" i="1"/>
  <c r="Z190" i="1" s="1"/>
  <c r="AL235" i="1"/>
  <c r="AJ235" i="1"/>
  <c r="Z235" i="1" s="1"/>
  <c r="AL361" i="1"/>
  <c r="AJ361" i="1"/>
  <c r="Z361" i="1" s="1"/>
  <c r="AJ383" i="1"/>
  <c r="Z383" i="1" s="1"/>
  <c r="AL383" i="1"/>
  <c r="AL75" i="1"/>
  <c r="AJ75" i="1"/>
  <c r="Z75" i="1" s="1"/>
  <c r="AL382" i="1"/>
  <c r="AJ382" i="1"/>
  <c r="Z382" i="1" s="1"/>
  <c r="AL307" i="1"/>
  <c r="AJ307" i="1"/>
  <c r="Z307" i="1" s="1"/>
  <c r="AL81" i="1"/>
  <c r="AJ81" i="1"/>
  <c r="Z81" i="1" s="1"/>
  <c r="AL381" i="1"/>
  <c r="AJ381" i="1"/>
  <c r="Z381" i="1" s="1"/>
  <c r="AL294" i="1"/>
  <c r="AJ294" i="1"/>
  <c r="Z294" i="1" s="1"/>
  <c r="AJ338" i="1"/>
  <c r="Z338" i="1" s="1"/>
  <c r="AL338" i="1"/>
  <c r="AL283" i="1"/>
  <c r="AJ283" i="1"/>
  <c r="Z283" i="1" s="1"/>
  <c r="AL174" i="1"/>
  <c r="AJ174" i="1"/>
  <c r="Z174" i="1" s="1"/>
  <c r="AL95" i="1"/>
  <c r="AJ95" i="1"/>
  <c r="Z95" i="1" s="1"/>
  <c r="AL187" i="1"/>
  <c r="AJ187" i="1"/>
  <c r="Z187" i="1" s="1"/>
  <c r="AL161" i="1"/>
  <c r="AJ161" i="1"/>
  <c r="Z161" i="1" s="1"/>
  <c r="AL215" i="1"/>
  <c r="AJ215" i="1"/>
  <c r="Z215" i="1" s="1"/>
  <c r="AL265" i="1"/>
  <c r="AJ265" i="1"/>
  <c r="Z265" i="1" s="1"/>
  <c r="AJ309" i="1"/>
  <c r="Z309" i="1" s="1"/>
  <c r="AL309" i="1"/>
  <c r="AL150" i="1"/>
  <c r="AJ150" i="1"/>
  <c r="Z150" i="1" s="1"/>
  <c r="AL105" i="1"/>
  <c r="AJ105" i="1"/>
  <c r="Z105" i="1" s="1"/>
  <c r="AL379" i="1"/>
  <c r="AJ379" i="1"/>
  <c r="Z379" i="1" s="1"/>
  <c r="AL201" i="1"/>
  <c r="AJ201" i="1"/>
  <c r="Z201" i="1" s="1"/>
  <c r="AL175" i="1"/>
  <c r="AJ175" i="1"/>
  <c r="Z175" i="1" s="1"/>
  <c r="AL173" i="1"/>
  <c r="AJ173" i="1"/>
  <c r="Z173" i="1" s="1"/>
  <c r="AL72" i="1"/>
  <c r="AJ72" i="1"/>
  <c r="Z72" i="1" s="1"/>
  <c r="AL6" i="1"/>
  <c r="AJ30" i="1"/>
  <c r="N28" i="71"/>
  <c r="N60" i="71"/>
  <c r="N56" i="71"/>
  <c r="AJ11" i="1"/>
  <c r="AL11" i="1"/>
  <c r="AJ44" i="1"/>
  <c r="AL44" i="1"/>
  <c r="AK40" i="1"/>
  <c r="AM40" i="1"/>
  <c r="AJ37" i="1"/>
  <c r="AL37" i="1"/>
  <c r="AK11" i="1"/>
  <c r="AM11" i="1"/>
  <c r="AJ50" i="1"/>
  <c r="AL50" i="1"/>
  <c r="AK23" i="1"/>
  <c r="AM23" i="1"/>
  <c r="AJ28" i="1"/>
  <c r="AL28" i="1"/>
  <c r="AK29" i="1"/>
  <c r="AM29" i="1"/>
  <c r="AJ23" i="1"/>
  <c r="AL23" i="1"/>
  <c r="AJ8" i="1"/>
  <c r="AL8" i="1"/>
  <c r="AJ41" i="1"/>
  <c r="AL41" i="1"/>
  <c r="AJ52" i="1"/>
  <c r="AL52" i="1"/>
  <c r="AJ24" i="1"/>
  <c r="Z24" i="1" s="1"/>
  <c r="AL24" i="1"/>
  <c r="AK47" i="1"/>
  <c r="AM47" i="1"/>
  <c r="AK14" i="1"/>
  <c r="AJ21" i="1"/>
  <c r="AL21" i="1"/>
  <c r="AK43" i="1"/>
  <c r="AM43" i="1"/>
  <c r="AK25" i="1"/>
  <c r="AM25" i="1"/>
  <c r="AK9" i="1"/>
  <c r="AM9" i="1"/>
  <c r="AK31" i="1"/>
  <c r="AM31" i="1"/>
  <c r="AK41" i="1"/>
  <c r="AM41" i="1"/>
  <c r="AJ43" i="1"/>
  <c r="AL43" i="1"/>
  <c r="AJ42" i="1"/>
  <c r="AL42" i="1"/>
  <c r="AJ18" i="1"/>
  <c r="AL18" i="1"/>
  <c r="AJ32" i="1"/>
  <c r="AL32" i="1"/>
  <c r="AJ38" i="1"/>
  <c r="AL38" i="1"/>
  <c r="AK12" i="1"/>
  <c r="AM12" i="1"/>
  <c r="AK30" i="1"/>
  <c r="AM30" i="1"/>
  <c r="AK34" i="1"/>
  <c r="N14" i="71" s="1"/>
  <c r="AM34" i="1"/>
  <c r="N339" i="166" s="1"/>
  <c r="AJ49" i="1"/>
  <c r="AL49" i="1"/>
  <c r="AJ25" i="1"/>
  <c r="AL25" i="1"/>
  <c r="AK32" i="1"/>
  <c r="AM32" i="1"/>
  <c r="AJ14" i="1"/>
  <c r="AL14" i="1"/>
  <c r="AJ15" i="1"/>
  <c r="AL15" i="1"/>
  <c r="AJ40" i="1"/>
  <c r="AL40" i="1"/>
  <c r="AK10" i="1"/>
  <c r="AM10" i="1"/>
  <c r="AM316" i="1" l="1"/>
  <c r="AK169" i="1"/>
  <c r="AA169" i="1" s="1"/>
  <c r="AM44" i="1"/>
  <c r="N262" i="166" s="1"/>
  <c r="AK222" i="1"/>
  <c r="AA222" i="1" s="1"/>
  <c r="AM411" i="1"/>
  <c r="AK281" i="1"/>
  <c r="AA281" i="1" s="1"/>
  <c r="AM274" i="1"/>
  <c r="N217" i="166" s="1"/>
  <c r="AK108" i="1"/>
  <c r="AA108" i="1" s="1"/>
  <c r="AM243" i="1"/>
  <c r="N172" i="166" s="1"/>
  <c r="AK168" i="1"/>
  <c r="AA168" i="1" s="1"/>
  <c r="AM105" i="1"/>
  <c r="AM279" i="1"/>
  <c r="AM7" i="1"/>
  <c r="AK234" i="1"/>
  <c r="AA234" i="1" s="1"/>
  <c r="AK7" i="1"/>
  <c r="AA7" i="1" s="1"/>
  <c r="AM406" i="1"/>
  <c r="N120" i="166" s="1"/>
  <c r="AM108" i="1"/>
  <c r="N286" i="166" s="1"/>
  <c r="AM56" i="1"/>
  <c r="AM299" i="1"/>
  <c r="N263" i="166" s="1"/>
  <c r="AK56" i="1"/>
  <c r="AA56" i="1" s="1"/>
  <c r="AM295" i="1"/>
  <c r="AM148" i="1"/>
  <c r="AM152" i="1"/>
  <c r="N258" i="166" s="1"/>
  <c r="AM101" i="1"/>
  <c r="N290" i="166" s="1"/>
  <c r="AM96" i="1"/>
  <c r="AK364" i="1"/>
  <c r="AA364" i="1" s="1"/>
  <c r="AK276" i="1"/>
  <c r="AA276" i="1" s="1"/>
  <c r="AK152" i="1"/>
  <c r="AA152" i="1" s="1"/>
  <c r="AK139" i="1"/>
  <c r="AA139" i="1" s="1"/>
  <c r="AK357" i="1"/>
  <c r="AA357" i="1" s="1"/>
  <c r="AK304" i="1"/>
  <c r="AA304" i="1" s="1"/>
  <c r="AM308" i="1"/>
  <c r="AK54" i="1"/>
  <c r="AA54" i="1" s="1"/>
  <c r="AM57" i="1"/>
  <c r="AM77" i="1"/>
  <c r="AM340" i="1"/>
  <c r="AM37" i="1"/>
  <c r="N19" i="166" s="1"/>
  <c r="AK52" i="1"/>
  <c r="AM252" i="1"/>
  <c r="N323" i="166" s="1"/>
  <c r="S205" i="166"/>
  <c r="AK182" i="1"/>
  <c r="AA182" i="1" s="1"/>
  <c r="AM28" i="1"/>
  <c r="AK97" i="1"/>
  <c r="AA97" i="1" s="1"/>
  <c r="AM182" i="1"/>
  <c r="N353" i="166" s="1"/>
  <c r="AM204" i="1"/>
  <c r="AM388" i="1"/>
  <c r="N226" i="166" s="1"/>
  <c r="AK33" i="1"/>
  <c r="AM246" i="1"/>
  <c r="N112" i="166" s="1"/>
  <c r="AK404" i="1"/>
  <c r="AA404" i="1" s="1"/>
  <c r="AM247" i="1"/>
  <c r="N105" i="166" s="1"/>
  <c r="AK38" i="1"/>
  <c r="AM353" i="1"/>
  <c r="AK238" i="1"/>
  <c r="AA238" i="1" s="1"/>
  <c r="AM404" i="1"/>
  <c r="N272" i="166" s="1"/>
  <c r="AK76" i="1"/>
  <c r="AA76" i="1" s="1"/>
  <c r="AM347" i="1"/>
  <c r="AK244" i="1"/>
  <c r="AA244" i="1" s="1"/>
  <c r="AM258" i="1"/>
  <c r="AM287" i="1"/>
  <c r="N265" i="166" s="1"/>
  <c r="AM304" i="1"/>
  <c r="N71" i="166" s="1"/>
  <c r="AK241" i="1"/>
  <c r="AA241" i="1" s="1"/>
  <c r="AM88" i="1"/>
  <c r="N284" i="166" s="1"/>
  <c r="AK308" i="1"/>
  <c r="AA308" i="1" s="1"/>
  <c r="AK316" i="1"/>
  <c r="AA316" i="1" s="1"/>
  <c r="AK243" i="1"/>
  <c r="AA243" i="1" s="1"/>
  <c r="AM174" i="1"/>
  <c r="N95" i="166" s="1"/>
  <c r="X205" i="166"/>
  <c r="AM113" i="1"/>
  <c r="N295" i="166" s="1"/>
  <c r="AK156" i="1"/>
  <c r="AA156" i="1" s="1"/>
  <c r="AK138" i="1"/>
  <c r="AA138" i="1" s="1"/>
  <c r="AM68" i="1"/>
  <c r="N146" i="166" s="1"/>
  <c r="AM36" i="1"/>
  <c r="N303" i="166" s="1"/>
  <c r="AK113" i="1"/>
  <c r="AA113" i="1" s="1"/>
  <c r="AK89" i="1"/>
  <c r="AA89" i="1" s="1"/>
  <c r="AM138" i="1"/>
  <c r="N121" i="166" s="1"/>
  <c r="AK158" i="1"/>
  <c r="AA158" i="1" s="1"/>
  <c r="AK95" i="1"/>
  <c r="AA95" i="1" s="1"/>
  <c r="AM16" i="1"/>
  <c r="N274" i="166" s="1"/>
  <c r="AK351" i="1"/>
  <c r="AA351" i="1" s="1"/>
  <c r="AM366" i="1"/>
  <c r="N354" i="166" s="1"/>
  <c r="AM115" i="1"/>
  <c r="AK367" i="1"/>
  <c r="AA367" i="1" s="1"/>
  <c r="AK250" i="1"/>
  <c r="AA250" i="1" s="1"/>
  <c r="AK279" i="1"/>
  <c r="AA279" i="1" s="1"/>
  <c r="AK44" i="1"/>
  <c r="AK17" i="1"/>
  <c r="AM99" i="1"/>
  <c r="N133" i="166" s="1"/>
  <c r="AM222" i="1"/>
  <c r="N273" i="166" s="1"/>
  <c r="AM357" i="1"/>
  <c r="N259" i="166" s="1"/>
  <c r="AK162" i="1"/>
  <c r="AA162" i="1" s="1"/>
  <c r="AM365" i="1"/>
  <c r="N346" i="166" s="1"/>
  <c r="AM21" i="1"/>
  <c r="AM103" i="1"/>
  <c r="N364" i="166" s="1"/>
  <c r="AM50" i="1"/>
  <c r="N124" i="166" s="1"/>
  <c r="AM49" i="1"/>
  <c r="AK36" i="1"/>
  <c r="AM8" i="1"/>
  <c r="N181" i="166" s="1"/>
  <c r="AM39" i="1"/>
  <c r="AM133" i="1"/>
  <c r="N194" i="166" s="1"/>
  <c r="AM281" i="1"/>
  <c r="N275" i="166" s="1"/>
  <c r="AK369" i="1"/>
  <c r="AA369" i="1" s="1"/>
  <c r="AM296" i="1"/>
  <c r="N333" i="166" s="1"/>
  <c r="AK411" i="1"/>
  <c r="AA411" i="1" s="1"/>
  <c r="AK103" i="1"/>
  <c r="AA103" i="1" s="1"/>
  <c r="AM410" i="1"/>
  <c r="N266" i="166" s="1"/>
  <c r="AM278" i="1"/>
  <c r="AK116" i="1"/>
  <c r="AA116" i="1" s="1"/>
  <c r="AM352" i="1"/>
  <c r="N277" i="166" s="1"/>
  <c r="AK111" i="1"/>
  <c r="AA111" i="1" s="1"/>
  <c r="AK240" i="1"/>
  <c r="AA240" i="1" s="1"/>
  <c r="AM221" i="1"/>
  <c r="N75" i="166" s="1"/>
  <c r="AK71" i="1"/>
  <c r="AA71" i="1" s="1"/>
  <c r="AK164" i="1"/>
  <c r="AA164" i="1" s="1"/>
  <c r="AK195" i="1"/>
  <c r="AA195" i="1" s="1"/>
  <c r="AK72" i="1"/>
  <c r="AA72" i="1" s="1"/>
  <c r="AK112" i="1"/>
  <c r="AA112" i="1" s="1"/>
  <c r="AK291" i="1"/>
  <c r="AA291" i="1" s="1"/>
  <c r="AK50" i="1"/>
  <c r="AK49" i="1"/>
  <c r="AA49" i="1" s="1"/>
  <c r="AK39" i="1"/>
  <c r="AA39" i="1" s="1"/>
  <c r="AM240" i="1"/>
  <c r="AK101" i="1"/>
  <c r="AA101" i="1" s="1"/>
  <c r="AM71" i="1"/>
  <c r="N298" i="166" s="1"/>
  <c r="AK151" i="1"/>
  <c r="AA151" i="1" s="1"/>
  <c r="AM291" i="1"/>
  <c r="N301" i="166" s="1"/>
  <c r="AM318" i="1"/>
  <c r="N337" i="166" s="1"/>
  <c r="AM409" i="1"/>
  <c r="N260" i="166" s="1"/>
  <c r="AK342" i="1"/>
  <c r="AA342" i="1" s="1"/>
  <c r="AK45" i="1"/>
  <c r="AK16" i="1"/>
  <c r="AA16" i="1" s="1"/>
  <c r="AK6" i="1"/>
  <c r="AA6" i="1" s="1"/>
  <c r="AM97" i="1"/>
  <c r="N130" i="166" s="1"/>
  <c r="AM72" i="1"/>
  <c r="N178" i="166" s="1"/>
  <c r="AM156" i="1"/>
  <c r="AM275" i="1"/>
  <c r="N281" i="166" s="1"/>
  <c r="AM351" i="1"/>
  <c r="N72" i="166" s="1"/>
  <c r="AK317" i="1"/>
  <c r="AA317" i="1" s="1"/>
  <c r="AK247" i="1"/>
  <c r="AA247" i="1" s="1"/>
  <c r="AM226" i="1"/>
  <c r="AM45" i="1"/>
  <c r="N335" i="166" s="1"/>
  <c r="AM6" i="1"/>
  <c r="AK15" i="1"/>
  <c r="AK392" i="1"/>
  <c r="AA392" i="1" s="1"/>
  <c r="AK333" i="1"/>
  <c r="AA333" i="1" s="1"/>
  <c r="AK344" i="1"/>
  <c r="AA344" i="1" s="1"/>
  <c r="AM384" i="1"/>
  <c r="N365" i="166" s="1"/>
  <c r="AM214" i="1"/>
  <c r="N372" i="166" s="1"/>
  <c r="AK233" i="1"/>
  <c r="AA233" i="1" s="1"/>
  <c r="AK347" i="1"/>
  <c r="AA347" i="1" s="1"/>
  <c r="AM333" i="1"/>
  <c r="N268" i="166" s="1"/>
  <c r="AM286" i="1"/>
  <c r="N285" i="166" s="1"/>
  <c r="AK345" i="1"/>
  <c r="AA345" i="1" s="1"/>
  <c r="AK28" i="1"/>
  <c r="AK136" i="1"/>
  <c r="AA136" i="1" s="1"/>
  <c r="AM76" i="1"/>
  <c r="N309" i="166" s="1"/>
  <c r="AK204" i="1"/>
  <c r="AA204" i="1" s="1"/>
  <c r="N306" i="166"/>
  <c r="N128" i="166"/>
  <c r="N363" i="166"/>
  <c r="U104" i="166"/>
  <c r="T104" i="166"/>
  <c r="N101" i="166"/>
  <c r="N359" i="166"/>
  <c r="N377" i="166"/>
  <c r="N131" i="166"/>
  <c r="N188" i="166"/>
  <c r="N148" i="166"/>
  <c r="N204" i="166"/>
  <c r="N312" i="166"/>
  <c r="N113" i="166"/>
  <c r="N352" i="166"/>
  <c r="N356" i="166"/>
  <c r="N199" i="166"/>
  <c r="N345" i="166"/>
  <c r="N149" i="166"/>
  <c r="N358" i="166"/>
  <c r="N254" i="166"/>
  <c r="N302" i="166"/>
  <c r="N22" i="166"/>
  <c r="P22" i="166" s="1"/>
  <c r="AN270" i="1" s="1"/>
  <c r="N401" i="166"/>
  <c r="N186" i="166"/>
  <c r="N362" i="166"/>
  <c r="N355" i="166"/>
  <c r="N187" i="166"/>
  <c r="U47" i="166"/>
  <c r="T47" i="166"/>
  <c r="U166" i="166"/>
  <c r="T166" i="166"/>
  <c r="U31" i="166"/>
  <c r="T31" i="166"/>
  <c r="U170" i="166"/>
  <c r="T170" i="166"/>
  <c r="U400" i="166"/>
  <c r="T400" i="166"/>
  <c r="U169" i="166"/>
  <c r="T169" i="166"/>
  <c r="T244" i="166"/>
  <c r="U244" i="166"/>
  <c r="U24" i="166"/>
  <c r="T24" i="166"/>
  <c r="U26" i="166"/>
  <c r="T26" i="166"/>
  <c r="T214" i="166"/>
  <c r="U214" i="166"/>
  <c r="U395" i="166"/>
  <c r="T395" i="166"/>
  <c r="U251" i="166"/>
  <c r="T251" i="166"/>
  <c r="U402" i="166"/>
  <c r="T402" i="166"/>
  <c r="U90" i="166"/>
  <c r="T90" i="166"/>
  <c r="U45" i="166"/>
  <c r="T45" i="166"/>
  <c r="U55" i="166"/>
  <c r="T55" i="166"/>
  <c r="U406" i="166"/>
  <c r="T406" i="166"/>
  <c r="U239" i="166"/>
  <c r="T239" i="166"/>
  <c r="U65" i="166"/>
  <c r="T65" i="166"/>
  <c r="N74" i="166"/>
  <c r="N59" i="166"/>
  <c r="N53" i="166"/>
  <c r="N159" i="166"/>
  <c r="N410" i="166"/>
  <c r="N396" i="166"/>
  <c r="N230" i="166"/>
  <c r="N308" i="166"/>
  <c r="N203" i="166"/>
  <c r="AM78" i="1"/>
  <c r="AM54" i="1"/>
  <c r="N114" i="166"/>
  <c r="AK296" i="1"/>
  <c r="AA296" i="1" s="1"/>
  <c r="AM151" i="1"/>
  <c r="N106" i="166"/>
  <c r="AK286" i="1"/>
  <c r="AA286" i="1" s="1"/>
  <c r="AM233" i="1"/>
  <c r="AK389" i="1"/>
  <c r="AA389" i="1" s="1"/>
  <c r="AK366" i="1"/>
  <c r="AA366" i="1" s="1"/>
  <c r="N393" i="166"/>
  <c r="N408" i="166"/>
  <c r="N64" i="166"/>
  <c r="N386" i="166"/>
  <c r="N398" i="166"/>
  <c r="N51" i="166"/>
  <c r="N392" i="166"/>
  <c r="N61" i="166"/>
  <c r="N67" i="166"/>
  <c r="N16" i="166"/>
  <c r="N279" i="166"/>
  <c r="N235" i="166"/>
  <c r="N43" i="166"/>
  <c r="N126" i="166"/>
  <c r="N167" i="166"/>
  <c r="N37" i="166"/>
  <c r="N10" i="166"/>
  <c r="U44" i="166"/>
  <c r="T44" i="166"/>
  <c r="U241" i="166"/>
  <c r="T241" i="166"/>
  <c r="U56" i="166"/>
  <c r="T56" i="166"/>
  <c r="U155" i="166"/>
  <c r="T155" i="166"/>
  <c r="T242" i="166"/>
  <c r="U242" i="166"/>
  <c r="U38" i="166"/>
  <c r="T38" i="166"/>
  <c r="N245" i="166"/>
  <c r="U243" i="166"/>
  <c r="T243" i="166"/>
  <c r="U171" i="166"/>
  <c r="T171" i="166"/>
  <c r="U83" i="166"/>
  <c r="T83" i="166"/>
  <c r="U163" i="166"/>
  <c r="T163" i="166"/>
  <c r="U157" i="166"/>
  <c r="T157" i="166"/>
  <c r="U66" i="166"/>
  <c r="T66" i="166"/>
  <c r="U247" i="166"/>
  <c r="T247" i="166"/>
  <c r="U213" i="166"/>
  <c r="T213" i="166"/>
  <c r="U388" i="166"/>
  <c r="T388" i="166"/>
  <c r="U248" i="166"/>
  <c r="T248" i="166"/>
  <c r="U252" i="166"/>
  <c r="T252" i="166"/>
  <c r="U138" i="166"/>
  <c r="T138" i="166"/>
  <c r="U389" i="166"/>
  <c r="T389" i="166"/>
  <c r="N276" i="166"/>
  <c r="N267" i="166"/>
  <c r="N313" i="166"/>
  <c r="U46" i="166"/>
  <c r="T46" i="166"/>
  <c r="N282" i="166"/>
  <c r="N299" i="166"/>
  <c r="N99" i="166"/>
  <c r="N116" i="166"/>
  <c r="N278" i="166"/>
  <c r="N207" i="166"/>
  <c r="N206" i="166"/>
  <c r="N58" i="166"/>
  <c r="N328" i="166"/>
  <c r="N341" i="166"/>
  <c r="AK148" i="1"/>
  <c r="AA148" i="1" s="1"/>
  <c r="AK232" i="1"/>
  <c r="AA232" i="1" s="1"/>
  <c r="N322" i="166"/>
  <c r="AK406" i="1"/>
  <c r="AA406" i="1" s="1"/>
  <c r="N18" i="166"/>
  <c r="AK86" i="1"/>
  <c r="AA86" i="1" s="1"/>
  <c r="AK68" i="1"/>
  <c r="AA68" i="1" s="1"/>
  <c r="N33" i="166"/>
  <c r="N119" i="166"/>
  <c r="N394" i="166"/>
  <c r="N210" i="166"/>
  <c r="N62" i="166"/>
  <c r="N378" i="166"/>
  <c r="N96" i="166"/>
  <c r="N150" i="166"/>
  <c r="N228" i="166"/>
  <c r="U80" i="166"/>
  <c r="T80" i="166"/>
  <c r="U340" i="166"/>
  <c r="T340" i="166"/>
  <c r="U81" i="166"/>
  <c r="T81" i="166"/>
  <c r="U54" i="166"/>
  <c r="T54" i="166"/>
  <c r="U160" i="166"/>
  <c r="T160" i="166"/>
  <c r="U77" i="166"/>
  <c r="T77" i="166"/>
  <c r="U161" i="166"/>
  <c r="T161" i="166"/>
  <c r="U215" i="166"/>
  <c r="T215" i="166"/>
  <c r="U399" i="166"/>
  <c r="T399" i="166"/>
  <c r="U78" i="166"/>
  <c r="T78" i="166"/>
  <c r="U407" i="166"/>
  <c r="T407" i="166"/>
  <c r="U208" i="166"/>
  <c r="T208" i="166"/>
  <c r="U88" i="166"/>
  <c r="T88" i="166"/>
  <c r="U212" i="166"/>
  <c r="T212" i="166"/>
  <c r="U34" i="166"/>
  <c r="T34" i="166"/>
  <c r="U87" i="166"/>
  <c r="T87" i="166"/>
  <c r="U39" i="166"/>
  <c r="T39" i="166"/>
  <c r="U158" i="166"/>
  <c r="T158" i="166"/>
  <c r="T385" i="166"/>
  <c r="U385" i="166"/>
  <c r="N168" i="166"/>
  <c r="N9" i="166"/>
  <c r="N224" i="166"/>
  <c r="N270" i="166"/>
  <c r="N48" i="166"/>
  <c r="N60" i="166"/>
  <c r="U49" i="166"/>
  <c r="T49" i="166"/>
  <c r="N180" i="166"/>
  <c r="N97" i="166"/>
  <c r="AM86" i="1"/>
  <c r="N334" i="166"/>
  <c r="N89" i="166"/>
  <c r="AM15" i="1"/>
  <c r="N321" i="166"/>
  <c r="N379" i="166"/>
  <c r="N70" i="166"/>
  <c r="N380" i="166"/>
  <c r="N304" i="166"/>
  <c r="AK37" i="1"/>
  <c r="N15" i="166"/>
  <c r="AM315" i="1"/>
  <c r="N264" i="166"/>
  <c r="AK275" i="1"/>
  <c r="AA275" i="1" s="1"/>
  <c r="N331" i="166"/>
  <c r="AK352" i="1"/>
  <c r="AA352" i="1" s="1"/>
  <c r="AK376" i="1"/>
  <c r="AA376" i="1" s="1"/>
  <c r="AK92" i="1"/>
  <c r="AA92" i="1" s="1"/>
  <c r="N185" i="166"/>
  <c r="N42" i="166"/>
  <c r="N404" i="166"/>
  <c r="N209" i="166"/>
  <c r="N405" i="166"/>
  <c r="N139" i="166"/>
  <c r="U86" i="166"/>
  <c r="T86" i="166"/>
  <c r="U82" i="166"/>
  <c r="T82" i="166"/>
  <c r="U342" i="166"/>
  <c r="T342" i="166"/>
  <c r="U36" i="166"/>
  <c r="T36" i="166"/>
  <c r="U249" i="166"/>
  <c r="T249" i="166"/>
  <c r="U211" i="166"/>
  <c r="T211" i="166"/>
  <c r="U40" i="166"/>
  <c r="T40" i="166"/>
  <c r="U41" i="166"/>
  <c r="T41" i="166"/>
  <c r="U154" i="166"/>
  <c r="T154" i="166"/>
  <c r="T409" i="166"/>
  <c r="U409" i="166"/>
  <c r="U387" i="166"/>
  <c r="T387" i="166"/>
  <c r="T250" i="166"/>
  <c r="U250" i="166"/>
  <c r="U403" i="166"/>
  <c r="T403" i="166"/>
  <c r="U391" i="166"/>
  <c r="T391" i="166"/>
  <c r="U57" i="166"/>
  <c r="T57" i="166"/>
  <c r="U25" i="166"/>
  <c r="T25" i="166"/>
  <c r="T156" i="166"/>
  <c r="U156" i="166"/>
  <c r="U397" i="166"/>
  <c r="T397" i="166"/>
  <c r="U52" i="166"/>
  <c r="T52" i="166"/>
  <c r="T246" i="166"/>
  <c r="U246" i="166"/>
  <c r="U35" i="166"/>
  <c r="T35" i="166"/>
  <c r="U339" i="166"/>
  <c r="T339" i="166"/>
  <c r="N164" i="166"/>
  <c r="N153" i="166"/>
  <c r="N297" i="166"/>
  <c r="N198" i="166"/>
  <c r="N50" i="166"/>
  <c r="N165" i="166"/>
  <c r="N91" i="166"/>
  <c r="U63" i="166"/>
  <c r="T63" i="166"/>
  <c r="O393" i="166"/>
  <c r="O175" i="166"/>
  <c r="O189" i="166"/>
  <c r="O187" i="166"/>
  <c r="O130" i="166"/>
  <c r="O247" i="166"/>
  <c r="O166" i="166"/>
  <c r="O51" i="166"/>
  <c r="O275" i="166"/>
  <c r="O297" i="166"/>
  <c r="O121" i="166"/>
  <c r="O91" i="166"/>
  <c r="O300" i="166"/>
  <c r="O88" i="166"/>
  <c r="O264" i="166"/>
  <c r="O161" i="166"/>
  <c r="O13" i="166"/>
  <c r="O99" i="166"/>
  <c r="O404" i="166"/>
  <c r="O102" i="166"/>
  <c r="O75" i="166"/>
  <c r="O256" i="166"/>
  <c r="O141" i="166"/>
  <c r="O259" i="166"/>
  <c r="W344" i="166"/>
  <c r="R344" i="166" s="1"/>
  <c r="V344" i="166"/>
  <c r="Q344" i="166" s="1"/>
  <c r="P344" i="166"/>
  <c r="AN377" i="1" s="1"/>
  <c r="O168" i="166"/>
  <c r="O19" i="166"/>
  <c r="O149" i="166"/>
  <c r="O126" i="166"/>
  <c r="O312" i="166"/>
  <c r="O221" i="166"/>
  <c r="O147" i="166"/>
  <c r="O154" i="166"/>
  <c r="O138" i="166"/>
  <c r="O33" i="166"/>
  <c r="O199" i="166"/>
  <c r="O21" i="166"/>
  <c r="O42" i="166"/>
  <c r="O203" i="166"/>
  <c r="O70" i="166"/>
  <c r="O164" i="166"/>
  <c r="O124" i="166"/>
  <c r="O157" i="166"/>
  <c r="O251" i="166"/>
  <c r="O254" i="166"/>
  <c r="O318" i="166"/>
  <c r="O178" i="166"/>
  <c r="O399" i="166"/>
  <c r="O316" i="166"/>
  <c r="O128" i="166"/>
  <c r="O28" i="166"/>
  <c r="O225" i="166"/>
  <c r="O36" i="166"/>
  <c r="O284" i="166"/>
  <c r="O311" i="166"/>
  <c r="O179" i="166"/>
  <c r="O185" i="166"/>
  <c r="O29" i="166"/>
  <c r="O37" i="166"/>
  <c r="O305" i="166"/>
  <c r="O394" i="166"/>
  <c r="O162" i="166"/>
  <c r="O129" i="166"/>
  <c r="O169" i="166"/>
  <c r="O64" i="166"/>
  <c r="O313" i="166"/>
  <c r="O298" i="166"/>
  <c r="O396" i="166"/>
  <c r="O74" i="166"/>
  <c r="O410" i="166"/>
  <c r="O16" i="166"/>
  <c r="O72" i="166"/>
  <c r="O241" i="166"/>
  <c r="O170" i="166"/>
  <c r="O41" i="166"/>
  <c r="O261" i="166"/>
  <c r="O287" i="166"/>
  <c r="O6" i="166"/>
  <c r="O195" i="166"/>
  <c r="O9" i="166"/>
  <c r="O101" i="166"/>
  <c r="O223" i="166"/>
  <c r="O54" i="166"/>
  <c r="O143" i="166"/>
  <c r="O8" i="166"/>
  <c r="O196" i="166"/>
  <c r="O11" i="166"/>
  <c r="O94" i="166"/>
  <c r="O218" i="166"/>
  <c r="O44" i="166"/>
  <c r="O285" i="166"/>
  <c r="O409" i="166"/>
  <c r="O219" i="166"/>
  <c r="O150" i="166"/>
  <c r="O173" i="166"/>
  <c r="O184" i="166"/>
  <c r="O118" i="166"/>
  <c r="O57" i="166"/>
  <c r="O48" i="166"/>
  <c r="O204" i="166"/>
  <c r="O202" i="166"/>
  <c r="O272" i="166"/>
  <c r="O176" i="166"/>
  <c r="O139" i="166"/>
  <c r="O65" i="166"/>
  <c r="O263" i="166"/>
  <c r="O115" i="166"/>
  <c r="O388" i="166"/>
  <c r="O119" i="166"/>
  <c r="O244" i="166"/>
  <c r="O34" i="166"/>
  <c r="O308" i="166"/>
  <c r="O266" i="166"/>
  <c r="O255" i="166"/>
  <c r="O391" i="166"/>
  <c r="O14" i="166"/>
  <c r="O227" i="166"/>
  <c r="O60" i="166"/>
  <c r="O342" i="166"/>
  <c r="O281" i="166"/>
  <c r="O403" i="166"/>
  <c r="O96" i="166"/>
  <c r="O111" i="166"/>
  <c r="O59" i="166"/>
  <c r="O309" i="166"/>
  <c r="O156" i="166"/>
  <c r="O93" i="166"/>
  <c r="O24" i="166"/>
  <c r="O216" i="166"/>
  <c r="O40" i="166"/>
  <c r="O258" i="166"/>
  <c r="O306" i="166"/>
  <c r="O262" i="166"/>
  <c r="O291" i="166"/>
  <c r="O278" i="166"/>
  <c r="O224" i="166"/>
  <c r="W12" i="166"/>
  <c r="R12" i="166" s="1"/>
  <c r="V12" i="166"/>
  <c r="Q12" i="166" s="1"/>
  <c r="P12" i="166"/>
  <c r="AN269" i="1" s="1"/>
  <c r="O343" i="166"/>
  <c r="W22" i="166"/>
  <c r="V22" i="166"/>
  <c r="O135" i="166"/>
  <c r="W238" i="166"/>
  <c r="R238" i="166" s="1"/>
  <c r="V238" i="166"/>
  <c r="Q238" i="166" s="1"/>
  <c r="P238" i="166"/>
  <c r="AN268" i="1" s="1"/>
  <c r="O220" i="166"/>
  <c r="O45" i="166"/>
  <c r="O340" i="166"/>
  <c r="O301" i="166"/>
  <c r="O193" i="166"/>
  <c r="O103" i="166"/>
  <c r="O243" i="166"/>
  <c r="O232" i="166"/>
  <c r="O38" i="166"/>
  <c r="O296" i="166"/>
  <c r="O273" i="166"/>
  <c r="O407" i="166"/>
  <c r="O192" i="166"/>
  <c r="O114" i="166"/>
  <c r="O252" i="166"/>
  <c r="O171" i="166"/>
  <c r="O260" i="166"/>
  <c r="O140" i="166"/>
  <c r="O400" i="166"/>
  <c r="O315" i="166"/>
  <c r="O159" i="166"/>
  <c r="O167" i="166"/>
  <c r="O194" i="166"/>
  <c r="O267" i="166"/>
  <c r="O395" i="166"/>
  <c r="O271" i="166"/>
  <c r="O69" i="166"/>
  <c r="O113" i="166"/>
  <c r="O386" i="166"/>
  <c r="O63" i="166"/>
  <c r="O127" i="166"/>
  <c r="O144" i="166"/>
  <c r="O183" i="166"/>
  <c r="O302" i="166"/>
  <c r="O97" i="166"/>
  <c r="O116" i="166"/>
  <c r="O27" i="166"/>
  <c r="O222" i="166"/>
  <c r="O52" i="166"/>
  <c r="O231" i="166"/>
  <c r="O137" i="166"/>
  <c r="O402" i="166"/>
  <c r="O30" i="166"/>
  <c r="O104" i="166"/>
  <c r="O155" i="166"/>
  <c r="O268" i="166"/>
  <c r="O387" i="166"/>
  <c r="O108" i="166"/>
  <c r="O163" i="166"/>
  <c r="O133" i="166"/>
  <c r="O89" i="166"/>
  <c r="O406" i="166"/>
  <c r="O153" i="166"/>
  <c r="O123" i="166"/>
  <c r="O282" i="166"/>
  <c r="O142" i="166"/>
  <c r="O181" i="166"/>
  <c r="O292" i="166"/>
  <c r="O46" i="166"/>
  <c r="O405" i="166"/>
  <c r="O233" i="166"/>
  <c r="O35" i="166"/>
  <c r="O146" i="166"/>
  <c r="O283" i="166"/>
  <c r="O71" i="166"/>
  <c r="O398" i="166"/>
  <c r="O182" i="166"/>
  <c r="O107" i="166"/>
  <c r="O160" i="166"/>
  <c r="O253" i="166"/>
  <c r="O239" i="166"/>
  <c r="O270" i="166"/>
  <c r="O66" i="166"/>
  <c r="O380" i="166"/>
  <c r="O120" i="166"/>
  <c r="O234" i="166"/>
  <c r="O277" i="166"/>
  <c r="O197" i="166"/>
  <c r="O106" i="166"/>
  <c r="O87" i="166"/>
  <c r="O228" i="166"/>
  <c r="O53" i="166"/>
  <c r="O151" i="166"/>
  <c r="O177" i="166"/>
  <c r="O134" i="166"/>
  <c r="O49" i="166"/>
  <c r="O385" i="166"/>
  <c r="O186" i="166"/>
  <c r="O98" i="166"/>
  <c r="O90" i="166"/>
  <c r="O229" i="166"/>
  <c r="O61" i="166"/>
  <c r="O152" i="166"/>
  <c r="O257" i="166"/>
  <c r="O408" i="166"/>
  <c r="O20" i="166"/>
  <c r="O125" i="166"/>
  <c r="O248" i="166"/>
  <c r="O62" i="166"/>
  <c r="O307" i="166"/>
  <c r="O279" i="166"/>
  <c r="O401" i="166"/>
  <c r="O18" i="166"/>
  <c r="O76" i="166"/>
  <c r="O246" i="166"/>
  <c r="O47" i="166"/>
  <c r="O294" i="166"/>
  <c r="O378" i="166"/>
  <c r="O132" i="166"/>
  <c r="O25" i="166"/>
  <c r="O58" i="166"/>
  <c r="O250" i="166"/>
  <c r="W68" i="166"/>
  <c r="R68" i="166" s="1"/>
  <c r="V68" i="166"/>
  <c r="Q68" i="166" s="1"/>
  <c r="P68" i="166"/>
  <c r="AN130" i="1" s="1"/>
  <c r="O73" i="166"/>
  <c r="O190" i="166"/>
  <c r="O389" i="166"/>
  <c r="O112" i="166"/>
  <c r="O245" i="166"/>
  <c r="O148" i="166"/>
  <c r="O304" i="166"/>
  <c r="O198" i="166"/>
  <c r="O95" i="166"/>
  <c r="O249" i="166"/>
  <c r="O39" i="166"/>
  <c r="O295" i="166"/>
  <c r="O310" i="166"/>
  <c r="O174" i="166"/>
  <c r="O392" i="166"/>
  <c r="O15" i="166"/>
  <c r="O110" i="166"/>
  <c r="O235" i="166"/>
  <c r="O43" i="166"/>
  <c r="O269" i="166"/>
  <c r="O172" i="166"/>
  <c r="O317" i="166"/>
  <c r="O290" i="166"/>
  <c r="O23" i="166"/>
  <c r="O10" i="166"/>
  <c r="O280" i="166"/>
  <c r="O200" i="166"/>
  <c r="O131" i="166"/>
  <c r="O67" i="166"/>
  <c r="O17" i="166"/>
  <c r="O26" i="166"/>
  <c r="O55" i="166"/>
  <c r="O105" i="166"/>
  <c r="O236" i="166"/>
  <c r="O314" i="166"/>
  <c r="O242" i="166"/>
  <c r="O217" i="166"/>
  <c r="O265" i="166"/>
  <c r="O289" i="166"/>
  <c r="O100" i="166"/>
  <c r="O226" i="166"/>
  <c r="O50" i="166"/>
  <c r="O276" i="166"/>
  <c r="O188" i="166"/>
  <c r="O122" i="166"/>
  <c r="O201" i="166"/>
  <c r="O397" i="166"/>
  <c r="O191" i="166"/>
  <c r="O117" i="166"/>
  <c r="O158" i="166"/>
  <c r="O165" i="166"/>
  <c r="O56" i="166"/>
  <c r="O286" i="166"/>
  <c r="AK78" i="1"/>
  <c r="AA78" i="1" s="1"/>
  <c r="AK315" i="1"/>
  <c r="AA315" i="1" s="1"/>
  <c r="AK106" i="1"/>
  <c r="AA106" i="1" s="1"/>
  <c r="AK230" i="1"/>
  <c r="AA230" i="1" s="1"/>
  <c r="AM311" i="1"/>
  <c r="AM230" i="1"/>
  <c r="AK66" i="1"/>
  <c r="AA66" i="1" s="1"/>
  <c r="AM355" i="1"/>
  <c r="AK285" i="1"/>
  <c r="AA285" i="1" s="1"/>
  <c r="AK293" i="1"/>
  <c r="AA293" i="1" s="1"/>
  <c r="AK188" i="1"/>
  <c r="AA188" i="1" s="1"/>
  <c r="AM194" i="1"/>
  <c r="AM285" i="1"/>
  <c r="AM293" i="1"/>
  <c r="AM188" i="1"/>
  <c r="AM322" i="1"/>
  <c r="AK194" i="1"/>
  <c r="AA194" i="1" s="1"/>
  <c r="AK334" i="1"/>
  <c r="AA334" i="1" s="1"/>
  <c r="AK217" i="1"/>
  <c r="AA217" i="1" s="1"/>
  <c r="AK323" i="1"/>
  <c r="AA323" i="1" s="1"/>
  <c r="AK335" i="1"/>
  <c r="AA335" i="1" s="1"/>
  <c r="AM321" i="1"/>
  <c r="AK60" i="1"/>
  <c r="AA60" i="1" s="1"/>
  <c r="AM334" i="1"/>
  <c r="AM337" i="1"/>
  <c r="AM64" i="1"/>
  <c r="AK348" i="1"/>
  <c r="AA348" i="1" s="1"/>
  <c r="AM224" i="1"/>
  <c r="AM341" i="1"/>
  <c r="AK143" i="1"/>
  <c r="AA143" i="1" s="1"/>
  <c r="AK384" i="1"/>
  <c r="AA384" i="1" s="1"/>
  <c r="AM238" i="1"/>
  <c r="AM134" i="1"/>
  <c r="AM317" i="1"/>
  <c r="N330" i="166" s="1"/>
  <c r="AK105" i="1"/>
  <c r="AA105" i="1" s="1"/>
  <c r="AK341" i="1"/>
  <c r="AA341" i="1" s="1"/>
  <c r="AM143" i="1"/>
  <c r="AK91" i="1"/>
  <c r="AA91" i="1" s="1"/>
  <c r="AK69" i="1"/>
  <c r="AA69" i="1" s="1"/>
  <c r="AK374" i="1"/>
  <c r="AA374" i="1" s="1"/>
  <c r="AK70" i="1"/>
  <c r="AA70" i="1" s="1"/>
  <c r="AK337" i="1"/>
  <c r="AA337" i="1" s="1"/>
  <c r="AM35" i="1"/>
  <c r="AM94" i="1"/>
  <c r="AK144" i="1"/>
  <c r="AA144" i="1" s="1"/>
  <c r="AM69" i="1"/>
  <c r="AM374" i="1"/>
  <c r="AM70" i="1"/>
  <c r="AK35" i="1"/>
  <c r="AA35" i="1" s="1"/>
  <c r="AK94" i="1"/>
  <c r="AA94" i="1" s="1"/>
  <c r="AM144" i="1"/>
  <c r="AK349" i="1"/>
  <c r="AA349" i="1" s="1"/>
  <c r="AM215" i="1"/>
  <c r="AM146" i="1"/>
  <c r="AM62" i="1"/>
  <c r="AK64" i="1"/>
  <c r="AA64" i="1" s="1"/>
  <c r="AM348" i="1"/>
  <c r="AK305" i="1"/>
  <c r="AA305" i="1" s="1"/>
  <c r="AM349" i="1"/>
  <c r="AK146" i="1"/>
  <c r="AA146" i="1" s="1"/>
  <c r="AK368" i="1"/>
  <c r="AA368" i="1" s="1"/>
  <c r="AK62" i="1"/>
  <c r="AA62" i="1" s="1"/>
  <c r="AM305" i="1"/>
  <c r="AK128" i="1"/>
  <c r="AA128" i="1" s="1"/>
  <c r="AM187" i="1"/>
  <c r="AM368" i="1"/>
  <c r="AM128" i="1"/>
  <c r="AK150" i="1"/>
  <c r="AA150" i="1" s="1"/>
  <c r="AM150" i="1"/>
  <c r="AM145" i="1"/>
  <c r="AK388" i="1"/>
  <c r="AA388" i="1" s="1"/>
  <c r="AK145" i="1"/>
  <c r="AA145" i="1" s="1"/>
  <c r="AM389" i="1"/>
  <c r="AK320" i="1"/>
  <c r="AA320" i="1" s="1"/>
  <c r="AM320" i="1"/>
  <c r="AM168" i="1"/>
  <c r="AM401" i="1"/>
  <c r="AK98" i="1"/>
  <c r="AA98" i="1" s="1"/>
  <c r="AK42" i="1"/>
  <c r="AM98" i="1"/>
  <c r="AM397" i="1"/>
  <c r="AK385" i="1"/>
  <c r="AA385" i="1" s="1"/>
  <c r="AM110" i="1"/>
  <c r="AK192" i="1"/>
  <c r="AA192" i="1" s="1"/>
  <c r="AK259" i="1"/>
  <c r="AA259" i="1" s="1"/>
  <c r="AM178" i="1"/>
  <c r="AM277" i="1"/>
  <c r="AK178" i="1"/>
  <c r="AA178" i="1" s="1"/>
  <c r="AK141" i="1"/>
  <c r="AA141" i="1" s="1"/>
  <c r="AK309" i="1"/>
  <c r="AA309" i="1" s="1"/>
  <c r="AM42" i="1"/>
  <c r="AM135" i="1"/>
  <c r="AK135" i="1"/>
  <c r="AA135" i="1" s="1"/>
  <c r="AM189" i="1"/>
  <c r="AM307" i="1"/>
  <c r="AM192" i="1"/>
  <c r="AM141" i="1"/>
  <c r="AM282" i="1"/>
  <c r="AM309" i="1"/>
  <c r="AK189" i="1"/>
  <c r="AA189" i="1" s="1"/>
  <c r="AK401" i="1"/>
  <c r="AA401" i="1" s="1"/>
  <c r="AK397" i="1"/>
  <c r="AA397" i="1" s="1"/>
  <c r="AK231" i="1"/>
  <c r="AA231" i="1" s="1"/>
  <c r="AM109" i="1"/>
  <c r="AM114" i="1"/>
  <c r="AM140" i="1"/>
  <c r="AM259" i="1"/>
  <c r="AM53" i="1"/>
  <c r="AM162" i="1"/>
  <c r="AM391" i="1"/>
  <c r="AM385" i="1"/>
  <c r="AK90" i="1"/>
  <c r="AA90" i="1" s="1"/>
  <c r="AK282" i="1"/>
  <c r="AA282" i="1" s="1"/>
  <c r="AK140" i="1"/>
  <c r="AA140" i="1" s="1"/>
  <c r="AK109" i="1"/>
  <c r="AA109" i="1" s="1"/>
  <c r="AK114" i="1"/>
  <c r="AA114" i="1" s="1"/>
  <c r="AK300" i="1"/>
  <c r="AA300" i="1" s="1"/>
  <c r="AK313" i="1"/>
  <c r="AA313" i="1" s="1"/>
  <c r="AM242" i="1"/>
  <c r="AK391" i="1"/>
  <c r="AA391" i="1" s="1"/>
  <c r="AK93" i="1"/>
  <c r="AA93" i="1" s="1"/>
  <c r="AM380" i="1"/>
  <c r="AM90" i="1"/>
  <c r="AM18" i="1"/>
  <c r="AK18" i="1"/>
  <c r="AA18" i="1" s="1"/>
  <c r="AM300" i="1"/>
  <c r="AM313" i="1"/>
  <c r="AK242" i="1"/>
  <c r="AA242" i="1" s="1"/>
  <c r="AM93" i="1"/>
  <c r="AM199" i="1"/>
  <c r="AK350" i="1"/>
  <c r="AA350" i="1" s="1"/>
  <c r="AK53" i="1"/>
  <c r="AA53" i="1" s="1"/>
  <c r="AK161" i="1"/>
  <c r="AA161" i="1" s="1"/>
  <c r="AK55" i="1"/>
  <c r="AA55" i="1" s="1"/>
  <c r="AM339" i="1"/>
  <c r="AK382" i="1"/>
  <c r="AA382" i="1" s="1"/>
  <c r="AK371" i="1"/>
  <c r="AA371" i="1" s="1"/>
  <c r="AK390" i="1"/>
  <c r="AA390" i="1" s="1"/>
  <c r="AM253" i="1"/>
  <c r="AM186" i="1"/>
  <c r="AM161" i="1"/>
  <c r="AK277" i="1"/>
  <c r="AA277" i="1" s="1"/>
  <c r="AM55" i="1"/>
  <c r="AK110" i="1"/>
  <c r="AA110" i="1" s="1"/>
  <c r="AK339" i="1"/>
  <c r="AA339" i="1" s="1"/>
  <c r="AM382" i="1"/>
  <c r="AM371" i="1"/>
  <c r="AM390" i="1"/>
  <c r="AK253" i="1"/>
  <c r="AA253" i="1" s="1"/>
  <c r="AK166" i="1"/>
  <c r="AA166" i="1" s="1"/>
  <c r="AM22" i="1"/>
  <c r="AM117" i="1"/>
  <c r="AM373" i="1"/>
  <c r="AK399" i="1"/>
  <c r="AA399" i="1" s="1"/>
  <c r="AK356" i="1"/>
  <c r="AA356" i="1" s="1"/>
  <c r="AK358" i="1"/>
  <c r="AA358" i="1" s="1"/>
  <c r="AK373" i="1"/>
  <c r="AA373" i="1" s="1"/>
  <c r="AM399" i="1"/>
  <c r="N201" i="166" s="1"/>
  <c r="AM356" i="1"/>
  <c r="AM358" i="1"/>
  <c r="AK176" i="1"/>
  <c r="AA176" i="1" s="1"/>
  <c r="AK100" i="1"/>
  <c r="AA100" i="1" s="1"/>
  <c r="AM100" i="1"/>
  <c r="AK160" i="1"/>
  <c r="AA160" i="1" s="1"/>
  <c r="AK174" i="1"/>
  <c r="AA174" i="1" s="1"/>
  <c r="AK256" i="1"/>
  <c r="AA256" i="1" s="1"/>
  <c r="AK402" i="1"/>
  <c r="AA402" i="1" s="1"/>
  <c r="AM405" i="1"/>
  <c r="AM160" i="1"/>
  <c r="AM256" i="1"/>
  <c r="AK405" i="1"/>
  <c r="AA405" i="1" s="1"/>
  <c r="AK96" i="1"/>
  <c r="AA96" i="1" s="1"/>
  <c r="AM376" i="1"/>
  <c r="AK355" i="1"/>
  <c r="AA355" i="1" s="1"/>
  <c r="AK65" i="1"/>
  <c r="AA65" i="1" s="1"/>
  <c r="AK330" i="1"/>
  <c r="AA330" i="1" s="1"/>
  <c r="AM330" i="1"/>
  <c r="AM65" i="1"/>
  <c r="AK319" i="1"/>
  <c r="AA319" i="1" s="1"/>
  <c r="AM332" i="1"/>
  <c r="AK378" i="1"/>
  <c r="AA378" i="1" s="1"/>
  <c r="AM172" i="1"/>
  <c r="AM319" i="1"/>
  <c r="AM225" i="1"/>
  <c r="AK225" i="1"/>
  <c r="AA225" i="1" s="1"/>
  <c r="AK172" i="1"/>
  <c r="AA172" i="1" s="1"/>
  <c r="AK137" i="1"/>
  <c r="AA137" i="1" s="1"/>
  <c r="AK332" i="1"/>
  <c r="AA332" i="1" s="1"/>
  <c r="AK395" i="1"/>
  <c r="AA395" i="1" s="1"/>
  <c r="AM395" i="1"/>
  <c r="AK310" i="1"/>
  <c r="AA310" i="1" s="1"/>
  <c r="AM310" i="1"/>
  <c r="AK306" i="1"/>
  <c r="AA306" i="1" s="1"/>
  <c r="AK403" i="1"/>
  <c r="AA403" i="1" s="1"/>
  <c r="AM306" i="1"/>
  <c r="AK303" i="1"/>
  <c r="AA303" i="1" s="1"/>
  <c r="AM24" i="1"/>
  <c r="AM403" i="1"/>
  <c r="N57" i="71"/>
  <c r="M57" i="71"/>
  <c r="AJ45" i="1"/>
  <c r="AL47" i="1"/>
  <c r="O299" i="166" s="1"/>
  <c r="AJ47" i="1"/>
  <c r="Z47" i="1" s="1"/>
  <c r="AL45" i="1"/>
  <c r="AL9" i="1"/>
  <c r="O345" i="166" s="1"/>
  <c r="AL35" i="1"/>
  <c r="O327" i="166" s="1"/>
  <c r="AJ29" i="1"/>
  <c r="Z29" i="1" s="1"/>
  <c r="AJ36" i="1"/>
  <c r="AJ35" i="1"/>
  <c r="Z35" i="1" s="1"/>
  <c r="AJ9" i="1"/>
  <c r="Z9" i="1" s="1"/>
  <c r="AL39" i="1"/>
  <c r="O370" i="166" s="1"/>
  <c r="M28" i="71"/>
  <c r="O28" i="71" s="1"/>
  <c r="P28" i="71" s="1"/>
  <c r="AJ12" i="1"/>
  <c r="Z12" i="1" s="1"/>
  <c r="M60" i="71"/>
  <c r="O60" i="71" s="1"/>
  <c r="P60" i="71" s="1"/>
  <c r="AL12" i="1"/>
  <c r="O379" i="166" s="1"/>
  <c r="AJ39" i="1"/>
  <c r="Z39" i="1" s="1"/>
  <c r="AL22" i="1"/>
  <c r="O145" i="166" s="1"/>
  <c r="M56" i="71"/>
  <c r="O56" i="71" s="1"/>
  <c r="P56" i="71" s="1"/>
  <c r="AL36" i="1"/>
  <c r="AL123" i="1"/>
  <c r="O86" i="166" s="1"/>
  <c r="AJ123" i="1"/>
  <c r="Z123" i="1" s="1"/>
  <c r="AL337" i="1"/>
  <c r="O357" i="166" s="1"/>
  <c r="AJ337" i="1"/>
  <c r="Z337" i="1" s="1"/>
  <c r="AL271" i="1"/>
  <c r="O32" i="166" s="1"/>
  <c r="AJ271" i="1"/>
  <c r="Z271" i="1" s="1"/>
  <c r="AJ240" i="1"/>
  <c r="Z240" i="1" s="1"/>
  <c r="AL240" i="1"/>
  <c r="AL296" i="1"/>
  <c r="O333" i="166" s="1"/>
  <c r="AJ296" i="1"/>
  <c r="Z296" i="1" s="1"/>
  <c r="AL121" i="1"/>
  <c r="O84" i="166" s="1"/>
  <c r="AJ121" i="1"/>
  <c r="Z121" i="1" s="1"/>
  <c r="AL302" i="1"/>
  <c r="O381" i="166" s="1"/>
  <c r="AJ302" i="1"/>
  <c r="Z302" i="1" s="1"/>
  <c r="AL170" i="1"/>
  <c r="AJ170" i="1"/>
  <c r="Z170" i="1" s="1"/>
  <c r="AL214" i="1"/>
  <c r="O372" i="166" s="1"/>
  <c r="AJ214" i="1"/>
  <c r="Z214" i="1" s="1"/>
  <c r="AL93" i="1"/>
  <c r="AJ93" i="1"/>
  <c r="Z93" i="1" s="1"/>
  <c r="AL90" i="1"/>
  <c r="AJ90" i="1"/>
  <c r="Z90" i="1" s="1"/>
  <c r="AJ367" i="1"/>
  <c r="Z367" i="1" s="1"/>
  <c r="AL367" i="1"/>
  <c r="AJ256" i="1"/>
  <c r="Z256" i="1" s="1"/>
  <c r="AL256" i="1"/>
  <c r="O324" i="166" s="1"/>
  <c r="AL320" i="1"/>
  <c r="O5" i="166" s="1"/>
  <c r="AJ320" i="1"/>
  <c r="Z320" i="1" s="1"/>
  <c r="AL109" i="1"/>
  <c r="AJ109" i="1"/>
  <c r="Z109" i="1" s="1"/>
  <c r="AL295" i="1"/>
  <c r="O334" i="166" s="1"/>
  <c r="AJ295" i="1"/>
  <c r="Z295" i="1" s="1"/>
  <c r="AL336" i="1"/>
  <c r="O83" i="166" s="1"/>
  <c r="AJ336" i="1"/>
  <c r="Z336" i="1" s="1"/>
  <c r="AL120" i="1"/>
  <c r="AJ120" i="1"/>
  <c r="Z120" i="1" s="1"/>
  <c r="AL396" i="1"/>
  <c r="AJ396" i="1"/>
  <c r="Z396" i="1" s="1"/>
  <c r="AL200" i="1"/>
  <c r="O207" i="166" s="1"/>
  <c r="AJ200" i="1"/>
  <c r="Z200" i="1" s="1"/>
  <c r="AL182" i="1"/>
  <c r="O353" i="166" s="1"/>
  <c r="AJ182" i="1"/>
  <c r="Z182" i="1" s="1"/>
  <c r="AL371" i="1"/>
  <c r="O366" i="166" s="1"/>
  <c r="AJ371" i="1"/>
  <c r="Z371" i="1" s="1"/>
  <c r="AL384" i="1"/>
  <c r="AJ384" i="1"/>
  <c r="Z384" i="1" s="1"/>
  <c r="AL199" i="1"/>
  <c r="O373" i="166" s="1"/>
  <c r="AJ199" i="1"/>
  <c r="Z199" i="1" s="1"/>
  <c r="AL318" i="1"/>
  <c r="O337" i="166" s="1"/>
  <c r="AJ318" i="1"/>
  <c r="Z318" i="1" s="1"/>
  <c r="AL164" i="1"/>
  <c r="O322" i="166" s="1"/>
  <c r="AJ164" i="1"/>
  <c r="Z164" i="1" s="1"/>
  <c r="AJ288" i="1"/>
  <c r="Z288" i="1" s="1"/>
  <c r="AL288" i="1"/>
  <c r="O79" i="166" s="1"/>
  <c r="AL354" i="1"/>
  <c r="O211" i="166" s="1"/>
  <c r="AJ354" i="1"/>
  <c r="Z354" i="1" s="1"/>
  <c r="AL167" i="1"/>
  <c r="O209" i="166" s="1"/>
  <c r="AJ167" i="1"/>
  <c r="Z167" i="1" s="1"/>
  <c r="AL257" i="1"/>
  <c r="O390" i="166" s="1"/>
  <c r="AJ257" i="1"/>
  <c r="Z257" i="1" s="1"/>
  <c r="AL148" i="1"/>
  <c r="AJ148" i="1"/>
  <c r="Z148" i="1" s="1"/>
  <c r="AL339" i="1"/>
  <c r="O361" i="166" s="1"/>
  <c r="AJ339" i="1"/>
  <c r="Z339" i="1" s="1"/>
  <c r="AL368" i="1"/>
  <c r="O349" i="166" s="1"/>
  <c r="AJ368" i="1"/>
  <c r="Z368" i="1" s="1"/>
  <c r="AJ103" i="1"/>
  <c r="Z103" i="1" s="1"/>
  <c r="AL103" i="1"/>
  <c r="AJ386" i="1"/>
  <c r="Z386" i="1" s="1"/>
  <c r="AL386" i="1"/>
  <c r="O31" i="166" s="1"/>
  <c r="AL252" i="1"/>
  <c r="AJ252" i="1"/>
  <c r="Z252" i="1" s="1"/>
  <c r="AJ346" i="1"/>
  <c r="Z346" i="1" s="1"/>
  <c r="AL346" i="1"/>
  <c r="AL263" i="1"/>
  <c r="AJ263" i="1"/>
  <c r="Z263" i="1" s="1"/>
  <c r="AJ362" i="1"/>
  <c r="Z362" i="1" s="1"/>
  <c r="AL362" i="1"/>
  <c r="O215" i="166" s="1"/>
  <c r="AL373" i="1"/>
  <c r="O376" i="166" s="1"/>
  <c r="AJ373" i="1"/>
  <c r="Z373" i="1" s="1"/>
  <c r="AL92" i="1"/>
  <c r="AJ92" i="1"/>
  <c r="Z92" i="1" s="1"/>
  <c r="AL344" i="1"/>
  <c r="AJ344" i="1"/>
  <c r="Z344" i="1" s="1"/>
  <c r="AL126" i="1"/>
  <c r="O383" i="166" s="1"/>
  <c r="AJ126" i="1"/>
  <c r="Z126" i="1" s="1"/>
  <c r="AL89" i="1"/>
  <c r="AJ89" i="1"/>
  <c r="Z89" i="1" s="1"/>
  <c r="AL282" i="1"/>
  <c r="O325" i="166" s="1"/>
  <c r="AJ282" i="1"/>
  <c r="Z282" i="1" s="1"/>
  <c r="AL316" i="1"/>
  <c r="AJ316" i="1"/>
  <c r="Z316" i="1" s="1"/>
  <c r="AL127" i="1"/>
  <c r="O80" i="166" s="1"/>
  <c r="AJ127" i="1"/>
  <c r="Z127" i="1" s="1"/>
  <c r="AL212" i="1"/>
  <c r="O214" i="166" s="1"/>
  <c r="AJ212" i="1"/>
  <c r="Z212" i="1" s="1"/>
  <c r="AL356" i="1"/>
  <c r="AJ356" i="1"/>
  <c r="Z356" i="1" s="1"/>
  <c r="AL365" i="1"/>
  <c r="AJ365" i="1"/>
  <c r="Z365" i="1" s="1"/>
  <c r="AL162" i="1"/>
  <c r="O348" i="166" s="1"/>
  <c r="AJ162" i="1"/>
  <c r="Z162" i="1" s="1"/>
  <c r="AL232" i="1"/>
  <c r="O362" i="166" s="1"/>
  <c r="AJ232" i="1"/>
  <c r="Z232" i="1" s="1"/>
  <c r="AL163" i="1"/>
  <c r="O206" i="166" s="1"/>
  <c r="AJ163" i="1"/>
  <c r="Z163" i="1" s="1"/>
  <c r="AJ364" i="1"/>
  <c r="Z364" i="1" s="1"/>
  <c r="AL364" i="1"/>
  <c r="O352" i="166" s="1"/>
  <c r="AL233" i="1"/>
  <c r="O326" i="166" s="1"/>
  <c r="AJ233" i="1"/>
  <c r="Z233" i="1" s="1"/>
  <c r="AL300" i="1"/>
  <c r="O332" i="166" s="1"/>
  <c r="AJ300" i="1"/>
  <c r="Z300" i="1" s="1"/>
  <c r="AL172" i="1"/>
  <c r="O336" i="166" s="1"/>
  <c r="AJ172" i="1"/>
  <c r="Z172" i="1" s="1"/>
  <c r="AL292" i="1"/>
  <c r="AJ292" i="1"/>
  <c r="Z292" i="1" s="1"/>
  <c r="AL251" i="1"/>
  <c r="AJ251" i="1"/>
  <c r="Z251" i="1" s="1"/>
  <c r="AL110" i="1"/>
  <c r="O367" i="166" s="1"/>
  <c r="AJ110" i="1"/>
  <c r="Z110" i="1" s="1"/>
  <c r="AL341" i="1"/>
  <c r="O350" i="166" s="1"/>
  <c r="AJ341" i="1"/>
  <c r="Z341" i="1" s="1"/>
  <c r="AJ106" i="1"/>
  <c r="Z106" i="1" s="1"/>
  <c r="AL106" i="1"/>
  <c r="AJ192" i="1"/>
  <c r="Z192" i="1" s="1"/>
  <c r="AL192" i="1"/>
  <c r="O371" i="166" s="1"/>
  <c r="AL315" i="1"/>
  <c r="O329" i="166" s="1"/>
  <c r="AJ315" i="1"/>
  <c r="Z315" i="1" s="1"/>
  <c r="AL376" i="1"/>
  <c r="AJ376" i="1"/>
  <c r="Z376" i="1" s="1"/>
  <c r="AL317" i="1"/>
  <c r="O330" i="166" s="1"/>
  <c r="AJ317" i="1"/>
  <c r="Z317" i="1" s="1"/>
  <c r="AL380" i="1"/>
  <c r="O338" i="166" s="1"/>
  <c r="AJ380" i="1"/>
  <c r="Z380" i="1" s="1"/>
  <c r="AL131" i="1"/>
  <c r="O82" i="166" s="1"/>
  <c r="AJ131" i="1"/>
  <c r="Z131" i="1" s="1"/>
  <c r="AL198" i="1"/>
  <c r="AJ198" i="1"/>
  <c r="Z198" i="1" s="1"/>
  <c r="AL179" i="1"/>
  <c r="O210" i="166" s="1"/>
  <c r="AJ179" i="1"/>
  <c r="Z179" i="1" s="1"/>
  <c r="AL366" i="1"/>
  <c r="O354" i="166" s="1"/>
  <c r="AJ366" i="1"/>
  <c r="Z366" i="1" s="1"/>
  <c r="AJ277" i="1"/>
  <c r="Z277" i="1" s="1"/>
  <c r="AL277" i="1"/>
  <c r="O368" i="166" s="1"/>
  <c r="AL369" i="1"/>
  <c r="AJ369" i="1"/>
  <c r="Z369" i="1" s="1"/>
  <c r="AJ128" i="1"/>
  <c r="Z128" i="1" s="1"/>
  <c r="AL128" i="1"/>
  <c r="O374" i="166" s="1"/>
  <c r="AL7" i="1"/>
  <c r="O288" i="166" s="1"/>
  <c r="AL31" i="1"/>
  <c r="O180" i="166" s="1"/>
  <c r="AJ7" i="1"/>
  <c r="Z7" i="1" s="1"/>
  <c r="AJ31" i="1"/>
  <c r="Z31" i="1" s="1"/>
  <c r="AJ6" i="1"/>
  <c r="AL33" i="1"/>
  <c r="O321" i="166" s="1"/>
  <c r="AJ33" i="1"/>
  <c r="Z33" i="1" s="1"/>
  <c r="AL30" i="1"/>
  <c r="AL16" i="1"/>
  <c r="O274" i="166" s="1"/>
  <c r="AJ16" i="1"/>
  <c r="AL17" i="1"/>
  <c r="M55" i="71"/>
  <c r="AJ17" i="1"/>
  <c r="Z17" i="1" s="1"/>
  <c r="AL34" i="1"/>
  <c r="O339" i="166" s="1"/>
  <c r="N55" i="71"/>
  <c r="AJ34" i="1"/>
  <c r="AL10" i="1"/>
  <c r="O328" i="166" s="1"/>
  <c r="AJ10" i="1"/>
  <c r="M19" i="71" s="1"/>
  <c r="AA11" i="1"/>
  <c r="AA40" i="1"/>
  <c r="AA14" i="1"/>
  <c r="AA8" i="1"/>
  <c r="AA23" i="1"/>
  <c r="AA28" i="1"/>
  <c r="AA29" i="1"/>
  <c r="Z40" i="1"/>
  <c r="Z32" i="1"/>
  <c r="Z11" i="1"/>
  <c r="Z14" i="1"/>
  <c r="Z23" i="1"/>
  <c r="Z8" i="1"/>
  <c r="AA36" i="1"/>
  <c r="AA31" i="1"/>
  <c r="AA25" i="1"/>
  <c r="AA47" i="1"/>
  <c r="AA34" i="1"/>
  <c r="AA12" i="1"/>
  <c r="N35" i="71"/>
  <c r="N26" i="71"/>
  <c r="N40" i="71"/>
  <c r="N24" i="71"/>
  <c r="N38" i="71"/>
  <c r="N25" i="71"/>
  <c r="N27" i="71"/>
  <c r="AA15" i="1"/>
  <c r="N19" i="71"/>
  <c r="AA32" i="1"/>
  <c r="AA43" i="1"/>
  <c r="AA10" i="1"/>
  <c r="AA50" i="1"/>
  <c r="N8" i="71"/>
  <c r="AA9" i="1"/>
  <c r="N23" i="71"/>
  <c r="AA24" i="1"/>
  <c r="N41" i="71"/>
  <c r="AA44" i="1"/>
  <c r="AA30" i="1"/>
  <c r="AA52" i="1"/>
  <c r="AA41" i="1"/>
  <c r="Z52" i="1"/>
  <c r="M51" i="71"/>
  <c r="M17" i="71"/>
  <c r="Z28" i="1"/>
  <c r="M38" i="71"/>
  <c r="M36" i="71"/>
  <c r="Z44" i="1"/>
  <c r="Z25" i="1"/>
  <c r="Z49" i="1"/>
  <c r="Z18" i="1"/>
  <c r="Z42" i="1"/>
  <c r="M44" i="71"/>
  <c r="Z50" i="1"/>
  <c r="Z30" i="1"/>
  <c r="Z38" i="1"/>
  <c r="Z41" i="1"/>
  <c r="Z21" i="1"/>
  <c r="Z15" i="1"/>
  <c r="Z43" i="1"/>
  <c r="Z37" i="1"/>
  <c r="M11" i="71"/>
  <c r="N58" i="71"/>
  <c r="N45" i="71"/>
  <c r="M15" i="71"/>
  <c r="N49" i="71"/>
  <c r="N54" i="71"/>
  <c r="M25" i="71"/>
  <c r="M45" i="71"/>
  <c r="N43" i="71"/>
  <c r="M47" i="71"/>
  <c r="M23" i="71"/>
  <c r="N47" i="71"/>
  <c r="M12" i="71"/>
  <c r="M18" i="71"/>
  <c r="M7" i="71"/>
  <c r="M27" i="71"/>
  <c r="M24" i="71"/>
  <c r="N39" i="71"/>
  <c r="M35" i="71"/>
  <c r="M29" i="71"/>
  <c r="M6" i="71"/>
  <c r="M40" i="71"/>
  <c r="N53" i="71"/>
  <c r="M58" i="71"/>
  <c r="N36" i="71"/>
  <c r="M52" i="71"/>
  <c r="N6" i="71"/>
  <c r="M39" i="71"/>
  <c r="N52" i="71"/>
  <c r="M43" i="71"/>
  <c r="M26" i="71"/>
  <c r="N18" i="71"/>
  <c r="N29" i="71"/>
  <c r="N12" i="71"/>
  <c r="N51" i="71"/>
  <c r="AJ27" i="1"/>
  <c r="AL27" i="1"/>
  <c r="O240" i="166" s="1"/>
  <c r="AK26" i="1"/>
  <c r="AM26" i="1"/>
  <c r="N92" i="166" s="1"/>
  <c r="AJ20" i="1"/>
  <c r="AL20" i="1"/>
  <c r="O237" i="166" s="1"/>
  <c r="AJ26" i="1"/>
  <c r="AL26" i="1"/>
  <c r="O92" i="166" s="1"/>
  <c r="AJ13" i="1"/>
  <c r="AL13" i="1"/>
  <c r="O293" i="166" s="1"/>
  <c r="AK51" i="1"/>
  <c r="AM51" i="1"/>
  <c r="N109" i="166" s="1"/>
  <c r="AK19" i="1"/>
  <c r="AM19" i="1"/>
  <c r="N7" i="166" s="1"/>
  <c r="AJ51" i="1"/>
  <c r="AL51" i="1"/>
  <c r="O109" i="166" s="1"/>
  <c r="AK20" i="1"/>
  <c r="AA20" i="1" s="1"/>
  <c r="AM20" i="1"/>
  <c r="N237" i="166" s="1"/>
  <c r="AK48" i="1"/>
  <c r="AA48" i="1" s="1"/>
  <c r="AM48" i="1"/>
  <c r="AK27" i="1"/>
  <c r="AM27" i="1"/>
  <c r="N240" i="166" s="1"/>
  <c r="AK46" i="1"/>
  <c r="AM46" i="1"/>
  <c r="N85" i="166" s="1"/>
  <c r="AJ19" i="1"/>
  <c r="AL19" i="1"/>
  <c r="O7" i="166" s="1"/>
  <c r="AJ46" i="1"/>
  <c r="AL46" i="1"/>
  <c r="AK13" i="1"/>
  <c r="AM13" i="1"/>
  <c r="N293" i="166" s="1"/>
  <c r="AJ48" i="1"/>
  <c r="AL48" i="1"/>
  <c r="O136" i="166" s="1"/>
  <c r="AO272" i="1" l="1"/>
  <c r="N310" i="166"/>
  <c r="AA42" i="1"/>
  <c r="AA45" i="1"/>
  <c r="N369" i="166"/>
  <c r="N22" i="71"/>
  <c r="N134" i="166"/>
  <c r="N288" i="166"/>
  <c r="U288" i="166" s="1"/>
  <c r="N370" i="166"/>
  <c r="U370" i="166" s="1"/>
  <c r="N296" i="166"/>
  <c r="U296" i="166" s="1"/>
  <c r="AA38" i="1"/>
  <c r="N229" i="166"/>
  <c r="U229" i="166" s="1"/>
  <c r="N292" i="166"/>
  <c r="U292" i="166" s="1"/>
  <c r="N311" i="166"/>
  <c r="P311" i="166" s="1"/>
  <c r="AN258" i="1" s="1"/>
  <c r="AA33" i="1"/>
  <c r="N261" i="166"/>
  <c r="U261" i="166" s="1"/>
  <c r="N190" i="166"/>
  <c r="U190" i="166" s="1"/>
  <c r="N44" i="71"/>
  <c r="O44" i="71" s="1"/>
  <c r="P44" i="71" s="1"/>
  <c r="AA17" i="1"/>
  <c r="S344" i="166"/>
  <c r="S68" i="166"/>
  <c r="AA37" i="1"/>
  <c r="N305" i="166"/>
  <c r="P305" i="166" s="1"/>
  <c r="AN226" i="1" s="1"/>
  <c r="S238" i="166"/>
  <c r="S12" i="166"/>
  <c r="N294" i="166"/>
  <c r="U294" i="166" s="1"/>
  <c r="X344" i="166"/>
  <c r="N320" i="166"/>
  <c r="U320" i="166" s="1"/>
  <c r="N123" i="166"/>
  <c r="T123" i="166" s="1"/>
  <c r="N318" i="166"/>
  <c r="P318" i="166" s="1"/>
  <c r="AN6" i="1" s="1"/>
  <c r="U109" i="166"/>
  <c r="T109" i="166"/>
  <c r="N100" i="166"/>
  <c r="N376" i="166"/>
  <c r="P376" i="166" s="1"/>
  <c r="AN373" i="1" s="1"/>
  <c r="N307" i="166"/>
  <c r="P307" i="166" s="1"/>
  <c r="AN385" i="1" s="1"/>
  <c r="U91" i="166"/>
  <c r="T91" i="166"/>
  <c r="U72" i="166"/>
  <c r="T72" i="166"/>
  <c r="T284" i="166"/>
  <c r="U284" i="166"/>
  <c r="U337" i="166"/>
  <c r="T337" i="166"/>
  <c r="U18" i="166"/>
  <c r="T18" i="166"/>
  <c r="U392" i="166"/>
  <c r="T392" i="166"/>
  <c r="U64" i="166"/>
  <c r="T64" i="166"/>
  <c r="U273" i="166"/>
  <c r="T273" i="166"/>
  <c r="T286" i="166"/>
  <c r="U286" i="166"/>
  <c r="U71" i="166"/>
  <c r="T71" i="166"/>
  <c r="U362" i="166"/>
  <c r="T362" i="166"/>
  <c r="U22" i="166"/>
  <c r="R22" i="166" s="1"/>
  <c r="T22" i="166"/>
  <c r="Q22" i="166" s="1"/>
  <c r="U298" i="166"/>
  <c r="T298" i="166"/>
  <c r="U358" i="166"/>
  <c r="T358" i="166"/>
  <c r="U199" i="166"/>
  <c r="T199" i="166"/>
  <c r="U312" i="166"/>
  <c r="T312" i="166"/>
  <c r="U131" i="166"/>
  <c r="T131" i="166"/>
  <c r="N143" i="166"/>
  <c r="P143" i="166" s="1"/>
  <c r="AN310" i="1" s="1"/>
  <c r="N319" i="166"/>
  <c r="N202" i="166"/>
  <c r="P202" i="166" s="1"/>
  <c r="AN358" i="1" s="1"/>
  <c r="N13" i="166"/>
  <c r="N366" i="166"/>
  <c r="P366" i="166" s="1"/>
  <c r="AN371" i="1" s="1"/>
  <c r="N221" i="166"/>
  <c r="P221" i="166" s="1"/>
  <c r="AN391" i="1" s="1"/>
  <c r="N93" i="166"/>
  <c r="P93" i="166" s="1"/>
  <c r="AN189" i="1" s="1"/>
  <c r="U330" i="166"/>
  <c r="T330" i="166"/>
  <c r="N147" i="166"/>
  <c r="P147" i="166" s="1"/>
  <c r="AN64" i="1" s="1"/>
  <c r="N196" i="166"/>
  <c r="P196" i="166" s="1"/>
  <c r="AN355" i="1" s="1"/>
  <c r="U404" i="166"/>
  <c r="T404" i="166"/>
  <c r="N329" i="166"/>
  <c r="P329" i="166" s="1"/>
  <c r="AN315" i="1" s="1"/>
  <c r="U379" i="166"/>
  <c r="T379" i="166"/>
  <c r="T260" i="166"/>
  <c r="U260" i="166"/>
  <c r="T180" i="166"/>
  <c r="U180" i="166"/>
  <c r="U290" i="166"/>
  <c r="T290" i="166"/>
  <c r="U277" i="166"/>
  <c r="T277" i="166"/>
  <c r="T369" i="166"/>
  <c r="U369" i="166"/>
  <c r="T258" i="166"/>
  <c r="U258" i="166"/>
  <c r="U303" i="166"/>
  <c r="T303" i="166"/>
  <c r="U378" i="166"/>
  <c r="T378" i="166"/>
  <c r="U119" i="166"/>
  <c r="T119" i="166"/>
  <c r="U58" i="166"/>
  <c r="T58" i="166"/>
  <c r="U346" i="166"/>
  <c r="T346" i="166"/>
  <c r="U299" i="166"/>
  <c r="T299" i="166"/>
  <c r="U10" i="166"/>
  <c r="T10" i="166"/>
  <c r="U126" i="166"/>
  <c r="T126" i="166"/>
  <c r="U105" i="166"/>
  <c r="T105" i="166"/>
  <c r="U285" i="166"/>
  <c r="T285" i="166"/>
  <c r="U133" i="166"/>
  <c r="T133" i="166"/>
  <c r="U67" i="166"/>
  <c r="T67" i="166"/>
  <c r="N326" i="166"/>
  <c r="P326" i="166" s="1"/>
  <c r="AN233" i="1" s="1"/>
  <c r="N122" i="166"/>
  <c r="P122" i="166" s="1"/>
  <c r="AN54" i="1" s="1"/>
  <c r="T230" i="166"/>
  <c r="U230" i="166"/>
  <c r="U85" i="166"/>
  <c r="T85" i="166"/>
  <c r="N136" i="166"/>
  <c r="P136" i="166" s="1"/>
  <c r="AN48" i="1" s="1"/>
  <c r="U293" i="166"/>
  <c r="T293" i="166"/>
  <c r="N73" i="166"/>
  <c r="P73" i="166" s="1"/>
  <c r="AN306" i="1" s="1"/>
  <c r="N347" i="166"/>
  <c r="N225" i="166"/>
  <c r="P225" i="166" s="1"/>
  <c r="AN382" i="1" s="1"/>
  <c r="N127" i="166"/>
  <c r="P127" i="166" s="1"/>
  <c r="AN186" i="1" s="1"/>
  <c r="N200" i="166"/>
  <c r="P200" i="166" s="1"/>
  <c r="AN18" i="1" s="1"/>
  <c r="N348" i="166"/>
  <c r="P348" i="166" s="1"/>
  <c r="AN162" i="1" s="1"/>
  <c r="N176" i="166"/>
  <c r="P176" i="166" s="1"/>
  <c r="AN397" i="1" s="1"/>
  <c r="N5" i="166"/>
  <c r="P5" i="166" s="1"/>
  <c r="N374" i="166"/>
  <c r="P374" i="166" s="1"/>
  <c r="AN128" i="1" s="1"/>
  <c r="N271" i="166"/>
  <c r="P271" i="166" s="1"/>
  <c r="AN70" i="1" s="1"/>
  <c r="N103" i="166"/>
  <c r="N357" i="166"/>
  <c r="P357" i="166" s="1"/>
  <c r="AN337" i="1" s="1"/>
  <c r="U165" i="166"/>
  <c r="T165" i="166"/>
  <c r="U323" i="166"/>
  <c r="T323" i="166"/>
  <c r="U153" i="166"/>
  <c r="T153" i="166"/>
  <c r="U139" i="166"/>
  <c r="T139" i="166"/>
  <c r="T172" i="166"/>
  <c r="U172" i="166"/>
  <c r="U15" i="166"/>
  <c r="T15" i="166"/>
  <c r="U334" i="166"/>
  <c r="T334" i="166"/>
  <c r="U365" i="166"/>
  <c r="T365" i="166"/>
  <c r="U51" i="166"/>
  <c r="T51" i="166"/>
  <c r="U408" i="166"/>
  <c r="T408" i="166"/>
  <c r="N21" i="166"/>
  <c r="P21" i="166" s="1"/>
  <c r="AN78" i="1" s="1"/>
  <c r="T53" i="166"/>
  <c r="U53" i="166"/>
  <c r="U301" i="166"/>
  <c r="T301" i="166"/>
  <c r="U123" i="166"/>
  <c r="U130" i="166"/>
  <c r="T130" i="166"/>
  <c r="U121" i="166"/>
  <c r="T121" i="166"/>
  <c r="T254" i="166"/>
  <c r="U254" i="166"/>
  <c r="U149" i="166"/>
  <c r="T149" i="166"/>
  <c r="U356" i="166"/>
  <c r="T356" i="166"/>
  <c r="U204" i="166"/>
  <c r="T204" i="166"/>
  <c r="U377" i="166"/>
  <c r="T377" i="166"/>
  <c r="U363" i="166"/>
  <c r="T363" i="166"/>
  <c r="N141" i="166"/>
  <c r="P141" i="166" s="1"/>
  <c r="AN168" i="1" s="1"/>
  <c r="N173" i="166"/>
  <c r="P173" i="166" s="1"/>
  <c r="AN395" i="1" s="1"/>
  <c r="N129" i="166"/>
  <c r="P129" i="166" s="1"/>
  <c r="AN225" i="1" s="1"/>
  <c r="N174" i="166"/>
  <c r="P174" i="166" s="1"/>
  <c r="AN65" i="1" s="1"/>
  <c r="U201" i="166"/>
  <c r="T201" i="166"/>
  <c r="N283" i="166"/>
  <c r="P283" i="166" s="1"/>
  <c r="AN253" i="1" s="1"/>
  <c r="N375" i="166"/>
  <c r="N110" i="166"/>
  <c r="P110" i="166" s="1"/>
  <c r="AN53" i="1" s="1"/>
  <c r="N291" i="166"/>
  <c r="P291" i="166" s="1"/>
  <c r="AN62" i="1" s="1"/>
  <c r="N191" i="166"/>
  <c r="P191" i="166" s="1"/>
  <c r="AN374" i="1" s="1"/>
  <c r="N289" i="166"/>
  <c r="P289" i="166" s="1"/>
  <c r="AN238" i="1" s="1"/>
  <c r="N257" i="166"/>
  <c r="U42" i="166"/>
  <c r="T42" i="166"/>
  <c r="U181" i="166"/>
  <c r="T181" i="166"/>
  <c r="T321" i="166"/>
  <c r="U321" i="166"/>
  <c r="U120" i="166"/>
  <c r="T120" i="166"/>
  <c r="U335" i="166"/>
  <c r="T335" i="166"/>
  <c r="U60" i="166"/>
  <c r="T60" i="166"/>
  <c r="U281" i="166"/>
  <c r="T281" i="166"/>
  <c r="U224" i="166"/>
  <c r="T224" i="166"/>
  <c r="U134" i="166"/>
  <c r="T134" i="166"/>
  <c r="U228" i="166"/>
  <c r="T228" i="166"/>
  <c r="U62" i="166"/>
  <c r="T62" i="166"/>
  <c r="U33" i="166"/>
  <c r="T33" i="166"/>
  <c r="T206" i="166"/>
  <c r="U206" i="166"/>
  <c r="U259" i="166"/>
  <c r="T259" i="166"/>
  <c r="T282" i="166"/>
  <c r="U282" i="166"/>
  <c r="U313" i="166"/>
  <c r="T313" i="166"/>
  <c r="U245" i="166"/>
  <c r="T245" i="166"/>
  <c r="T37" i="166"/>
  <c r="U37" i="166"/>
  <c r="U43" i="166"/>
  <c r="T43" i="166"/>
  <c r="U235" i="166"/>
  <c r="T235" i="166"/>
  <c r="U333" i="166"/>
  <c r="T333" i="166"/>
  <c r="U106" i="166"/>
  <c r="T106" i="166"/>
  <c r="U295" i="166"/>
  <c r="T295" i="166"/>
  <c r="U396" i="166"/>
  <c r="T396" i="166"/>
  <c r="U186" i="166"/>
  <c r="T186" i="166"/>
  <c r="N332" i="166"/>
  <c r="P332" i="166" s="1"/>
  <c r="AN300" i="1" s="1"/>
  <c r="N189" i="166"/>
  <c r="P189" i="166" s="1"/>
  <c r="AN42" i="1" s="1"/>
  <c r="N182" i="166"/>
  <c r="P182" i="166" s="1"/>
  <c r="AN150" i="1" s="1"/>
  <c r="U237" i="166"/>
  <c r="T237" i="166"/>
  <c r="U7" i="166"/>
  <c r="T7" i="166"/>
  <c r="N14" i="166"/>
  <c r="P14" i="166" s="1"/>
  <c r="AN319" i="1" s="1"/>
  <c r="N23" i="166"/>
  <c r="P23" i="166" s="1"/>
  <c r="AN330" i="1" s="1"/>
  <c r="N324" i="166"/>
  <c r="P324" i="166" s="1"/>
  <c r="AN256" i="1" s="1"/>
  <c r="N373" i="166"/>
  <c r="P373" i="166" s="1"/>
  <c r="AN199" i="1" s="1"/>
  <c r="N338" i="166"/>
  <c r="P338" i="166" s="1"/>
  <c r="AN380" i="1" s="1"/>
  <c r="N269" i="166"/>
  <c r="P269" i="166" s="1"/>
  <c r="AN259" i="1" s="1"/>
  <c r="N17" i="166"/>
  <c r="P17" i="166" s="1"/>
  <c r="AN309" i="1" s="1"/>
  <c r="N368" i="166"/>
  <c r="P368" i="166" s="1"/>
  <c r="AN277" i="1" s="1"/>
  <c r="N117" i="166"/>
  <c r="P117" i="166" s="1"/>
  <c r="AN98" i="1" s="1"/>
  <c r="N222" i="166"/>
  <c r="N218" i="166"/>
  <c r="P218" i="166" s="1"/>
  <c r="AN349" i="1" s="1"/>
  <c r="N195" i="166"/>
  <c r="P195" i="166" s="1"/>
  <c r="AN146" i="1" s="1"/>
  <c r="N233" i="166"/>
  <c r="P233" i="166" s="1"/>
  <c r="AN69" i="1" s="1"/>
  <c r="N177" i="166"/>
  <c r="P177" i="166" s="1"/>
  <c r="AN194" i="1" s="1"/>
  <c r="N11" i="166"/>
  <c r="P11" i="166" s="1"/>
  <c r="AN230" i="1" s="1"/>
  <c r="U50" i="166"/>
  <c r="T50" i="166"/>
  <c r="U178" i="166"/>
  <c r="T178" i="166"/>
  <c r="U164" i="166"/>
  <c r="T164" i="166"/>
  <c r="U331" i="166"/>
  <c r="T331" i="166"/>
  <c r="N152" i="166"/>
  <c r="P152" i="166" s="1"/>
  <c r="AN86" i="1" s="1"/>
  <c r="U398" i="166"/>
  <c r="T398" i="166"/>
  <c r="T393" i="166"/>
  <c r="U393" i="166"/>
  <c r="U59" i="166"/>
  <c r="T59" i="166"/>
  <c r="U272" i="166"/>
  <c r="T272" i="166"/>
  <c r="U124" i="166"/>
  <c r="T124" i="166"/>
  <c r="U194" i="166"/>
  <c r="T194" i="166"/>
  <c r="U187" i="166"/>
  <c r="T187" i="166"/>
  <c r="U302" i="166"/>
  <c r="T302" i="166"/>
  <c r="U217" i="166"/>
  <c r="T217" i="166"/>
  <c r="U352" i="166"/>
  <c r="T352" i="166"/>
  <c r="U148" i="166"/>
  <c r="T148" i="166"/>
  <c r="U359" i="166"/>
  <c r="T359" i="166"/>
  <c r="U128" i="166"/>
  <c r="T128" i="166"/>
  <c r="N300" i="166"/>
  <c r="P300" i="166" s="1"/>
  <c r="AN293" i="1" s="1"/>
  <c r="N336" i="166"/>
  <c r="P336" i="166" s="1"/>
  <c r="AN172" i="1" s="1"/>
  <c r="N102" i="166"/>
  <c r="P102" i="166" s="1"/>
  <c r="AN100" i="1" s="1"/>
  <c r="N145" i="166"/>
  <c r="P145" i="166" s="1"/>
  <c r="AN22" i="1" s="1"/>
  <c r="N94" i="166"/>
  <c r="P94" i="166" s="1"/>
  <c r="AN55" i="1" s="1"/>
  <c r="N360" i="166"/>
  <c r="N135" i="166"/>
  <c r="P135" i="166" s="1"/>
  <c r="AN140" i="1" s="1"/>
  <c r="N325" i="166"/>
  <c r="P325" i="166" s="1"/>
  <c r="AN282" i="1" s="1"/>
  <c r="N125" i="166"/>
  <c r="N349" i="166"/>
  <c r="P349" i="166" s="1"/>
  <c r="AN368" i="1" s="1"/>
  <c r="N108" i="166"/>
  <c r="P108" i="166" s="1"/>
  <c r="AN215" i="1" s="1"/>
  <c r="N287" i="166"/>
  <c r="P287" i="166" s="1"/>
  <c r="AN334" i="1" s="1"/>
  <c r="N144" i="166"/>
  <c r="P144" i="166" s="1"/>
  <c r="AN311" i="1" s="1"/>
  <c r="U405" i="166"/>
  <c r="T405" i="166"/>
  <c r="U185" i="166"/>
  <c r="T185" i="166"/>
  <c r="U304" i="166"/>
  <c r="T304" i="166"/>
  <c r="U70" i="166"/>
  <c r="T70" i="166"/>
  <c r="N280" i="166"/>
  <c r="P280" i="166" s="1"/>
  <c r="AN15" i="1" s="1"/>
  <c r="T266" i="166"/>
  <c r="U266" i="166"/>
  <c r="U310" i="166"/>
  <c r="T310" i="166"/>
  <c r="U48" i="166"/>
  <c r="T48" i="166"/>
  <c r="T270" i="166"/>
  <c r="U270" i="166"/>
  <c r="U19" i="166"/>
  <c r="T19" i="166"/>
  <c r="U150" i="166"/>
  <c r="T150" i="166"/>
  <c r="T210" i="166"/>
  <c r="U210" i="166"/>
  <c r="U322" i="166"/>
  <c r="T322" i="166"/>
  <c r="U341" i="166"/>
  <c r="T341" i="166"/>
  <c r="U207" i="166"/>
  <c r="T207" i="166"/>
  <c r="T116" i="166"/>
  <c r="U116" i="166"/>
  <c r="U267" i="166"/>
  <c r="T267" i="166"/>
  <c r="U167" i="166"/>
  <c r="T167" i="166"/>
  <c r="U309" i="166"/>
  <c r="T309" i="166"/>
  <c r="U364" i="166"/>
  <c r="T364" i="166"/>
  <c r="U75" i="166"/>
  <c r="T75" i="166"/>
  <c r="U353" i="166"/>
  <c r="T353" i="166"/>
  <c r="U114" i="166"/>
  <c r="T114" i="166"/>
  <c r="U203" i="166"/>
  <c r="T203" i="166"/>
  <c r="U410" i="166"/>
  <c r="T410" i="166"/>
  <c r="U401" i="166"/>
  <c r="T401" i="166"/>
  <c r="N232" i="166"/>
  <c r="N367" i="166"/>
  <c r="P367" i="166" s="1"/>
  <c r="AN110" i="1" s="1"/>
  <c r="N76" i="166"/>
  <c r="P76" i="166" s="1"/>
  <c r="AN305" i="1" s="1"/>
  <c r="N175" i="166"/>
  <c r="P175" i="166" s="1"/>
  <c r="AN403" i="1" s="1"/>
  <c r="N183" i="166"/>
  <c r="P183" i="166" s="1"/>
  <c r="AN160" i="1" s="1"/>
  <c r="N20" i="166"/>
  <c r="P20" i="166" s="1"/>
  <c r="AN114" i="1" s="1"/>
  <c r="N223" i="166"/>
  <c r="P223" i="166" s="1"/>
  <c r="AN141" i="1" s="1"/>
  <c r="N132" i="166"/>
  <c r="P132" i="166" s="1"/>
  <c r="AN135" i="1" s="1"/>
  <c r="N118" i="166"/>
  <c r="P118" i="166" s="1"/>
  <c r="AN187" i="1" s="1"/>
  <c r="N115" i="166"/>
  <c r="P115" i="166" s="1"/>
  <c r="AN94" i="1" s="1"/>
  <c r="N227" i="166"/>
  <c r="P227" i="166" s="1"/>
  <c r="AN143" i="1" s="1"/>
  <c r="N350" i="166"/>
  <c r="P350" i="166" s="1"/>
  <c r="AN341" i="1" s="1"/>
  <c r="N236" i="166"/>
  <c r="P236" i="166" s="1"/>
  <c r="AN322" i="1" s="1"/>
  <c r="U198" i="166"/>
  <c r="T198" i="166"/>
  <c r="U297" i="166"/>
  <c r="T297" i="166"/>
  <c r="U89" i="166"/>
  <c r="T89" i="166"/>
  <c r="U61" i="166"/>
  <c r="T61" i="166"/>
  <c r="U386" i="166"/>
  <c r="T386" i="166"/>
  <c r="U265" i="166"/>
  <c r="T265" i="166"/>
  <c r="U74" i="166"/>
  <c r="T74" i="166"/>
  <c r="U355" i="166"/>
  <c r="T355" i="166"/>
  <c r="U372" i="166"/>
  <c r="T372" i="166"/>
  <c r="T345" i="166"/>
  <c r="U345" i="166"/>
  <c r="U113" i="166"/>
  <c r="T113" i="166"/>
  <c r="T188" i="166"/>
  <c r="U188" i="166"/>
  <c r="T101" i="166"/>
  <c r="U101" i="166"/>
  <c r="U306" i="166"/>
  <c r="T306" i="166"/>
  <c r="U92" i="166"/>
  <c r="T92" i="166"/>
  <c r="N231" i="166"/>
  <c r="P231" i="166" s="1"/>
  <c r="AN307" i="1" s="1"/>
  <c r="U240" i="166"/>
  <c r="T240" i="166"/>
  <c r="N142" i="166"/>
  <c r="P142" i="166" s="1"/>
  <c r="AN24" i="1" s="1"/>
  <c r="N234" i="166"/>
  <c r="N107" i="166"/>
  <c r="P107" i="166" s="1"/>
  <c r="AN161" i="1" s="1"/>
  <c r="N361" i="166"/>
  <c r="P361" i="166" s="1"/>
  <c r="AN339" i="1" s="1"/>
  <c r="N151" i="166"/>
  <c r="P151" i="166" s="1"/>
  <c r="AN313" i="1" s="1"/>
  <c r="N193" i="166"/>
  <c r="P193" i="166" s="1"/>
  <c r="AN242" i="1" s="1"/>
  <c r="N351" i="166"/>
  <c r="N371" i="166"/>
  <c r="P371" i="166" s="1"/>
  <c r="AN192" i="1" s="1"/>
  <c r="N219" i="166"/>
  <c r="P219" i="166" s="1"/>
  <c r="AN401" i="1" s="1"/>
  <c r="N197" i="166"/>
  <c r="P197" i="166" s="1"/>
  <c r="AN145" i="1" s="1"/>
  <c r="N192" i="166"/>
  <c r="P192" i="166" s="1"/>
  <c r="AN348" i="1" s="1"/>
  <c r="N184" i="166"/>
  <c r="P184" i="166" s="1"/>
  <c r="AN144" i="1" s="1"/>
  <c r="N327" i="166"/>
  <c r="P327" i="166" s="1"/>
  <c r="AN35" i="1" s="1"/>
  <c r="N111" i="166"/>
  <c r="P111" i="166" s="1"/>
  <c r="AN224" i="1" s="1"/>
  <c r="N216" i="166"/>
  <c r="P216" i="166" s="1"/>
  <c r="AN321" i="1" s="1"/>
  <c r="N98" i="166"/>
  <c r="P98" i="166" s="1"/>
  <c r="AN188" i="1" s="1"/>
  <c r="U209" i="166"/>
  <c r="T209" i="166"/>
  <c r="U264" i="166"/>
  <c r="T264" i="166"/>
  <c r="U380" i="166"/>
  <c r="T380" i="166"/>
  <c r="T262" i="166"/>
  <c r="U262" i="166"/>
  <c r="U97" i="166"/>
  <c r="T97" i="166"/>
  <c r="U274" i="166"/>
  <c r="T274" i="166"/>
  <c r="U112" i="166"/>
  <c r="T112" i="166"/>
  <c r="U146" i="166"/>
  <c r="T146" i="166"/>
  <c r="T226" i="166"/>
  <c r="U226" i="166"/>
  <c r="U9" i="166"/>
  <c r="T9" i="166"/>
  <c r="U168" i="166"/>
  <c r="T168" i="166"/>
  <c r="U96" i="166"/>
  <c r="T96" i="166"/>
  <c r="U394" i="166"/>
  <c r="T394" i="166"/>
  <c r="U268" i="166"/>
  <c r="T268" i="166"/>
  <c r="U328" i="166"/>
  <c r="T328" i="166"/>
  <c r="U278" i="166"/>
  <c r="T278" i="166"/>
  <c r="U99" i="166"/>
  <c r="T99" i="166"/>
  <c r="U276" i="166"/>
  <c r="T276" i="166"/>
  <c r="U95" i="166"/>
  <c r="T95" i="166"/>
  <c r="U263" i="166"/>
  <c r="T263" i="166"/>
  <c r="U354" i="166"/>
  <c r="T354" i="166"/>
  <c r="U279" i="166"/>
  <c r="T279" i="166"/>
  <c r="U16" i="166"/>
  <c r="T16" i="166"/>
  <c r="N220" i="166"/>
  <c r="P220" i="166" s="1"/>
  <c r="AN151" i="1" s="1"/>
  <c r="U275" i="166"/>
  <c r="T275" i="166"/>
  <c r="U308" i="166"/>
  <c r="T308" i="166"/>
  <c r="U159" i="166"/>
  <c r="T159" i="166"/>
  <c r="X68" i="166"/>
  <c r="O335" i="166"/>
  <c r="V376" i="166"/>
  <c r="W376" i="166"/>
  <c r="W83" i="166"/>
  <c r="R83" i="166" s="1"/>
  <c r="V83" i="166"/>
  <c r="Q83" i="166" s="1"/>
  <c r="P83" i="166"/>
  <c r="AN336" i="1" s="1"/>
  <c r="W84" i="166"/>
  <c r="R84" i="166" s="1"/>
  <c r="V84" i="166"/>
  <c r="Q84" i="166" s="1"/>
  <c r="P84" i="166"/>
  <c r="AN121" i="1" s="1"/>
  <c r="W125" i="166"/>
  <c r="V125" i="166"/>
  <c r="W259" i="166"/>
  <c r="V259" i="166"/>
  <c r="Q259" i="166" s="1"/>
  <c r="P259" i="166"/>
  <c r="AN357" i="1" s="1"/>
  <c r="W102" i="166"/>
  <c r="V102" i="166"/>
  <c r="W161" i="166"/>
  <c r="R161" i="166" s="1"/>
  <c r="V161" i="166"/>
  <c r="Q161" i="166" s="1"/>
  <c r="P161" i="166"/>
  <c r="AN73" i="1" s="1"/>
  <c r="W91" i="166"/>
  <c r="V91" i="166"/>
  <c r="Q91" i="166" s="1"/>
  <c r="P91" i="166"/>
  <c r="AN229" i="1" s="1"/>
  <c r="W51" i="166"/>
  <c r="V51" i="166"/>
  <c r="P51" i="166"/>
  <c r="AN370" i="1" s="1"/>
  <c r="W187" i="166"/>
  <c r="V187" i="166"/>
  <c r="P187" i="166"/>
  <c r="AN402" i="1" s="1"/>
  <c r="W260" i="166"/>
  <c r="V260" i="166"/>
  <c r="P260" i="166"/>
  <c r="AN409" i="1" s="1"/>
  <c r="W361" i="166"/>
  <c r="V361" i="166"/>
  <c r="W370" i="166"/>
  <c r="V370" i="166"/>
  <c r="V165" i="166"/>
  <c r="W165" i="166"/>
  <c r="P165" i="166"/>
  <c r="AN74" i="1" s="1"/>
  <c r="W397" i="166"/>
  <c r="R397" i="166" s="1"/>
  <c r="V397" i="166"/>
  <c r="Q397" i="166" s="1"/>
  <c r="P397" i="166"/>
  <c r="AN177" i="1" s="1"/>
  <c r="W276" i="166"/>
  <c r="V276" i="166"/>
  <c r="P276" i="166"/>
  <c r="AN335" i="1" s="1"/>
  <c r="W289" i="166"/>
  <c r="V289" i="166"/>
  <c r="W314" i="166"/>
  <c r="R314" i="166" s="1"/>
  <c r="V314" i="166"/>
  <c r="Q314" i="166" s="1"/>
  <c r="P314" i="166"/>
  <c r="AN266" i="1" s="1"/>
  <c r="W26" i="166"/>
  <c r="R26" i="166" s="1"/>
  <c r="V26" i="166"/>
  <c r="Q26" i="166" s="1"/>
  <c r="P26" i="166"/>
  <c r="AN338" i="1" s="1"/>
  <c r="V200" i="166"/>
  <c r="W200" i="166"/>
  <c r="W290" i="166"/>
  <c r="V290" i="166"/>
  <c r="Q290" i="166" s="1"/>
  <c r="P290" i="166"/>
  <c r="AN101" i="1" s="1"/>
  <c r="W43" i="166"/>
  <c r="V43" i="166"/>
  <c r="P43" i="166"/>
  <c r="AN104" i="1" s="1"/>
  <c r="W392" i="166"/>
  <c r="V392" i="166"/>
  <c r="Q392" i="166" s="1"/>
  <c r="P392" i="166"/>
  <c r="AN205" i="1" s="1"/>
  <c r="W39" i="166"/>
  <c r="R39" i="166" s="1"/>
  <c r="V39" i="166"/>
  <c r="Q39" i="166" s="1"/>
  <c r="P39" i="166"/>
  <c r="AN190" i="1" s="1"/>
  <c r="W304" i="166"/>
  <c r="V304" i="166"/>
  <c r="P304" i="166"/>
  <c r="AN21" i="1" s="1"/>
  <c r="W389" i="166"/>
  <c r="R389" i="166" s="1"/>
  <c r="V389" i="166"/>
  <c r="Q389" i="166" s="1"/>
  <c r="P389" i="166"/>
  <c r="AN180" i="1" s="1"/>
  <c r="W278" i="166"/>
  <c r="R278" i="166" s="1"/>
  <c r="V278" i="166"/>
  <c r="Q278" i="166" s="1"/>
  <c r="P278" i="166"/>
  <c r="AN279" i="1" s="1"/>
  <c r="W258" i="166"/>
  <c r="R258" i="166" s="1"/>
  <c r="V258" i="166"/>
  <c r="P258" i="166"/>
  <c r="AN152" i="1" s="1"/>
  <c r="W93" i="166"/>
  <c r="V93" i="166"/>
  <c r="V111" i="166"/>
  <c r="W111" i="166"/>
  <c r="W342" i="166"/>
  <c r="R342" i="166" s="1"/>
  <c r="V342" i="166"/>
  <c r="Q342" i="166" s="1"/>
  <c r="P342" i="166"/>
  <c r="AN227" i="1" s="1"/>
  <c r="W391" i="166"/>
  <c r="R391" i="166" s="1"/>
  <c r="V391" i="166"/>
  <c r="Q391" i="166" s="1"/>
  <c r="P391" i="166"/>
  <c r="AN202" i="1" s="1"/>
  <c r="W34" i="166"/>
  <c r="R34" i="166" s="1"/>
  <c r="V34" i="166"/>
  <c r="Q34" i="166" s="1"/>
  <c r="P34" i="166"/>
  <c r="AN298" i="1" s="1"/>
  <c r="W115" i="166"/>
  <c r="V115" i="166"/>
  <c r="V176" i="166"/>
  <c r="W176" i="166"/>
  <c r="W48" i="166"/>
  <c r="V48" i="166"/>
  <c r="P48" i="166"/>
  <c r="AN363" i="1" s="1"/>
  <c r="W173" i="166"/>
  <c r="V173" i="166"/>
  <c r="W285" i="166"/>
  <c r="V285" i="166"/>
  <c r="Q285" i="166" s="1"/>
  <c r="P285" i="166"/>
  <c r="AN286" i="1" s="1"/>
  <c r="W11" i="166"/>
  <c r="V11" i="166"/>
  <c r="V54" i="166"/>
  <c r="Q54" i="166" s="1"/>
  <c r="W54" i="166"/>
  <c r="R54" i="166" s="1"/>
  <c r="P54" i="166"/>
  <c r="AN107" i="1" s="1"/>
  <c r="W195" i="166"/>
  <c r="V195" i="166"/>
  <c r="W41" i="166"/>
  <c r="R41" i="166" s="1"/>
  <c r="V41" i="166"/>
  <c r="Q41" i="166" s="1"/>
  <c r="P41" i="166"/>
  <c r="AN372" i="1" s="1"/>
  <c r="W16" i="166"/>
  <c r="V16" i="166"/>
  <c r="P16" i="166"/>
  <c r="AN241" i="1" s="1"/>
  <c r="W298" i="166"/>
  <c r="V298" i="166"/>
  <c r="Q298" i="166" s="1"/>
  <c r="P298" i="166"/>
  <c r="AN71" i="1" s="1"/>
  <c r="W129" i="166"/>
  <c r="V129" i="166"/>
  <c r="V37" i="166"/>
  <c r="W37" i="166"/>
  <c r="P37" i="166"/>
  <c r="AN171" i="1" s="1"/>
  <c r="V311" i="166"/>
  <c r="W311" i="166"/>
  <c r="W28" i="166"/>
  <c r="R28" i="166" s="1"/>
  <c r="V28" i="166"/>
  <c r="Q28" i="166" s="1"/>
  <c r="P28" i="166"/>
  <c r="AN294" i="1" s="1"/>
  <c r="W178" i="166"/>
  <c r="V178" i="166"/>
  <c r="P178" i="166"/>
  <c r="AN72" i="1" s="1"/>
  <c r="W157" i="166"/>
  <c r="R157" i="166" s="1"/>
  <c r="V157" i="166"/>
  <c r="Q157" i="166" s="1"/>
  <c r="P157" i="166"/>
  <c r="AN181" i="1" s="1"/>
  <c r="V203" i="166"/>
  <c r="W203" i="166"/>
  <c r="P203" i="166"/>
  <c r="AN14" i="1" s="1"/>
  <c r="W33" i="166"/>
  <c r="V33" i="166"/>
  <c r="Q33" i="166" s="1"/>
  <c r="P33" i="166"/>
  <c r="AN193" i="1" s="1"/>
  <c r="W221" i="166"/>
  <c r="V221" i="166"/>
  <c r="W19" i="166"/>
  <c r="V19" i="166"/>
  <c r="P19" i="166"/>
  <c r="AN37" i="1" s="1"/>
  <c r="W366" i="166"/>
  <c r="V366" i="166"/>
  <c r="O375" i="166"/>
  <c r="W371" i="166"/>
  <c r="V371" i="166"/>
  <c r="O323" i="166"/>
  <c r="W246" i="166"/>
  <c r="R246" i="166" s="1"/>
  <c r="V246" i="166"/>
  <c r="Q246" i="166" s="1"/>
  <c r="P246" i="166"/>
  <c r="AN394" i="1" s="1"/>
  <c r="W160" i="166"/>
  <c r="R160" i="166" s="1"/>
  <c r="V160" i="166"/>
  <c r="Q160" i="166" s="1"/>
  <c r="P160" i="166"/>
  <c r="AN283" i="1" s="1"/>
  <c r="W153" i="166"/>
  <c r="R153" i="166" s="1"/>
  <c r="V153" i="166"/>
  <c r="P153" i="166"/>
  <c r="AN40" i="1" s="1"/>
  <c r="W38" i="166"/>
  <c r="R38" i="166" s="1"/>
  <c r="V38" i="166"/>
  <c r="Q38" i="166" s="1"/>
  <c r="P38" i="166"/>
  <c r="AN157" i="1" s="1"/>
  <c r="W7" i="166"/>
  <c r="R7" i="166" s="1"/>
  <c r="V7" i="166"/>
  <c r="P7" i="166"/>
  <c r="AN19" i="1" s="1"/>
  <c r="W210" i="166"/>
  <c r="V210" i="166"/>
  <c r="P210" i="166"/>
  <c r="AN179" i="1" s="1"/>
  <c r="W330" i="166"/>
  <c r="R330" i="166" s="1"/>
  <c r="V330" i="166"/>
  <c r="P330" i="166"/>
  <c r="AN317" i="1" s="1"/>
  <c r="O355" i="166"/>
  <c r="W352" i="166"/>
  <c r="V352" i="166"/>
  <c r="Q352" i="166" s="1"/>
  <c r="P352" i="166"/>
  <c r="AN364" i="1" s="1"/>
  <c r="V383" i="166"/>
  <c r="Q383" i="166" s="1"/>
  <c r="W383" i="166"/>
  <c r="R383" i="166" s="1"/>
  <c r="P383" i="166"/>
  <c r="AN126" i="1" s="1"/>
  <c r="V79" i="166"/>
  <c r="Q79" i="166" s="1"/>
  <c r="W79" i="166"/>
  <c r="R79" i="166" s="1"/>
  <c r="P79" i="166"/>
  <c r="AN288" i="1" s="1"/>
  <c r="W373" i="166"/>
  <c r="V373" i="166"/>
  <c r="W207" i="166"/>
  <c r="V207" i="166"/>
  <c r="P207" i="166"/>
  <c r="AN200" i="1" s="1"/>
  <c r="W334" i="166"/>
  <c r="V334" i="166"/>
  <c r="P334" i="166"/>
  <c r="AN295" i="1" s="1"/>
  <c r="W372" i="166"/>
  <c r="V372" i="166"/>
  <c r="P372" i="166"/>
  <c r="AN214" i="1" s="1"/>
  <c r="W333" i="166"/>
  <c r="V333" i="166"/>
  <c r="P333" i="166"/>
  <c r="AN296" i="1" s="1"/>
  <c r="W86" i="166"/>
  <c r="R86" i="166" s="1"/>
  <c r="V86" i="166"/>
  <c r="Q86" i="166" s="1"/>
  <c r="P86" i="166"/>
  <c r="AN123" i="1" s="1"/>
  <c r="W345" i="166"/>
  <c r="V345" i="166"/>
  <c r="P345" i="166"/>
  <c r="AN9" i="1" s="1"/>
  <c r="W250" i="166"/>
  <c r="R250" i="166" s="1"/>
  <c r="V250" i="166"/>
  <c r="Q250" i="166" s="1"/>
  <c r="P250" i="166"/>
  <c r="AN245" i="1" s="1"/>
  <c r="W378" i="166"/>
  <c r="V378" i="166"/>
  <c r="Q378" i="166" s="1"/>
  <c r="P378" i="166"/>
  <c r="AN206" i="1" s="1"/>
  <c r="W76" i="166"/>
  <c r="V76" i="166"/>
  <c r="W307" i="166"/>
  <c r="V307" i="166"/>
  <c r="W20" i="166"/>
  <c r="V20" i="166"/>
  <c r="W61" i="166"/>
  <c r="V61" i="166"/>
  <c r="P61" i="166"/>
  <c r="AN84" i="1" s="1"/>
  <c r="W186" i="166"/>
  <c r="V186" i="166"/>
  <c r="P186" i="166"/>
  <c r="AN91" i="1" s="1"/>
  <c r="W177" i="166"/>
  <c r="V177" i="166"/>
  <c r="W87" i="166"/>
  <c r="R87" i="166" s="1"/>
  <c r="V87" i="166"/>
  <c r="Q87" i="166" s="1"/>
  <c r="P87" i="166"/>
  <c r="AN223" i="1" s="1"/>
  <c r="W234" i="166"/>
  <c r="V234" i="166"/>
  <c r="W270" i="166"/>
  <c r="V270" i="166"/>
  <c r="P270" i="166"/>
  <c r="AN195" i="1" s="1"/>
  <c r="W107" i="166"/>
  <c r="V107" i="166"/>
  <c r="W283" i="166"/>
  <c r="V283" i="166"/>
  <c r="W405" i="166"/>
  <c r="V405" i="166"/>
  <c r="P405" i="166"/>
  <c r="AN213" i="1" s="1"/>
  <c r="W142" i="166"/>
  <c r="V142" i="166"/>
  <c r="W406" i="166"/>
  <c r="R406" i="166" s="1"/>
  <c r="V406" i="166"/>
  <c r="Q406" i="166" s="1"/>
  <c r="P406" i="166"/>
  <c r="AN218" i="1" s="1"/>
  <c r="W108" i="166"/>
  <c r="V108" i="166"/>
  <c r="W104" i="166"/>
  <c r="R104" i="166" s="1"/>
  <c r="V104" i="166"/>
  <c r="Q104" i="166" s="1"/>
  <c r="P104" i="166"/>
  <c r="AN136" i="1" s="1"/>
  <c r="W231" i="166"/>
  <c r="V231" i="166"/>
  <c r="W116" i="166"/>
  <c r="V116" i="166"/>
  <c r="P116" i="166"/>
  <c r="AN244" i="1" s="1"/>
  <c r="W144" i="166"/>
  <c r="V144" i="166"/>
  <c r="W113" i="166"/>
  <c r="V113" i="166"/>
  <c r="P113" i="166"/>
  <c r="AN139" i="1" s="1"/>
  <c r="W267" i="166"/>
  <c r="V267" i="166"/>
  <c r="P267" i="166"/>
  <c r="AN60" i="1" s="1"/>
  <c r="W315" i="166"/>
  <c r="R315" i="166" s="1"/>
  <c r="V315" i="166"/>
  <c r="Q315" i="166" s="1"/>
  <c r="P315" i="166"/>
  <c r="AN264" i="1" s="1"/>
  <c r="W171" i="166"/>
  <c r="R171" i="166" s="1"/>
  <c r="V171" i="166"/>
  <c r="Q171" i="166" s="1"/>
  <c r="P171" i="166"/>
  <c r="AN280" i="1" s="1"/>
  <c r="W407" i="166"/>
  <c r="R407" i="166" s="1"/>
  <c r="V407" i="166"/>
  <c r="Q407" i="166" s="1"/>
  <c r="P407" i="166"/>
  <c r="AN216" i="1" s="1"/>
  <c r="W232" i="166"/>
  <c r="V232" i="166"/>
  <c r="W301" i="166"/>
  <c r="V301" i="166"/>
  <c r="Q301" i="166" s="1"/>
  <c r="P301" i="166"/>
  <c r="AN291" i="1" s="1"/>
  <c r="W343" i="166"/>
  <c r="R343" i="166" s="1"/>
  <c r="V343" i="166"/>
  <c r="Q343" i="166" s="1"/>
  <c r="P343" i="166"/>
  <c r="AN129" i="1" s="1"/>
  <c r="W141" i="166"/>
  <c r="V141" i="166"/>
  <c r="W404" i="166"/>
  <c r="R404" i="166" s="1"/>
  <c r="V404" i="166"/>
  <c r="P404" i="166"/>
  <c r="AN219" i="1" s="1"/>
  <c r="V264" i="166"/>
  <c r="W264" i="166"/>
  <c r="P264" i="166"/>
  <c r="AN112" i="1" s="1"/>
  <c r="W121" i="166"/>
  <c r="R121" i="166" s="1"/>
  <c r="V121" i="166"/>
  <c r="P121" i="166"/>
  <c r="AN138" i="1" s="1"/>
  <c r="W166" i="166"/>
  <c r="R166" i="166" s="1"/>
  <c r="V166" i="166"/>
  <c r="Q166" i="166" s="1"/>
  <c r="P166" i="166"/>
  <c r="AN236" i="1" s="1"/>
  <c r="W189" i="166"/>
  <c r="V189" i="166"/>
  <c r="W381" i="166"/>
  <c r="R381" i="166" s="1"/>
  <c r="V381" i="166"/>
  <c r="Q381" i="166" s="1"/>
  <c r="P381" i="166"/>
  <c r="AN302" i="1" s="1"/>
  <c r="W354" i="166"/>
  <c r="V354" i="166"/>
  <c r="P354" i="166"/>
  <c r="AN366" i="1" s="1"/>
  <c r="W353" i="166"/>
  <c r="V353" i="166"/>
  <c r="P353" i="166"/>
  <c r="AN182" i="1" s="1"/>
  <c r="W357" i="166"/>
  <c r="V357" i="166"/>
  <c r="W132" i="166"/>
  <c r="V132" i="166"/>
  <c r="W71" i="166"/>
  <c r="V71" i="166"/>
  <c r="Q71" i="166" s="1"/>
  <c r="P71" i="166"/>
  <c r="AN304" i="1" s="1"/>
  <c r="W181" i="166"/>
  <c r="V181" i="166"/>
  <c r="P181" i="166"/>
  <c r="AN8" i="1" s="1"/>
  <c r="W386" i="166"/>
  <c r="R386" i="166" s="1"/>
  <c r="V386" i="166"/>
  <c r="P386" i="166"/>
  <c r="AN197" i="1" s="1"/>
  <c r="W192" i="166"/>
  <c r="V192" i="166"/>
  <c r="W237" i="166"/>
  <c r="R237" i="166" s="1"/>
  <c r="V237" i="166"/>
  <c r="P237" i="166"/>
  <c r="AN20" i="1" s="1"/>
  <c r="V348" i="166"/>
  <c r="W348" i="166"/>
  <c r="V136" i="166"/>
  <c r="W136" i="166"/>
  <c r="W339" i="166"/>
  <c r="R339" i="166" s="1"/>
  <c r="V339" i="166"/>
  <c r="Q339" i="166" s="1"/>
  <c r="P339" i="166"/>
  <c r="AN34" i="1" s="1"/>
  <c r="W321" i="166"/>
  <c r="V321" i="166"/>
  <c r="P321" i="166"/>
  <c r="AN33" i="1" s="1"/>
  <c r="O81" i="166"/>
  <c r="O346" i="166"/>
  <c r="O331" i="166"/>
  <c r="O364" i="166"/>
  <c r="O369" i="166"/>
  <c r="O359" i="166"/>
  <c r="O320" i="166"/>
  <c r="O303" i="166"/>
  <c r="W158" i="166"/>
  <c r="R158" i="166" s="1"/>
  <c r="V158" i="166"/>
  <c r="Q158" i="166" s="1"/>
  <c r="P158" i="166"/>
  <c r="AN400" i="1" s="1"/>
  <c r="W201" i="166"/>
  <c r="R201" i="166" s="1"/>
  <c r="V201" i="166"/>
  <c r="P201" i="166"/>
  <c r="AN399" i="1" s="1"/>
  <c r="W50" i="166"/>
  <c r="V50" i="166"/>
  <c r="P50" i="166"/>
  <c r="AN149" i="1" s="1"/>
  <c r="W265" i="166"/>
  <c r="V265" i="166"/>
  <c r="P265" i="166"/>
  <c r="AN287" i="1" s="1"/>
  <c r="W236" i="166"/>
  <c r="V236" i="166"/>
  <c r="W17" i="166"/>
  <c r="V17" i="166"/>
  <c r="V280" i="166"/>
  <c r="W280" i="166"/>
  <c r="W317" i="166"/>
  <c r="R317" i="166" s="1"/>
  <c r="V317" i="166"/>
  <c r="Q317" i="166" s="1"/>
  <c r="P317" i="166"/>
  <c r="AN261" i="1" s="1"/>
  <c r="W235" i="166"/>
  <c r="V235" i="166"/>
  <c r="Q235" i="166" s="1"/>
  <c r="P235" i="166"/>
  <c r="AN111" i="1" s="1"/>
  <c r="W174" i="166"/>
  <c r="V174" i="166"/>
  <c r="W249" i="166"/>
  <c r="R249" i="166" s="1"/>
  <c r="V249" i="166"/>
  <c r="Q249" i="166" s="1"/>
  <c r="P249" i="166"/>
  <c r="AN381" i="1" s="1"/>
  <c r="W148" i="166"/>
  <c r="V148" i="166"/>
  <c r="P148" i="166"/>
  <c r="AN378" i="1" s="1"/>
  <c r="W190" i="166"/>
  <c r="V190" i="166"/>
  <c r="X238" i="166"/>
  <c r="W291" i="166"/>
  <c r="V291" i="166"/>
  <c r="W40" i="166"/>
  <c r="R40" i="166" s="1"/>
  <c r="V40" i="166"/>
  <c r="Q40" i="166" s="1"/>
  <c r="P40" i="166"/>
  <c r="AN289" i="1" s="1"/>
  <c r="W156" i="166"/>
  <c r="R156" i="166" s="1"/>
  <c r="V156" i="166"/>
  <c r="Q156" i="166" s="1"/>
  <c r="P156" i="166"/>
  <c r="AN142" i="1" s="1"/>
  <c r="V96" i="166"/>
  <c r="W96" i="166"/>
  <c r="R96" i="166" s="1"/>
  <c r="P96" i="166"/>
  <c r="AN176" i="1" s="1"/>
  <c r="W60" i="166"/>
  <c r="V60" i="166"/>
  <c r="P60" i="166"/>
  <c r="AN312" i="1" s="1"/>
  <c r="V255" i="166"/>
  <c r="Q255" i="166" s="1"/>
  <c r="W255" i="166"/>
  <c r="R255" i="166" s="1"/>
  <c r="P255" i="166"/>
  <c r="AN119" i="1" s="1"/>
  <c r="W244" i="166"/>
  <c r="R244" i="166" s="1"/>
  <c r="V244" i="166"/>
  <c r="Q244" i="166" s="1"/>
  <c r="P244" i="166"/>
  <c r="AN325" i="1" s="1"/>
  <c r="V263" i="166"/>
  <c r="W263" i="166"/>
  <c r="P263" i="166"/>
  <c r="AN299" i="1" s="1"/>
  <c r="W272" i="166"/>
  <c r="V272" i="166"/>
  <c r="P272" i="166"/>
  <c r="AN404" i="1" s="1"/>
  <c r="W57" i="166"/>
  <c r="R57" i="166" s="1"/>
  <c r="V57" i="166"/>
  <c r="Q57" i="166" s="1"/>
  <c r="P57" i="166"/>
  <c r="AN361" i="1" s="1"/>
  <c r="W150" i="166"/>
  <c r="V150" i="166"/>
  <c r="Q150" i="166" s="1"/>
  <c r="P150" i="166"/>
  <c r="AN66" i="1" s="1"/>
  <c r="W44" i="166"/>
  <c r="R44" i="166" s="1"/>
  <c r="V44" i="166"/>
  <c r="Q44" i="166" s="1"/>
  <c r="P44" i="166"/>
  <c r="AN147" i="1" s="1"/>
  <c r="W196" i="166"/>
  <c r="V196" i="166"/>
  <c r="W223" i="166"/>
  <c r="V223" i="166"/>
  <c r="W6" i="166"/>
  <c r="R6" i="166" s="1"/>
  <c r="V6" i="166"/>
  <c r="Q6" i="166" s="1"/>
  <c r="P6" i="166"/>
  <c r="AN124" i="1" s="1"/>
  <c r="W170" i="166"/>
  <c r="R170" i="166" s="1"/>
  <c r="V170" i="166"/>
  <c r="Q170" i="166" s="1"/>
  <c r="P170" i="166"/>
  <c r="AN260" i="1" s="1"/>
  <c r="V410" i="166"/>
  <c r="W410" i="166"/>
  <c r="R410" i="166" s="1"/>
  <c r="P410" i="166"/>
  <c r="AN210" i="1" s="1"/>
  <c r="W313" i="166"/>
  <c r="V313" i="166"/>
  <c r="Q313" i="166" s="1"/>
  <c r="P313" i="166"/>
  <c r="AN217" i="1" s="1"/>
  <c r="W162" i="166"/>
  <c r="R162" i="166" s="1"/>
  <c r="V162" i="166"/>
  <c r="Q162" i="166" s="1"/>
  <c r="P162" i="166"/>
  <c r="AN273" i="1" s="1"/>
  <c r="W29" i="166"/>
  <c r="R29" i="166" s="1"/>
  <c r="V29" i="166"/>
  <c r="Q29" i="166" s="1"/>
  <c r="P29" i="166"/>
  <c r="AN85" i="1" s="1"/>
  <c r="W284" i="166"/>
  <c r="R284" i="166" s="1"/>
  <c r="V284" i="166"/>
  <c r="P284" i="166"/>
  <c r="AN88" i="1" s="1"/>
  <c r="W128" i="166"/>
  <c r="V128" i="166"/>
  <c r="P128" i="166"/>
  <c r="AN95" i="1" s="1"/>
  <c r="W318" i="166"/>
  <c r="V318" i="166"/>
  <c r="W124" i="166"/>
  <c r="V124" i="166"/>
  <c r="P124" i="166"/>
  <c r="AN50" i="1" s="1"/>
  <c r="W42" i="166"/>
  <c r="V42" i="166"/>
  <c r="P42" i="166"/>
  <c r="AN359" i="1" s="1"/>
  <c r="W138" i="166"/>
  <c r="R138" i="166" s="1"/>
  <c r="V138" i="166"/>
  <c r="Q138" i="166" s="1"/>
  <c r="P138" i="166"/>
  <c r="AN290" i="1" s="1"/>
  <c r="V312" i="166"/>
  <c r="Q312" i="166" s="1"/>
  <c r="W312" i="166"/>
  <c r="P312" i="166"/>
  <c r="AN342" i="1" s="1"/>
  <c r="W168" i="166"/>
  <c r="V168" i="166"/>
  <c r="P168" i="166"/>
  <c r="AN43" i="1" s="1"/>
  <c r="W327" i="166"/>
  <c r="V327" i="166"/>
  <c r="W337" i="166"/>
  <c r="V337" i="166"/>
  <c r="Q337" i="166" s="1"/>
  <c r="P337" i="166"/>
  <c r="AN318" i="1" s="1"/>
  <c r="W5" i="166"/>
  <c r="V5" i="166"/>
  <c r="O360" i="166"/>
  <c r="W277" i="166"/>
  <c r="V277" i="166"/>
  <c r="Q277" i="166" s="1"/>
  <c r="P277" i="166"/>
  <c r="AN352" i="1" s="1"/>
  <c r="W159" i="166"/>
  <c r="V159" i="166"/>
  <c r="P159" i="166"/>
  <c r="AN329" i="1" s="1"/>
  <c r="W220" i="166"/>
  <c r="V220" i="166"/>
  <c r="O208" i="166"/>
  <c r="W324" i="166"/>
  <c r="V324" i="166"/>
  <c r="V240" i="166"/>
  <c r="W240" i="166"/>
  <c r="R240" i="166" s="1"/>
  <c r="P240" i="166"/>
  <c r="AN27" i="1" s="1"/>
  <c r="W274" i="166"/>
  <c r="V274" i="166"/>
  <c r="P274" i="166"/>
  <c r="AN16" i="1" s="1"/>
  <c r="O363" i="166"/>
  <c r="O382" i="166"/>
  <c r="O319" i="166"/>
  <c r="O358" i="166"/>
  <c r="O78" i="166"/>
  <c r="O365" i="166"/>
  <c r="O212" i="166"/>
  <c r="O213" i="166"/>
  <c r="W379" i="166"/>
  <c r="V379" i="166"/>
  <c r="Q379" i="166" s="1"/>
  <c r="P379" i="166"/>
  <c r="AN12" i="1" s="1"/>
  <c r="V58" i="166"/>
  <c r="Q58" i="166" s="1"/>
  <c r="W58" i="166"/>
  <c r="P58" i="166"/>
  <c r="AN297" i="1" s="1"/>
  <c r="W294" i="166"/>
  <c r="R294" i="166" s="1"/>
  <c r="V294" i="166"/>
  <c r="W18" i="166"/>
  <c r="V18" i="166"/>
  <c r="Q18" i="166" s="1"/>
  <c r="P18" i="166"/>
  <c r="AN115" i="1" s="1"/>
  <c r="W62" i="166"/>
  <c r="V62" i="166"/>
  <c r="P62" i="166"/>
  <c r="AN79" i="1" s="1"/>
  <c r="W408" i="166"/>
  <c r="V408" i="166"/>
  <c r="P408" i="166"/>
  <c r="AN203" i="1" s="1"/>
  <c r="W229" i="166"/>
  <c r="V229" i="166"/>
  <c r="V385" i="166"/>
  <c r="Q385" i="166" s="1"/>
  <c r="W385" i="166"/>
  <c r="R385" i="166" s="1"/>
  <c r="P385" i="166"/>
  <c r="AN196" i="1" s="1"/>
  <c r="V151" i="166"/>
  <c r="W151" i="166"/>
  <c r="W106" i="166"/>
  <c r="V106" i="166"/>
  <c r="P106" i="166"/>
  <c r="AN102" i="1" s="1"/>
  <c r="W120" i="166"/>
  <c r="V120" i="166"/>
  <c r="Q120" i="166" s="1"/>
  <c r="P120" i="166"/>
  <c r="AN406" i="1" s="1"/>
  <c r="V239" i="166"/>
  <c r="Q239" i="166" s="1"/>
  <c r="W239" i="166"/>
  <c r="R239" i="166" s="1"/>
  <c r="P239" i="166"/>
  <c r="AN408" i="1" s="1"/>
  <c r="W182" i="166"/>
  <c r="V182" i="166"/>
  <c r="W146" i="166"/>
  <c r="V146" i="166"/>
  <c r="P146" i="166"/>
  <c r="AN68" i="1" s="1"/>
  <c r="V46" i="166"/>
  <c r="Q46" i="166" s="1"/>
  <c r="W46" i="166"/>
  <c r="R46" i="166" s="1"/>
  <c r="P46" i="166"/>
  <c r="AN383" i="1" s="1"/>
  <c r="W282" i="166"/>
  <c r="V282" i="166"/>
  <c r="P282" i="166"/>
  <c r="AN32" i="1" s="1"/>
  <c r="W89" i="166"/>
  <c r="V89" i="166"/>
  <c r="P89" i="166"/>
  <c r="AN407" i="1" s="1"/>
  <c r="W387" i="166"/>
  <c r="R387" i="166" s="1"/>
  <c r="V387" i="166"/>
  <c r="Q387" i="166" s="1"/>
  <c r="P387" i="166"/>
  <c r="AN173" i="1" s="1"/>
  <c r="V30" i="166"/>
  <c r="Q30" i="166" s="1"/>
  <c r="W30" i="166"/>
  <c r="R30" i="166" s="1"/>
  <c r="P30" i="166"/>
  <c r="AN118" i="1" s="1"/>
  <c r="W52" i="166"/>
  <c r="R52" i="166" s="1"/>
  <c r="V52" i="166"/>
  <c r="Q52" i="166" s="1"/>
  <c r="P52" i="166"/>
  <c r="AN155" i="1" s="1"/>
  <c r="V97" i="166"/>
  <c r="W97" i="166"/>
  <c r="P97" i="166"/>
  <c r="AN96" i="1" s="1"/>
  <c r="V127" i="166"/>
  <c r="W127" i="166"/>
  <c r="V69" i="166"/>
  <c r="Q69" i="166" s="1"/>
  <c r="W69" i="166"/>
  <c r="R69" i="166" s="1"/>
  <c r="P69" i="166"/>
  <c r="AN262" i="1" s="1"/>
  <c r="W194" i="166"/>
  <c r="V194" i="166"/>
  <c r="Q194" i="166" s="1"/>
  <c r="P194" i="166"/>
  <c r="AN133" i="1" s="1"/>
  <c r="W400" i="166"/>
  <c r="R400" i="166" s="1"/>
  <c r="V400" i="166"/>
  <c r="Q400" i="166" s="1"/>
  <c r="P400" i="166"/>
  <c r="AN331" i="1" s="1"/>
  <c r="W252" i="166"/>
  <c r="R252" i="166" s="1"/>
  <c r="V252" i="166"/>
  <c r="Q252" i="166" s="1"/>
  <c r="P252" i="166"/>
  <c r="AN67" i="1" s="1"/>
  <c r="W273" i="166"/>
  <c r="V273" i="166"/>
  <c r="Q273" i="166" s="1"/>
  <c r="P273" i="166"/>
  <c r="AN222" i="1" s="1"/>
  <c r="W243" i="166"/>
  <c r="R243" i="166" s="1"/>
  <c r="V243" i="166"/>
  <c r="Q243" i="166" s="1"/>
  <c r="P243" i="166"/>
  <c r="AN393" i="1" s="1"/>
  <c r="W340" i="166"/>
  <c r="R340" i="166" s="1"/>
  <c r="V340" i="166"/>
  <c r="Q340" i="166" s="1"/>
  <c r="P340" i="166"/>
  <c r="AN125" i="1" s="1"/>
  <c r="W256" i="166"/>
  <c r="R256" i="166" s="1"/>
  <c r="V256" i="166"/>
  <c r="Q256" i="166" s="1"/>
  <c r="P256" i="166"/>
  <c r="AN80" i="1" s="1"/>
  <c r="W99" i="166"/>
  <c r="V99" i="166"/>
  <c r="P99" i="166"/>
  <c r="AN234" i="1" s="1"/>
  <c r="W88" i="166"/>
  <c r="R88" i="166" s="1"/>
  <c r="V88" i="166"/>
  <c r="Q88" i="166" s="1"/>
  <c r="P88" i="166"/>
  <c r="AN314" i="1" s="1"/>
  <c r="W297" i="166"/>
  <c r="V297" i="166"/>
  <c r="P297" i="166"/>
  <c r="AN228" i="1" s="1"/>
  <c r="W247" i="166"/>
  <c r="R247" i="166" s="1"/>
  <c r="V247" i="166"/>
  <c r="Q247" i="166" s="1"/>
  <c r="P247" i="166"/>
  <c r="AN387" i="1" s="1"/>
  <c r="V175" i="166"/>
  <c r="W175" i="166"/>
  <c r="W82" i="166"/>
  <c r="R82" i="166" s="1"/>
  <c r="V82" i="166"/>
  <c r="Q82" i="166" s="1"/>
  <c r="P82" i="166"/>
  <c r="AN131" i="1" s="1"/>
  <c r="O356" i="166"/>
  <c r="O384" i="166"/>
  <c r="O230" i="166"/>
  <c r="O341" i="166"/>
  <c r="W288" i="166"/>
  <c r="V288" i="166"/>
  <c r="W338" i="166"/>
  <c r="V338" i="166"/>
  <c r="O377" i="166"/>
  <c r="V279" i="166"/>
  <c r="W279" i="166"/>
  <c r="P279" i="166"/>
  <c r="AN411" i="1" s="1"/>
  <c r="V152" i="166"/>
  <c r="W152" i="166"/>
  <c r="W98" i="166"/>
  <c r="V98" i="166"/>
  <c r="W134" i="166"/>
  <c r="V134" i="166"/>
  <c r="Q134" i="166" s="1"/>
  <c r="P134" i="166"/>
  <c r="AN156" i="1" s="1"/>
  <c r="W228" i="166"/>
  <c r="V228" i="166"/>
  <c r="P228" i="166"/>
  <c r="AN323" i="1" s="1"/>
  <c r="W66" i="166"/>
  <c r="R66" i="166" s="1"/>
  <c r="V66" i="166"/>
  <c r="Q66" i="166" s="1"/>
  <c r="P66" i="166"/>
  <c r="AN82" i="1" s="1"/>
  <c r="W233" i="166"/>
  <c r="V233" i="166"/>
  <c r="W163" i="166"/>
  <c r="R163" i="166" s="1"/>
  <c r="V163" i="166"/>
  <c r="Q163" i="166" s="1"/>
  <c r="P163" i="166"/>
  <c r="AN75" i="1" s="1"/>
  <c r="W155" i="166"/>
  <c r="R155" i="166" s="1"/>
  <c r="V155" i="166"/>
  <c r="Q155" i="166" s="1"/>
  <c r="P155" i="166"/>
  <c r="AN328" i="1" s="1"/>
  <c r="W137" i="166"/>
  <c r="R137" i="166" s="1"/>
  <c r="V137" i="166"/>
  <c r="Q137" i="166" s="1"/>
  <c r="P137" i="166"/>
  <c r="AN254" i="1" s="1"/>
  <c r="W27" i="166"/>
  <c r="R27" i="166" s="1"/>
  <c r="V27" i="166"/>
  <c r="Q27" i="166" s="1"/>
  <c r="P27" i="166"/>
  <c r="AN122" i="1" s="1"/>
  <c r="W183" i="166"/>
  <c r="V183" i="166"/>
  <c r="W395" i="166"/>
  <c r="R395" i="166" s="1"/>
  <c r="V395" i="166"/>
  <c r="Q395" i="166" s="1"/>
  <c r="P395" i="166"/>
  <c r="AN201" i="1" s="1"/>
  <c r="W193" i="166"/>
  <c r="V193" i="166"/>
  <c r="W374" i="166"/>
  <c r="V374" i="166"/>
  <c r="W326" i="166"/>
  <c r="V326" i="166"/>
  <c r="W80" i="166"/>
  <c r="R80" i="166" s="1"/>
  <c r="V80" i="166"/>
  <c r="Q80" i="166" s="1"/>
  <c r="P80" i="166"/>
  <c r="AN127" i="1" s="1"/>
  <c r="V215" i="166"/>
  <c r="Q215" i="166" s="1"/>
  <c r="W215" i="166"/>
  <c r="R215" i="166" s="1"/>
  <c r="P215" i="166"/>
  <c r="AN362" i="1" s="1"/>
  <c r="W31" i="166"/>
  <c r="R31" i="166" s="1"/>
  <c r="V31" i="166"/>
  <c r="Q31" i="166" s="1"/>
  <c r="P31" i="166"/>
  <c r="AN386" i="1" s="1"/>
  <c r="W211" i="166"/>
  <c r="R211" i="166" s="1"/>
  <c r="V211" i="166"/>
  <c r="Q211" i="166" s="1"/>
  <c r="P211" i="166"/>
  <c r="AN354" i="1" s="1"/>
  <c r="W109" i="166"/>
  <c r="R109" i="166" s="1"/>
  <c r="V109" i="166"/>
  <c r="P109" i="166"/>
  <c r="AN51" i="1" s="1"/>
  <c r="W293" i="166"/>
  <c r="R293" i="166" s="1"/>
  <c r="V293" i="166"/>
  <c r="P293" i="166"/>
  <c r="AN13" i="1" s="1"/>
  <c r="W328" i="166"/>
  <c r="V328" i="166"/>
  <c r="P328" i="166"/>
  <c r="AN10" i="1" s="1"/>
  <c r="W368" i="166"/>
  <c r="V368" i="166"/>
  <c r="W350" i="166"/>
  <c r="V350" i="166"/>
  <c r="W336" i="166"/>
  <c r="V336" i="166"/>
  <c r="W206" i="166"/>
  <c r="R206" i="166" s="1"/>
  <c r="V206" i="166"/>
  <c r="P206" i="166"/>
  <c r="AN163" i="1" s="1"/>
  <c r="O347" i="166"/>
  <c r="W325" i="166"/>
  <c r="V325" i="166"/>
  <c r="O77" i="166"/>
  <c r="W390" i="166"/>
  <c r="R390" i="166" s="1"/>
  <c r="V390" i="166"/>
  <c r="Q390" i="166" s="1"/>
  <c r="P390" i="166"/>
  <c r="AN257" i="1" s="1"/>
  <c r="W322" i="166"/>
  <c r="V322" i="166"/>
  <c r="Q322" i="166" s="1"/>
  <c r="P322" i="166"/>
  <c r="AN164" i="1" s="1"/>
  <c r="W299" i="166"/>
  <c r="V299" i="166"/>
  <c r="Q299" i="166" s="1"/>
  <c r="P299" i="166"/>
  <c r="AN47" i="1" s="1"/>
  <c r="W286" i="166"/>
  <c r="R286" i="166" s="1"/>
  <c r="V286" i="166"/>
  <c r="P286" i="166"/>
  <c r="AN108" i="1" s="1"/>
  <c r="W117" i="166"/>
  <c r="V117" i="166"/>
  <c r="W122" i="166"/>
  <c r="V122" i="166"/>
  <c r="W226" i="166"/>
  <c r="V226" i="166"/>
  <c r="P226" i="166"/>
  <c r="AN388" i="1" s="1"/>
  <c r="W217" i="166"/>
  <c r="V217" i="166"/>
  <c r="P217" i="166"/>
  <c r="AN274" i="1" s="1"/>
  <c r="W105" i="166"/>
  <c r="V105" i="166"/>
  <c r="P105" i="166"/>
  <c r="AN247" i="1" s="1"/>
  <c r="W67" i="166"/>
  <c r="V67" i="166"/>
  <c r="Q67" i="166" s="1"/>
  <c r="P67" i="166"/>
  <c r="AN23" i="1" s="1"/>
  <c r="W10" i="166"/>
  <c r="V10" i="166"/>
  <c r="Q10" i="166" s="1"/>
  <c r="P10" i="166"/>
  <c r="AN343" i="1" s="1"/>
  <c r="W172" i="166"/>
  <c r="V172" i="166"/>
  <c r="Q172" i="166" s="1"/>
  <c r="P172" i="166"/>
  <c r="AN243" i="1" s="1"/>
  <c r="V110" i="166"/>
  <c r="W110" i="166"/>
  <c r="W310" i="166"/>
  <c r="V310" i="166"/>
  <c r="Q310" i="166" s="1"/>
  <c r="P310" i="166"/>
  <c r="AN56" i="1" s="1"/>
  <c r="W95" i="166"/>
  <c r="V95" i="166"/>
  <c r="P95" i="166"/>
  <c r="AN174" i="1" s="1"/>
  <c r="W245" i="166"/>
  <c r="V245" i="166"/>
  <c r="Q245" i="166" s="1"/>
  <c r="P245" i="166"/>
  <c r="AN248" i="1" s="1"/>
  <c r="W73" i="166"/>
  <c r="V73" i="166"/>
  <c r="V135" i="166"/>
  <c r="W135" i="166"/>
  <c r="X12" i="166"/>
  <c r="W262" i="166"/>
  <c r="V262" i="166"/>
  <c r="P262" i="166"/>
  <c r="AN44" i="1" s="1"/>
  <c r="V216" i="166"/>
  <c r="W216" i="166"/>
  <c r="W309" i="166"/>
  <c r="V309" i="166"/>
  <c r="Q309" i="166" s="1"/>
  <c r="P309" i="166"/>
  <c r="AN76" i="1" s="1"/>
  <c r="W403" i="166"/>
  <c r="R403" i="166" s="1"/>
  <c r="V403" i="166"/>
  <c r="Q403" i="166" s="1"/>
  <c r="P403" i="166"/>
  <c r="AN208" i="1" s="1"/>
  <c r="W227" i="166"/>
  <c r="V227" i="166"/>
  <c r="W266" i="166"/>
  <c r="V266" i="166"/>
  <c r="Q266" i="166" s="1"/>
  <c r="P266" i="166"/>
  <c r="AN410" i="1" s="1"/>
  <c r="W119" i="166"/>
  <c r="V119" i="166"/>
  <c r="Q119" i="166" s="1"/>
  <c r="P119" i="166"/>
  <c r="AN137" i="1" s="1"/>
  <c r="W65" i="166"/>
  <c r="R65" i="166" s="1"/>
  <c r="V65" i="166"/>
  <c r="Q65" i="166" s="1"/>
  <c r="P65" i="166"/>
  <c r="AN153" i="1" s="1"/>
  <c r="W202" i="166"/>
  <c r="V202" i="166"/>
  <c r="W118" i="166"/>
  <c r="V118" i="166"/>
  <c r="W219" i="166"/>
  <c r="V219" i="166"/>
  <c r="W218" i="166"/>
  <c r="V218" i="166"/>
  <c r="W8" i="166"/>
  <c r="R8" i="166" s="1"/>
  <c r="V8" i="166"/>
  <c r="Q8" i="166" s="1"/>
  <c r="P8" i="166"/>
  <c r="AN301" i="1" s="1"/>
  <c r="W101" i="166"/>
  <c r="V101" i="166"/>
  <c r="Q101" i="166" s="1"/>
  <c r="P101" i="166"/>
  <c r="AN158" i="1" s="1"/>
  <c r="W287" i="166"/>
  <c r="V287" i="166"/>
  <c r="W241" i="166"/>
  <c r="R241" i="166" s="1"/>
  <c r="V241" i="166"/>
  <c r="Q241" i="166" s="1"/>
  <c r="P241" i="166"/>
  <c r="AN284" i="1" s="1"/>
  <c r="W74" i="166"/>
  <c r="V74" i="166"/>
  <c r="P74" i="166"/>
  <c r="AN303" i="1" s="1"/>
  <c r="W64" i="166"/>
  <c r="V64" i="166"/>
  <c r="Q64" i="166" s="1"/>
  <c r="P64" i="166"/>
  <c r="AN220" i="1" s="1"/>
  <c r="W394" i="166"/>
  <c r="V394" i="166"/>
  <c r="P394" i="166"/>
  <c r="AN209" i="1" s="1"/>
  <c r="W185" i="166"/>
  <c r="V185" i="166"/>
  <c r="P185" i="166"/>
  <c r="AN204" i="1" s="1"/>
  <c r="W36" i="166"/>
  <c r="R36" i="166" s="1"/>
  <c r="V36" i="166"/>
  <c r="Q36" i="166" s="1"/>
  <c r="P36" i="166"/>
  <c r="AN235" i="1" s="1"/>
  <c r="W316" i="166"/>
  <c r="R316" i="166" s="1"/>
  <c r="V316" i="166"/>
  <c r="Q316" i="166" s="1"/>
  <c r="P316" i="166"/>
  <c r="AN265" i="1" s="1"/>
  <c r="W254" i="166"/>
  <c r="V254" i="166"/>
  <c r="Q254" i="166" s="1"/>
  <c r="P254" i="166"/>
  <c r="AN11" i="1" s="1"/>
  <c r="W164" i="166"/>
  <c r="R164" i="166" s="1"/>
  <c r="V164" i="166"/>
  <c r="P164" i="166"/>
  <c r="AN41" i="1" s="1"/>
  <c r="W21" i="166"/>
  <c r="V21" i="166"/>
  <c r="W154" i="166"/>
  <c r="R154" i="166" s="1"/>
  <c r="V154" i="166"/>
  <c r="Q154" i="166" s="1"/>
  <c r="P154" i="166"/>
  <c r="AN398" i="1" s="1"/>
  <c r="W126" i="166"/>
  <c r="V126" i="166"/>
  <c r="Q126" i="166" s="1"/>
  <c r="P126" i="166"/>
  <c r="AN166" i="1" s="1"/>
  <c r="O351" i="166"/>
  <c r="V47" i="166"/>
  <c r="Q47" i="166" s="1"/>
  <c r="W47" i="166"/>
  <c r="R47" i="166" s="1"/>
  <c r="P47" i="166"/>
  <c r="AN191" i="1" s="1"/>
  <c r="W248" i="166"/>
  <c r="R248" i="166" s="1"/>
  <c r="V248" i="166"/>
  <c r="Q248" i="166" s="1"/>
  <c r="P248" i="166"/>
  <c r="AN326" i="1" s="1"/>
  <c r="W257" i="166"/>
  <c r="V257" i="166"/>
  <c r="P257" i="166"/>
  <c r="AN285" i="1" s="1"/>
  <c r="W90" i="166"/>
  <c r="R90" i="166" s="1"/>
  <c r="V90" i="166"/>
  <c r="Q90" i="166" s="1"/>
  <c r="P90" i="166"/>
  <c r="AN132" i="1" s="1"/>
  <c r="W49" i="166"/>
  <c r="R49" i="166" s="1"/>
  <c r="V49" i="166"/>
  <c r="Q49" i="166" s="1"/>
  <c r="P49" i="166"/>
  <c r="AN61" i="1" s="1"/>
  <c r="W53" i="166"/>
  <c r="R53" i="166" s="1"/>
  <c r="V53" i="166"/>
  <c r="P53" i="166"/>
  <c r="AN83" i="1" s="1"/>
  <c r="W197" i="166"/>
  <c r="V197" i="166"/>
  <c r="W380" i="166"/>
  <c r="V380" i="166"/>
  <c r="P380" i="166"/>
  <c r="AN29" i="1" s="1"/>
  <c r="W253" i="166"/>
  <c r="R253" i="166" s="1"/>
  <c r="V253" i="166"/>
  <c r="Q253" i="166" s="1"/>
  <c r="P253" i="166"/>
  <c r="AN81" i="1" s="1"/>
  <c r="W398" i="166"/>
  <c r="R398" i="166" s="1"/>
  <c r="V398" i="166"/>
  <c r="P398" i="166"/>
  <c r="AN175" i="1" s="1"/>
  <c r="W35" i="166"/>
  <c r="R35" i="166" s="1"/>
  <c r="V35" i="166"/>
  <c r="Q35" i="166" s="1"/>
  <c r="P35" i="166"/>
  <c r="AN154" i="1" s="1"/>
  <c r="W292" i="166"/>
  <c r="V292" i="166"/>
  <c r="W123" i="166"/>
  <c r="V123" i="166"/>
  <c r="Q123" i="166" s="1"/>
  <c r="P123" i="166"/>
  <c r="AN49" i="1" s="1"/>
  <c r="W133" i="166"/>
  <c r="V133" i="166"/>
  <c r="Q133" i="166" s="1"/>
  <c r="P133" i="166"/>
  <c r="AN99" i="1" s="1"/>
  <c r="W268" i="166"/>
  <c r="V268" i="166"/>
  <c r="Q268" i="166" s="1"/>
  <c r="P268" i="166"/>
  <c r="AN333" i="1" s="1"/>
  <c r="W402" i="166"/>
  <c r="R402" i="166" s="1"/>
  <c r="V402" i="166"/>
  <c r="Q402" i="166" s="1"/>
  <c r="P402" i="166"/>
  <c r="AN207" i="1" s="1"/>
  <c r="W222" i="166"/>
  <c r="V222" i="166"/>
  <c r="P222" i="166"/>
  <c r="AN389" i="1" s="1"/>
  <c r="W302" i="166"/>
  <c r="V302" i="166"/>
  <c r="P302" i="166"/>
  <c r="AN340" i="1" s="1"/>
  <c r="W63" i="166"/>
  <c r="R63" i="166" s="1"/>
  <c r="V63" i="166"/>
  <c r="Q63" i="166" s="1"/>
  <c r="P63" i="166"/>
  <c r="AN183" i="1" s="1"/>
  <c r="W271" i="166"/>
  <c r="V271" i="166"/>
  <c r="W167" i="166"/>
  <c r="V167" i="166"/>
  <c r="P167" i="166"/>
  <c r="AN249" i="1" s="1"/>
  <c r="W140" i="166"/>
  <c r="R140" i="166" s="1"/>
  <c r="V140" i="166"/>
  <c r="Q140" i="166" s="1"/>
  <c r="P140" i="166"/>
  <c r="AN267" i="1" s="1"/>
  <c r="W114" i="166"/>
  <c r="V114" i="166"/>
  <c r="Q114" i="166" s="1"/>
  <c r="P114" i="166"/>
  <c r="AN250" i="1" s="1"/>
  <c r="W296" i="166"/>
  <c r="R296" i="166" s="1"/>
  <c r="V296" i="166"/>
  <c r="P296" i="166"/>
  <c r="AN57" i="1" s="1"/>
  <c r="W103" i="166"/>
  <c r="V103" i="166"/>
  <c r="P103" i="166"/>
  <c r="AN134" i="1" s="1"/>
  <c r="W45" i="166"/>
  <c r="R45" i="166" s="1"/>
  <c r="V45" i="166"/>
  <c r="Q45" i="166" s="1"/>
  <c r="P45" i="166"/>
  <c r="AN360" i="1" s="1"/>
  <c r="W75" i="166"/>
  <c r="V75" i="166"/>
  <c r="Q75" i="166" s="1"/>
  <c r="P75" i="166"/>
  <c r="AN221" i="1" s="1"/>
  <c r="W13" i="166"/>
  <c r="V13" i="166"/>
  <c r="P13" i="166"/>
  <c r="AN117" i="1" s="1"/>
  <c r="W300" i="166"/>
  <c r="V300" i="166"/>
  <c r="W275" i="166"/>
  <c r="V275" i="166"/>
  <c r="P275" i="166"/>
  <c r="AN281" i="1" s="1"/>
  <c r="W130" i="166"/>
  <c r="V130" i="166"/>
  <c r="P130" i="166"/>
  <c r="AN97" i="1" s="1"/>
  <c r="W393" i="166"/>
  <c r="R393" i="166" s="1"/>
  <c r="V393" i="166"/>
  <c r="P393" i="166"/>
  <c r="AN184" i="1" s="1"/>
  <c r="W32" i="166"/>
  <c r="R32" i="166" s="1"/>
  <c r="V32" i="166"/>
  <c r="Q32" i="166" s="1"/>
  <c r="P32" i="166"/>
  <c r="AN271" i="1" s="1"/>
  <c r="W25" i="166"/>
  <c r="R25" i="166" s="1"/>
  <c r="V25" i="166"/>
  <c r="Q25" i="166" s="1"/>
  <c r="P25" i="166"/>
  <c r="AN59" i="1" s="1"/>
  <c r="W401" i="166"/>
  <c r="V401" i="166"/>
  <c r="P401" i="166"/>
  <c r="AN211" i="1" s="1"/>
  <c r="O85" i="166"/>
  <c r="W92" i="166"/>
  <c r="V92" i="166"/>
  <c r="P92" i="166"/>
  <c r="AN26" i="1" s="1"/>
  <c r="W180" i="166"/>
  <c r="R180" i="166" s="1"/>
  <c r="V180" i="166"/>
  <c r="P180" i="166"/>
  <c r="AN31" i="1" s="1"/>
  <c r="W329" i="166"/>
  <c r="V329" i="166"/>
  <c r="V367" i="166"/>
  <c r="W367" i="166"/>
  <c r="W332" i="166"/>
  <c r="V332" i="166"/>
  <c r="W362" i="166"/>
  <c r="V362" i="166"/>
  <c r="Q362" i="166" s="1"/>
  <c r="P362" i="166"/>
  <c r="AN232" i="1" s="1"/>
  <c r="W214" i="166"/>
  <c r="R214" i="166" s="1"/>
  <c r="V214" i="166"/>
  <c r="Q214" i="166" s="1"/>
  <c r="P214" i="166"/>
  <c r="AN212" i="1" s="1"/>
  <c r="W349" i="166"/>
  <c r="V349" i="166"/>
  <c r="W209" i="166"/>
  <c r="V209" i="166"/>
  <c r="P209" i="166"/>
  <c r="AN167" i="1" s="1"/>
  <c r="W145" i="166"/>
  <c r="V145" i="166"/>
  <c r="W56" i="166"/>
  <c r="R56" i="166" s="1"/>
  <c r="V56" i="166"/>
  <c r="Q56" i="166" s="1"/>
  <c r="P56" i="166"/>
  <c r="AN237" i="1" s="1"/>
  <c r="V191" i="166"/>
  <c r="W191" i="166"/>
  <c r="W188" i="166"/>
  <c r="V188" i="166"/>
  <c r="Q188" i="166" s="1"/>
  <c r="P188" i="166"/>
  <c r="AN231" i="1" s="1"/>
  <c r="W100" i="166"/>
  <c r="V100" i="166"/>
  <c r="P100" i="166"/>
  <c r="AN332" i="1" s="1"/>
  <c r="W242" i="166"/>
  <c r="R242" i="166" s="1"/>
  <c r="V242" i="166"/>
  <c r="Q242" i="166" s="1"/>
  <c r="P242" i="166"/>
  <c r="AN327" i="1" s="1"/>
  <c r="W55" i="166"/>
  <c r="R55" i="166" s="1"/>
  <c r="V55" i="166"/>
  <c r="Q55" i="166" s="1"/>
  <c r="P55" i="166"/>
  <c r="AN375" i="1" s="1"/>
  <c r="W131" i="166"/>
  <c r="V131" i="166"/>
  <c r="Q131" i="166" s="1"/>
  <c r="P131" i="166"/>
  <c r="AN52" i="1" s="1"/>
  <c r="W23" i="166"/>
  <c r="V23" i="166"/>
  <c r="W269" i="166"/>
  <c r="V269" i="166"/>
  <c r="V15" i="166"/>
  <c r="W15" i="166"/>
  <c r="R15" i="166" s="1"/>
  <c r="P15" i="166"/>
  <c r="AN308" i="1" s="1"/>
  <c r="W295" i="166"/>
  <c r="V295" i="166"/>
  <c r="P295" i="166"/>
  <c r="AN113" i="1" s="1"/>
  <c r="W198" i="166"/>
  <c r="R198" i="166" s="1"/>
  <c r="V198" i="166"/>
  <c r="P198" i="166"/>
  <c r="AN105" i="1" s="1"/>
  <c r="V112" i="166"/>
  <c r="Q112" i="166" s="1"/>
  <c r="W112" i="166"/>
  <c r="P112" i="166"/>
  <c r="AN246" i="1" s="1"/>
  <c r="W224" i="166"/>
  <c r="V224" i="166"/>
  <c r="Q224" i="166" s="1"/>
  <c r="P224" i="166"/>
  <c r="AN392" i="1" s="1"/>
  <c r="W306" i="166"/>
  <c r="V306" i="166"/>
  <c r="P306" i="166"/>
  <c r="AN350" i="1" s="1"/>
  <c r="W24" i="166"/>
  <c r="R24" i="166" s="1"/>
  <c r="V24" i="166"/>
  <c r="Q24" i="166" s="1"/>
  <c r="P24" i="166"/>
  <c r="AN58" i="1" s="1"/>
  <c r="V59" i="166"/>
  <c r="Q59" i="166" s="1"/>
  <c r="W59" i="166"/>
  <c r="P59" i="166"/>
  <c r="AN165" i="1" s="1"/>
  <c r="W281" i="166"/>
  <c r="V281" i="166"/>
  <c r="Q281" i="166" s="1"/>
  <c r="P281" i="166"/>
  <c r="AN275" i="1" s="1"/>
  <c r="V14" i="166"/>
  <c r="W14" i="166"/>
  <c r="W308" i="166"/>
  <c r="V308" i="166"/>
  <c r="P308" i="166"/>
  <c r="AN25" i="1" s="1"/>
  <c r="W388" i="166"/>
  <c r="R388" i="166" s="1"/>
  <c r="V388" i="166"/>
  <c r="Q388" i="166" s="1"/>
  <c r="P388" i="166"/>
  <c r="AN159" i="1" s="1"/>
  <c r="W139" i="166"/>
  <c r="R139" i="166" s="1"/>
  <c r="V139" i="166"/>
  <c r="P139" i="166"/>
  <c r="AN63" i="1" s="1"/>
  <c r="W204" i="166"/>
  <c r="R204" i="166" s="1"/>
  <c r="V204" i="166"/>
  <c r="P204" i="166"/>
  <c r="AN345" i="1" s="1"/>
  <c r="W184" i="166"/>
  <c r="V184" i="166"/>
  <c r="W409" i="166"/>
  <c r="R409" i="166" s="1"/>
  <c r="V409" i="166"/>
  <c r="Q409" i="166" s="1"/>
  <c r="P409" i="166"/>
  <c r="AN185" i="1" s="1"/>
  <c r="V94" i="166"/>
  <c r="W94" i="166"/>
  <c r="W143" i="166"/>
  <c r="V143" i="166"/>
  <c r="W9" i="166"/>
  <c r="V9" i="166"/>
  <c r="Q9" i="166" s="1"/>
  <c r="P9" i="166"/>
  <c r="AN116" i="1" s="1"/>
  <c r="W261" i="166"/>
  <c r="V261" i="166"/>
  <c r="W72" i="166"/>
  <c r="V72" i="166"/>
  <c r="Q72" i="166" s="1"/>
  <c r="P72" i="166"/>
  <c r="AN351" i="1" s="1"/>
  <c r="W396" i="166"/>
  <c r="V396" i="166"/>
  <c r="Q396" i="166" s="1"/>
  <c r="P396" i="166"/>
  <c r="AN239" i="1" s="1"/>
  <c r="W169" i="166"/>
  <c r="R169" i="166" s="1"/>
  <c r="V169" i="166"/>
  <c r="Q169" i="166" s="1"/>
  <c r="P169" i="166"/>
  <c r="AN87" i="1" s="1"/>
  <c r="W305" i="166"/>
  <c r="V305" i="166"/>
  <c r="W179" i="166"/>
  <c r="R179" i="166" s="1"/>
  <c r="V179" i="166"/>
  <c r="Q179" i="166" s="1"/>
  <c r="P179" i="166"/>
  <c r="AN255" i="1" s="1"/>
  <c r="W225" i="166"/>
  <c r="V225" i="166"/>
  <c r="W399" i="166"/>
  <c r="R399" i="166" s="1"/>
  <c r="V399" i="166"/>
  <c r="Q399" i="166" s="1"/>
  <c r="P399" i="166"/>
  <c r="AN379" i="1" s="1"/>
  <c r="W251" i="166"/>
  <c r="R251" i="166" s="1"/>
  <c r="V251" i="166"/>
  <c r="Q251" i="166" s="1"/>
  <c r="P251" i="166"/>
  <c r="AN324" i="1" s="1"/>
  <c r="W70" i="166"/>
  <c r="V70" i="166"/>
  <c r="P70" i="166"/>
  <c r="AN38" i="1" s="1"/>
  <c r="V199" i="166"/>
  <c r="Q199" i="166" s="1"/>
  <c r="W199" i="166"/>
  <c r="P199" i="166"/>
  <c r="AN276" i="1" s="1"/>
  <c r="W147" i="166"/>
  <c r="V147" i="166"/>
  <c r="W149" i="166"/>
  <c r="R149" i="166" s="1"/>
  <c r="V149" i="166"/>
  <c r="P149" i="166"/>
  <c r="AN169" i="1" s="1"/>
  <c r="N11" i="71"/>
  <c r="O11" i="71" s="1"/>
  <c r="P11" i="71" s="1"/>
  <c r="N15" i="71"/>
  <c r="O15" i="71" s="1"/>
  <c r="P15" i="71" s="1"/>
  <c r="N17" i="71"/>
  <c r="O17" i="71" s="1"/>
  <c r="P17" i="71" s="1"/>
  <c r="N7" i="71"/>
  <c r="O7" i="71" s="1"/>
  <c r="P7" i="71" s="1"/>
  <c r="Z45" i="1"/>
  <c r="AK4" i="1"/>
  <c r="AK3" i="1" s="1"/>
  <c r="Z6" i="1"/>
  <c r="AJ4" i="1"/>
  <c r="O57" i="71"/>
  <c r="P57" i="71" s="1"/>
  <c r="Z36" i="1"/>
  <c r="M54" i="71"/>
  <c r="O54" i="71" s="1"/>
  <c r="P54" i="71" s="1"/>
  <c r="O35" i="71"/>
  <c r="P35" i="71" s="1"/>
  <c r="M8" i="71"/>
  <c r="O8" i="71" s="1"/>
  <c r="P8" i="71" s="1"/>
  <c r="Z16" i="1"/>
  <c r="Z34" i="1"/>
  <c r="M53" i="71"/>
  <c r="O53" i="71" s="1"/>
  <c r="P53" i="71" s="1"/>
  <c r="M49" i="71"/>
  <c r="O49" i="71" s="1"/>
  <c r="P49" i="71" s="1"/>
  <c r="O51" i="71"/>
  <c r="P51" i="71" s="1"/>
  <c r="M22" i="71"/>
  <c r="M41" i="71"/>
  <c r="O41" i="71" s="1"/>
  <c r="P41" i="71" s="1"/>
  <c r="O26" i="71"/>
  <c r="P26" i="71" s="1"/>
  <c r="Z10" i="1"/>
  <c r="M5" i="71"/>
  <c r="O55" i="71"/>
  <c r="P55" i="71" s="1"/>
  <c r="N31" i="71"/>
  <c r="N5" i="71"/>
  <c r="N30" i="71"/>
  <c r="M37" i="71"/>
  <c r="N37" i="71"/>
  <c r="M20" i="71"/>
  <c r="N20" i="71"/>
  <c r="M30" i="71"/>
  <c r="M14" i="71"/>
  <c r="O14" i="71" s="1"/>
  <c r="P14" i="71" s="1"/>
  <c r="N9" i="71"/>
  <c r="M9" i="71"/>
  <c r="M31" i="71"/>
  <c r="O36" i="71"/>
  <c r="P36" i="71" s="1"/>
  <c r="N32" i="71"/>
  <c r="M32" i="71"/>
  <c r="M33" i="71"/>
  <c r="N33" i="71"/>
  <c r="O25" i="71"/>
  <c r="P25" i="71" s="1"/>
  <c r="N48" i="71"/>
  <c r="M48" i="71"/>
  <c r="O40" i="71"/>
  <c r="P40" i="71" s="1"/>
  <c r="O38" i="71"/>
  <c r="P38" i="71" s="1"/>
  <c r="O24" i="71"/>
  <c r="P24" i="71" s="1"/>
  <c r="O23" i="71"/>
  <c r="P23" i="71" s="1"/>
  <c r="AA19" i="1"/>
  <c r="O45" i="71"/>
  <c r="P45" i="71" s="1"/>
  <c r="AA51" i="1"/>
  <c r="AA26" i="1"/>
  <c r="Z19" i="1"/>
  <c r="Z26" i="1"/>
  <c r="Z51" i="1"/>
  <c r="Z13" i="1"/>
  <c r="O52" i="71"/>
  <c r="P52" i="71" s="1"/>
  <c r="AA27" i="1"/>
  <c r="O6" i="71"/>
  <c r="P6" i="71" s="1"/>
  <c r="N10" i="71"/>
  <c r="AA13" i="1"/>
  <c r="N42" i="71"/>
  <c r="O58" i="71"/>
  <c r="P58" i="71" s="1"/>
  <c r="O19" i="71"/>
  <c r="P19" i="71" s="1"/>
  <c r="O27" i="71"/>
  <c r="P27" i="71" s="1"/>
  <c r="O18" i="71"/>
  <c r="P18" i="71" s="1"/>
  <c r="O43" i="71"/>
  <c r="P43" i="71" s="1"/>
  <c r="AA46" i="1"/>
  <c r="Z20" i="1"/>
  <c r="Z27" i="1"/>
  <c r="Z46" i="1"/>
  <c r="Z48" i="1"/>
  <c r="N34" i="71"/>
  <c r="M42" i="71"/>
  <c r="N13" i="71"/>
  <c r="M16" i="71"/>
  <c r="M13" i="71"/>
  <c r="M21" i="71"/>
  <c r="N21" i="71"/>
  <c r="M10" i="71"/>
  <c r="O12" i="71"/>
  <c r="P12" i="71" s="1"/>
  <c r="N16" i="71"/>
  <c r="O39" i="71"/>
  <c r="P39" i="71" s="1"/>
  <c r="O47" i="71"/>
  <c r="P47" i="71" s="1"/>
  <c r="N46" i="71"/>
  <c r="M34" i="71"/>
  <c r="O29" i="71"/>
  <c r="P29" i="71" s="1"/>
  <c r="M46" i="71"/>
  <c r="R130" i="166" l="1"/>
  <c r="Q60" i="166"/>
  <c r="R37" i="166"/>
  <c r="Q228" i="166"/>
  <c r="Q106" i="166"/>
  <c r="R194" i="166"/>
  <c r="Q181" i="166"/>
  <c r="Q185" i="166"/>
  <c r="R408" i="166"/>
  <c r="Q95" i="166"/>
  <c r="Q328" i="166"/>
  <c r="R297" i="166"/>
  <c r="R33" i="166"/>
  <c r="Q187" i="166"/>
  <c r="Q62" i="166"/>
  <c r="R261" i="166"/>
  <c r="Q295" i="166"/>
  <c r="Q209" i="166"/>
  <c r="Q401" i="166"/>
  <c r="Q105" i="166"/>
  <c r="Q148" i="166"/>
  <c r="Q345" i="166"/>
  <c r="Q380" i="166"/>
  <c r="Q167" i="166"/>
  <c r="R282" i="166"/>
  <c r="R321" i="166"/>
  <c r="Q19" i="166"/>
  <c r="Q353" i="166"/>
  <c r="Q168" i="166"/>
  <c r="R265" i="166"/>
  <c r="R334" i="166"/>
  <c r="Q207" i="166"/>
  <c r="Q398" i="166"/>
  <c r="Q180" i="166"/>
  <c r="Q372" i="166"/>
  <c r="R372" i="166"/>
  <c r="R51" i="166"/>
  <c r="P261" i="166"/>
  <c r="AN353" i="1" s="1"/>
  <c r="R165" i="166"/>
  <c r="Q217" i="166"/>
  <c r="R89" i="166"/>
  <c r="Q42" i="166"/>
  <c r="Q128" i="166"/>
  <c r="Q410" i="166"/>
  <c r="Q186" i="166"/>
  <c r="Q333" i="166"/>
  <c r="T261" i="166"/>
  <c r="Q261" i="166" s="1"/>
  <c r="R308" i="166"/>
  <c r="Q99" i="166"/>
  <c r="R226" i="166"/>
  <c r="Q302" i="166"/>
  <c r="Q354" i="166"/>
  <c r="R116" i="166"/>
  <c r="R50" i="166"/>
  <c r="Q48" i="166"/>
  <c r="Q70" i="166"/>
  <c r="R74" i="166"/>
  <c r="Q97" i="166"/>
  <c r="R113" i="166"/>
  <c r="R210" i="166"/>
  <c r="Q203" i="166"/>
  <c r="R92" i="166"/>
  <c r="Q394" i="166"/>
  <c r="Q272" i="166"/>
  <c r="R295" i="166"/>
  <c r="R75" i="166"/>
  <c r="Q89" i="166"/>
  <c r="Q270" i="166"/>
  <c r="Q334" i="166"/>
  <c r="Q260" i="166"/>
  <c r="R405" i="166"/>
  <c r="Q330" i="166"/>
  <c r="Q204" i="166"/>
  <c r="R281" i="166"/>
  <c r="Q53" i="166"/>
  <c r="Q74" i="166"/>
  <c r="R10" i="166"/>
  <c r="Q282" i="166"/>
  <c r="R62" i="166"/>
  <c r="R128" i="166"/>
  <c r="Q50" i="166"/>
  <c r="R267" i="166"/>
  <c r="Q308" i="166"/>
  <c r="R217" i="166"/>
  <c r="R273" i="166"/>
  <c r="R312" i="166"/>
  <c r="Q321" i="166"/>
  <c r="R43" i="166"/>
  <c r="R370" i="166"/>
  <c r="R119" i="166"/>
  <c r="R337" i="166"/>
  <c r="R133" i="166"/>
  <c r="R322" i="166"/>
  <c r="R124" i="166"/>
  <c r="Q121" i="166"/>
  <c r="Q153" i="166"/>
  <c r="Q139" i="166"/>
  <c r="R394" i="166"/>
  <c r="R67" i="166"/>
  <c r="Q226" i="166"/>
  <c r="R18" i="166"/>
  <c r="R354" i="166"/>
  <c r="R224" i="166"/>
  <c r="Q275" i="166"/>
  <c r="R126" i="166"/>
  <c r="Q286" i="166"/>
  <c r="R313" i="166"/>
  <c r="R235" i="166"/>
  <c r="R301" i="166"/>
  <c r="R345" i="166"/>
  <c r="R99" i="166"/>
  <c r="R167" i="166"/>
  <c r="R254" i="166"/>
  <c r="R58" i="166"/>
  <c r="R168" i="166"/>
  <c r="R209" i="166"/>
  <c r="Q306" i="166"/>
  <c r="R131" i="166"/>
  <c r="R120" i="166"/>
  <c r="R190" i="166"/>
  <c r="R298" i="166"/>
  <c r="Q258" i="166"/>
  <c r="R97" i="166"/>
  <c r="R91" i="166"/>
  <c r="R178" i="166"/>
  <c r="Q274" i="166"/>
  <c r="R61" i="166"/>
  <c r="R105" i="166"/>
  <c r="R146" i="166"/>
  <c r="R263" i="166"/>
  <c r="Q405" i="166"/>
  <c r="R270" i="166"/>
  <c r="R392" i="166"/>
  <c r="R260" i="166"/>
  <c r="R114" i="166"/>
  <c r="R101" i="166"/>
  <c r="Q262" i="166"/>
  <c r="Q279" i="166"/>
  <c r="Q240" i="166"/>
  <c r="R159" i="166"/>
  <c r="R71" i="166"/>
  <c r="Q264" i="166"/>
  <c r="Q267" i="166"/>
  <c r="Q304" i="166"/>
  <c r="R59" i="166"/>
  <c r="Q124" i="166"/>
  <c r="Q43" i="166"/>
  <c r="R275" i="166"/>
  <c r="Q96" i="166"/>
  <c r="Q210" i="166"/>
  <c r="R203" i="166"/>
  <c r="Q297" i="166"/>
  <c r="Q146" i="166"/>
  <c r="R272" i="166"/>
  <c r="R48" i="166"/>
  <c r="R302" i="166"/>
  <c r="Q265" i="166"/>
  <c r="R378" i="166"/>
  <c r="T229" i="166"/>
  <c r="S229" i="166" s="1"/>
  <c r="R70" i="166"/>
  <c r="R306" i="166"/>
  <c r="Q130" i="166"/>
  <c r="Q263" i="166"/>
  <c r="Q116" i="166"/>
  <c r="R262" i="166"/>
  <c r="Q16" i="166"/>
  <c r="P229" i="166"/>
  <c r="AN77" i="1" s="1"/>
  <c r="Q159" i="166"/>
  <c r="R150" i="166"/>
  <c r="Q7" i="166"/>
  <c r="R188" i="166"/>
  <c r="Q164" i="166"/>
  <c r="Q109" i="166"/>
  <c r="R285" i="166"/>
  <c r="R199" i="166"/>
  <c r="R380" i="166"/>
  <c r="R106" i="166"/>
  <c r="R229" i="166"/>
  <c r="Q284" i="166"/>
  <c r="R60" i="166"/>
  <c r="Q386" i="166"/>
  <c r="R186" i="166"/>
  <c r="R259" i="166"/>
  <c r="T288" i="166"/>
  <c r="Q288" i="166" s="1"/>
  <c r="R112" i="166"/>
  <c r="R309" i="166"/>
  <c r="R95" i="166"/>
  <c r="P288" i="166"/>
  <c r="AN7" i="1" s="1"/>
  <c r="R379" i="166"/>
  <c r="R148" i="166"/>
  <c r="R304" i="166"/>
  <c r="O22" i="71"/>
  <c r="P22" i="71" s="1"/>
  <c r="R362" i="166"/>
  <c r="R64" i="166"/>
  <c r="R328" i="166"/>
  <c r="Q408" i="166"/>
  <c r="R277" i="166"/>
  <c r="R207" i="166"/>
  <c r="Q37" i="166"/>
  <c r="R16" i="166"/>
  <c r="R187" i="166"/>
  <c r="Q15" i="166"/>
  <c r="R228" i="166"/>
  <c r="R288" i="166"/>
  <c r="Q198" i="166"/>
  <c r="R310" i="166"/>
  <c r="R299" i="166"/>
  <c r="R181" i="166"/>
  <c r="Q92" i="166"/>
  <c r="R268" i="166"/>
  <c r="R292" i="166"/>
  <c r="R185" i="166"/>
  <c r="Q165" i="166"/>
  <c r="Q404" i="166"/>
  <c r="R333" i="166"/>
  <c r="Q178" i="166"/>
  <c r="Q276" i="166"/>
  <c r="R396" i="166"/>
  <c r="Q293" i="166"/>
  <c r="Q113" i="166"/>
  <c r="Q61" i="166"/>
  <c r="R276" i="166"/>
  <c r="R9" i="166"/>
  <c r="R245" i="166"/>
  <c r="Q201" i="166"/>
  <c r="Q237" i="166"/>
  <c r="R279" i="166"/>
  <c r="R274" i="166"/>
  <c r="R19" i="166"/>
  <c r="Q51" i="166"/>
  <c r="R72" i="166"/>
  <c r="R401" i="166"/>
  <c r="Q393" i="166"/>
  <c r="R352" i="166"/>
  <c r="R290" i="166"/>
  <c r="Q149" i="166"/>
  <c r="R123" i="166"/>
  <c r="R266" i="166"/>
  <c r="R172" i="166"/>
  <c r="Q206" i="166"/>
  <c r="R134" i="166"/>
  <c r="R42" i="166"/>
  <c r="R353" i="166"/>
  <c r="R264" i="166"/>
  <c r="T296" i="166"/>
  <c r="Q296" i="166" s="1"/>
  <c r="U311" i="166"/>
  <c r="R311" i="166" s="1"/>
  <c r="P370" i="166"/>
  <c r="AN39" i="1" s="1"/>
  <c r="T370" i="166"/>
  <c r="S370" i="166" s="1"/>
  <c r="AO130" i="1"/>
  <c r="AP130" i="1" s="1"/>
  <c r="AQ130" i="1" s="1"/>
  <c r="AO269" i="1"/>
  <c r="T190" i="166"/>
  <c r="X190" i="166" s="1"/>
  <c r="P190" i="166"/>
  <c r="AN278" i="1" s="1"/>
  <c r="AO268" i="1"/>
  <c r="U318" i="166"/>
  <c r="R318" i="166" s="1"/>
  <c r="T292" i="166"/>
  <c r="S292" i="166" s="1"/>
  <c r="P292" i="166"/>
  <c r="AN28" i="1" s="1"/>
  <c r="T318" i="166"/>
  <c r="Q318" i="166" s="1"/>
  <c r="T311" i="166"/>
  <c r="P294" i="166"/>
  <c r="AN347" i="1" s="1"/>
  <c r="S339" i="166"/>
  <c r="S399" i="166"/>
  <c r="S248" i="166"/>
  <c r="S241" i="166"/>
  <c r="S65" i="166"/>
  <c r="S163" i="166"/>
  <c r="S247" i="166"/>
  <c r="S252" i="166"/>
  <c r="S387" i="166"/>
  <c r="S138" i="166"/>
  <c r="S57" i="166"/>
  <c r="S40" i="166"/>
  <c r="S69" i="166"/>
  <c r="S46" i="166"/>
  <c r="T294" i="166"/>
  <c r="S294" i="166" s="1"/>
  <c r="S343" i="166"/>
  <c r="S407" i="166"/>
  <c r="S246" i="166"/>
  <c r="S389" i="166"/>
  <c r="S314" i="166"/>
  <c r="S397" i="166"/>
  <c r="S22" i="166"/>
  <c r="S388" i="166"/>
  <c r="S242" i="166"/>
  <c r="S90" i="166"/>
  <c r="S154" i="166"/>
  <c r="S243" i="166"/>
  <c r="S54" i="166"/>
  <c r="S47" i="166"/>
  <c r="S56" i="166"/>
  <c r="S402" i="166"/>
  <c r="S316" i="166"/>
  <c r="S211" i="166"/>
  <c r="S66" i="166"/>
  <c r="S88" i="166"/>
  <c r="S170" i="166"/>
  <c r="S317" i="166"/>
  <c r="S409" i="166"/>
  <c r="S55" i="166"/>
  <c r="S49" i="166"/>
  <c r="S27" i="166"/>
  <c r="S340" i="166"/>
  <c r="S166" i="166"/>
  <c r="AO377" i="1"/>
  <c r="AP377" i="1" s="1"/>
  <c r="AQ377" i="1" s="1"/>
  <c r="S44" i="166"/>
  <c r="S342" i="166"/>
  <c r="S215" i="166"/>
  <c r="S255" i="166"/>
  <c r="S80" i="166"/>
  <c r="S161" i="166"/>
  <c r="S24" i="166"/>
  <c r="S36" i="166"/>
  <c r="S244" i="166"/>
  <c r="S171" i="166"/>
  <c r="S169" i="166"/>
  <c r="S79" i="166"/>
  <c r="S253" i="166"/>
  <c r="S82" i="166"/>
  <c r="S400" i="166"/>
  <c r="S52" i="166"/>
  <c r="S239" i="166"/>
  <c r="S250" i="166"/>
  <c r="S160" i="166"/>
  <c r="S403" i="166"/>
  <c r="S157" i="166"/>
  <c r="S41" i="166"/>
  <c r="S34" i="166"/>
  <c r="S83" i="166"/>
  <c r="S251" i="166"/>
  <c r="S63" i="166"/>
  <c r="S35" i="166"/>
  <c r="S155" i="166"/>
  <c r="S162" i="166"/>
  <c r="S156" i="166"/>
  <c r="S249" i="166"/>
  <c r="S104" i="166"/>
  <c r="S87" i="166"/>
  <c r="S38" i="166"/>
  <c r="S26" i="166"/>
  <c r="S39" i="166"/>
  <c r="S91" i="166"/>
  <c r="S385" i="166"/>
  <c r="S391" i="166"/>
  <c r="S203" i="166"/>
  <c r="S267" i="166"/>
  <c r="S322" i="166"/>
  <c r="S19" i="166"/>
  <c r="S201" i="166"/>
  <c r="S123" i="166"/>
  <c r="S285" i="166"/>
  <c r="S378" i="166"/>
  <c r="S277" i="166"/>
  <c r="S312" i="166"/>
  <c r="S214" i="166"/>
  <c r="S25" i="166"/>
  <c r="S45" i="166"/>
  <c r="S8" i="166"/>
  <c r="S31" i="166"/>
  <c r="S395" i="166"/>
  <c r="S86" i="166"/>
  <c r="S158" i="166"/>
  <c r="S406" i="166"/>
  <c r="S16" i="166"/>
  <c r="S95" i="166"/>
  <c r="S112" i="166"/>
  <c r="S328" i="166"/>
  <c r="S168" i="166"/>
  <c r="S380" i="166"/>
  <c r="S101" i="166"/>
  <c r="S149" i="166"/>
  <c r="S299" i="166"/>
  <c r="S379" i="166"/>
  <c r="S18" i="166"/>
  <c r="S256" i="166"/>
  <c r="S315" i="166"/>
  <c r="S159" i="166"/>
  <c r="U305" i="166"/>
  <c r="R305" i="166" s="1"/>
  <c r="S297" i="166"/>
  <c r="S185" i="166"/>
  <c r="S352" i="166"/>
  <c r="S187" i="166"/>
  <c r="S59" i="166"/>
  <c r="S186" i="166"/>
  <c r="S106" i="166"/>
  <c r="S43" i="166"/>
  <c r="S62" i="166"/>
  <c r="S224" i="166"/>
  <c r="S120" i="166"/>
  <c r="S51" i="166"/>
  <c r="S15" i="166"/>
  <c r="S330" i="166"/>
  <c r="S286" i="166"/>
  <c r="S279" i="166"/>
  <c r="S276" i="166"/>
  <c r="S268" i="166"/>
  <c r="S9" i="166"/>
  <c r="S274" i="166"/>
  <c r="S264" i="166"/>
  <c r="S188" i="166"/>
  <c r="T305" i="166"/>
  <c r="Q305" i="166" s="1"/>
  <c r="S114" i="166"/>
  <c r="S309" i="166"/>
  <c r="S164" i="166"/>
  <c r="S7" i="166"/>
  <c r="S282" i="166"/>
  <c r="S301" i="166"/>
  <c r="S105" i="166"/>
  <c r="S290" i="166"/>
  <c r="S199" i="166"/>
  <c r="S362" i="166"/>
  <c r="S273" i="166"/>
  <c r="S337" i="166"/>
  <c r="S30" i="166"/>
  <c r="S383" i="166"/>
  <c r="S308" i="166"/>
  <c r="S92" i="166"/>
  <c r="S113" i="166"/>
  <c r="S386" i="166"/>
  <c r="S198" i="166"/>
  <c r="S116" i="166"/>
  <c r="S210" i="166"/>
  <c r="S270" i="166"/>
  <c r="S266" i="166"/>
  <c r="S405" i="166"/>
  <c r="S128" i="166"/>
  <c r="S194" i="166"/>
  <c r="S396" i="166"/>
  <c r="S333" i="166"/>
  <c r="S259" i="166"/>
  <c r="S228" i="166"/>
  <c r="S281" i="166"/>
  <c r="S254" i="166"/>
  <c r="S165" i="166"/>
  <c r="S293" i="166"/>
  <c r="S354" i="166"/>
  <c r="S99" i="166"/>
  <c r="S394" i="166"/>
  <c r="S97" i="166"/>
  <c r="S209" i="166"/>
  <c r="S401" i="166"/>
  <c r="S353" i="166"/>
  <c r="S207" i="166"/>
  <c r="S150" i="166"/>
  <c r="S48" i="166"/>
  <c r="S393" i="166"/>
  <c r="S178" i="166"/>
  <c r="S237" i="166"/>
  <c r="S37" i="166"/>
  <c r="S321" i="166"/>
  <c r="S204" i="166"/>
  <c r="S121" i="166"/>
  <c r="S172" i="166"/>
  <c r="S67" i="166"/>
  <c r="S126" i="166"/>
  <c r="S58" i="166"/>
  <c r="S71" i="166"/>
  <c r="S64" i="166"/>
  <c r="S179" i="166"/>
  <c r="S275" i="166"/>
  <c r="S226" i="166"/>
  <c r="S306" i="166"/>
  <c r="S74" i="166"/>
  <c r="S61" i="166"/>
  <c r="S70" i="166"/>
  <c r="S217" i="166"/>
  <c r="S124" i="166"/>
  <c r="S398" i="166"/>
  <c r="S245" i="166"/>
  <c r="S60" i="166"/>
  <c r="S181" i="166"/>
  <c r="S53" i="166"/>
  <c r="S139" i="166"/>
  <c r="S258" i="166"/>
  <c r="S180" i="166"/>
  <c r="S404" i="166"/>
  <c r="S284" i="166"/>
  <c r="S109" i="166"/>
  <c r="S32" i="166"/>
  <c r="S390" i="166"/>
  <c r="S6" i="166"/>
  <c r="S84" i="166"/>
  <c r="S263" i="166"/>
  <c r="S278" i="166"/>
  <c r="S96" i="166"/>
  <c r="S146" i="166"/>
  <c r="S345" i="166"/>
  <c r="S410" i="166"/>
  <c r="S75" i="166"/>
  <c r="S167" i="166"/>
  <c r="S310" i="166"/>
  <c r="S50" i="166"/>
  <c r="S206" i="166"/>
  <c r="S130" i="166"/>
  <c r="S133" i="166"/>
  <c r="S10" i="166"/>
  <c r="S119" i="166"/>
  <c r="S131" i="166"/>
  <c r="S298" i="166"/>
  <c r="T320" i="166"/>
  <c r="S392" i="166"/>
  <c r="S72" i="166"/>
  <c r="S140" i="166"/>
  <c r="S137" i="166"/>
  <c r="S29" i="166"/>
  <c r="S381" i="166"/>
  <c r="S28" i="166"/>
  <c r="X22" i="166"/>
  <c r="S262" i="166"/>
  <c r="S240" i="166"/>
  <c r="S372" i="166"/>
  <c r="S265" i="166"/>
  <c r="S89" i="166"/>
  <c r="S304" i="166"/>
  <c r="S148" i="166"/>
  <c r="S302" i="166"/>
  <c r="S272" i="166"/>
  <c r="S295" i="166"/>
  <c r="S235" i="166"/>
  <c r="S313" i="166"/>
  <c r="S33" i="166"/>
  <c r="S134" i="166"/>
  <c r="S42" i="166"/>
  <c r="S408" i="166"/>
  <c r="S334" i="166"/>
  <c r="S153" i="166"/>
  <c r="S260" i="166"/>
  <c r="X379" i="166"/>
  <c r="X337" i="166"/>
  <c r="X253" i="166"/>
  <c r="X154" i="166"/>
  <c r="X64" i="166"/>
  <c r="X95" i="166"/>
  <c r="X390" i="166"/>
  <c r="X263" i="166"/>
  <c r="X157" i="166"/>
  <c r="X41" i="166"/>
  <c r="X116" i="166"/>
  <c r="X38" i="166"/>
  <c r="X168" i="166"/>
  <c r="X29" i="166"/>
  <c r="X44" i="166"/>
  <c r="X148" i="166"/>
  <c r="X83" i="166"/>
  <c r="X70" i="166"/>
  <c r="X163" i="166"/>
  <c r="X34" i="166"/>
  <c r="X88" i="166"/>
  <c r="X282" i="166"/>
  <c r="X187" i="166"/>
  <c r="X97" i="166"/>
  <c r="X80" i="166"/>
  <c r="X155" i="166"/>
  <c r="X99" i="166"/>
  <c r="X86" i="166"/>
  <c r="X54" i="166"/>
  <c r="X226" i="166"/>
  <c r="X139" i="166"/>
  <c r="X224" i="166"/>
  <c r="X55" i="166"/>
  <c r="X32" i="166"/>
  <c r="X239" i="166"/>
  <c r="X79" i="166"/>
  <c r="X153" i="166"/>
  <c r="X199" i="166"/>
  <c r="X399" i="166"/>
  <c r="X9" i="166"/>
  <c r="X308" i="166"/>
  <c r="X198" i="166"/>
  <c r="X362" i="166"/>
  <c r="X130" i="166"/>
  <c r="X114" i="166"/>
  <c r="X268" i="166"/>
  <c r="X164" i="166"/>
  <c r="X241" i="166"/>
  <c r="X65" i="166"/>
  <c r="X328" i="166"/>
  <c r="X215" i="166"/>
  <c r="X256" i="166"/>
  <c r="X146" i="166"/>
  <c r="X408" i="166"/>
  <c r="X274" i="166"/>
  <c r="X381" i="166"/>
  <c r="X301" i="166"/>
  <c r="X383" i="166"/>
  <c r="X178" i="166"/>
  <c r="X278" i="166"/>
  <c r="X26" i="166"/>
  <c r="X259" i="166"/>
  <c r="X128" i="166"/>
  <c r="X72" i="166"/>
  <c r="X194" i="166"/>
  <c r="X312" i="166"/>
  <c r="X386" i="166"/>
  <c r="X389" i="166"/>
  <c r="X314" i="166"/>
  <c r="X284" i="166"/>
  <c r="X60" i="166"/>
  <c r="X74" i="166"/>
  <c r="X262" i="166"/>
  <c r="X310" i="166"/>
  <c r="X58" i="166"/>
  <c r="X333" i="166"/>
  <c r="X179" i="166"/>
  <c r="X281" i="166"/>
  <c r="X167" i="166"/>
  <c r="X123" i="166"/>
  <c r="X49" i="166"/>
  <c r="X316" i="166"/>
  <c r="X101" i="166"/>
  <c r="X265" i="166"/>
  <c r="X181" i="166"/>
  <c r="X166" i="166"/>
  <c r="X270" i="166"/>
  <c r="X304" i="166"/>
  <c r="X352" i="166"/>
  <c r="X210" i="166"/>
  <c r="X16" i="166"/>
  <c r="U232" i="166"/>
  <c r="R232" i="166" s="1"/>
  <c r="T232" i="166"/>
  <c r="Q232" i="166" s="1"/>
  <c r="U152" i="166"/>
  <c r="R152" i="166" s="1"/>
  <c r="T152" i="166"/>
  <c r="Q152" i="166" s="1"/>
  <c r="U177" i="166"/>
  <c r="R177" i="166" s="1"/>
  <c r="T177" i="166"/>
  <c r="Q177" i="166" s="1"/>
  <c r="T222" i="166"/>
  <c r="Q222" i="166" s="1"/>
  <c r="U222" i="166"/>
  <c r="R222" i="166" s="1"/>
  <c r="U269" i="166"/>
  <c r="R269" i="166" s="1"/>
  <c r="T269" i="166"/>
  <c r="Q269" i="166" s="1"/>
  <c r="U23" i="166"/>
  <c r="R23" i="166" s="1"/>
  <c r="T23" i="166"/>
  <c r="Q23" i="166" s="1"/>
  <c r="U136" i="166"/>
  <c r="R136" i="166" s="1"/>
  <c r="T136" i="166"/>
  <c r="Q136" i="166" s="1"/>
  <c r="U326" i="166"/>
  <c r="R326" i="166" s="1"/>
  <c r="T326" i="166"/>
  <c r="Q326" i="166" s="1"/>
  <c r="U147" i="166"/>
  <c r="R147" i="166" s="1"/>
  <c r="T147" i="166"/>
  <c r="Q147" i="166" s="1"/>
  <c r="U366" i="166"/>
  <c r="R366" i="166" s="1"/>
  <c r="T366" i="166"/>
  <c r="Q366" i="166" s="1"/>
  <c r="U143" i="166"/>
  <c r="R143" i="166" s="1"/>
  <c r="T143" i="166"/>
  <c r="Q143" i="166" s="1"/>
  <c r="T307" i="166"/>
  <c r="Q307" i="166" s="1"/>
  <c r="U307" i="166"/>
  <c r="R307" i="166" s="1"/>
  <c r="X240" i="166"/>
  <c r="P232" i="166"/>
  <c r="AN390" i="1" s="1"/>
  <c r="T220" i="166"/>
  <c r="Q220" i="166" s="1"/>
  <c r="U220" i="166"/>
  <c r="R220" i="166" s="1"/>
  <c r="U216" i="166"/>
  <c r="R216" i="166" s="1"/>
  <c r="T216" i="166"/>
  <c r="Q216" i="166" s="1"/>
  <c r="U192" i="166"/>
  <c r="R192" i="166" s="1"/>
  <c r="T192" i="166"/>
  <c r="Q192" i="166" s="1"/>
  <c r="U351" i="166"/>
  <c r="T351" i="166"/>
  <c r="U107" i="166"/>
  <c r="R107" i="166" s="1"/>
  <c r="T107" i="166"/>
  <c r="Q107" i="166" s="1"/>
  <c r="U227" i="166"/>
  <c r="R227" i="166" s="1"/>
  <c r="T227" i="166"/>
  <c r="Q227" i="166" s="1"/>
  <c r="U223" i="166"/>
  <c r="R223" i="166" s="1"/>
  <c r="T223" i="166"/>
  <c r="Q223" i="166" s="1"/>
  <c r="U349" i="166"/>
  <c r="R349" i="166" s="1"/>
  <c r="T349" i="166"/>
  <c r="Q349" i="166" s="1"/>
  <c r="U360" i="166"/>
  <c r="T360" i="166"/>
  <c r="U336" i="166"/>
  <c r="R336" i="166" s="1"/>
  <c r="T336" i="166"/>
  <c r="Q336" i="166" s="1"/>
  <c r="U189" i="166"/>
  <c r="R189" i="166" s="1"/>
  <c r="T189" i="166"/>
  <c r="Q189" i="166" s="1"/>
  <c r="U291" i="166"/>
  <c r="R291" i="166" s="1"/>
  <c r="T291" i="166"/>
  <c r="Q291" i="166" s="1"/>
  <c r="U103" i="166"/>
  <c r="R103" i="166" s="1"/>
  <c r="T103" i="166"/>
  <c r="Q103" i="166" s="1"/>
  <c r="U176" i="166"/>
  <c r="R176" i="166" s="1"/>
  <c r="T176" i="166"/>
  <c r="Q176" i="166" s="1"/>
  <c r="U225" i="166"/>
  <c r="R225" i="166" s="1"/>
  <c r="T225" i="166"/>
  <c r="Q225" i="166" s="1"/>
  <c r="U233" i="166"/>
  <c r="R233" i="166" s="1"/>
  <c r="T233" i="166"/>
  <c r="Q233" i="166" s="1"/>
  <c r="U117" i="166"/>
  <c r="R117" i="166" s="1"/>
  <c r="T117" i="166"/>
  <c r="Q117" i="166" s="1"/>
  <c r="U338" i="166"/>
  <c r="R338" i="166" s="1"/>
  <c r="T338" i="166"/>
  <c r="Q338" i="166" s="1"/>
  <c r="U14" i="166"/>
  <c r="R14" i="166" s="1"/>
  <c r="T14" i="166"/>
  <c r="Q14" i="166" s="1"/>
  <c r="T329" i="166"/>
  <c r="Q329" i="166" s="1"/>
  <c r="U329" i="166"/>
  <c r="R329" i="166" s="1"/>
  <c r="T13" i="166"/>
  <c r="Q13" i="166" s="1"/>
  <c r="U13" i="166"/>
  <c r="R13" i="166" s="1"/>
  <c r="U376" i="166"/>
  <c r="R376" i="166" s="1"/>
  <c r="T376" i="166"/>
  <c r="Q376" i="166" s="1"/>
  <c r="U111" i="166"/>
  <c r="R111" i="166" s="1"/>
  <c r="T111" i="166"/>
  <c r="Q111" i="166" s="1"/>
  <c r="U197" i="166"/>
  <c r="R197" i="166" s="1"/>
  <c r="T197" i="166"/>
  <c r="Q197" i="166" s="1"/>
  <c r="U193" i="166"/>
  <c r="R193" i="166" s="1"/>
  <c r="T193" i="166"/>
  <c r="Q193" i="166" s="1"/>
  <c r="T234" i="166"/>
  <c r="Q234" i="166" s="1"/>
  <c r="U234" i="166"/>
  <c r="R234" i="166" s="1"/>
  <c r="U231" i="166"/>
  <c r="R231" i="166" s="1"/>
  <c r="T231" i="166"/>
  <c r="Q231" i="166" s="1"/>
  <c r="U115" i="166"/>
  <c r="R115" i="166" s="1"/>
  <c r="T115" i="166"/>
  <c r="Q115" i="166" s="1"/>
  <c r="U20" i="166"/>
  <c r="R20" i="166" s="1"/>
  <c r="T20" i="166"/>
  <c r="Q20" i="166" s="1"/>
  <c r="U144" i="166"/>
  <c r="R144" i="166" s="1"/>
  <c r="T144" i="166"/>
  <c r="Q144" i="166" s="1"/>
  <c r="U125" i="166"/>
  <c r="R125" i="166" s="1"/>
  <c r="T125" i="166"/>
  <c r="Q125" i="166" s="1"/>
  <c r="U94" i="166"/>
  <c r="R94" i="166" s="1"/>
  <c r="T94" i="166"/>
  <c r="Q94" i="166" s="1"/>
  <c r="U332" i="166"/>
  <c r="R332" i="166" s="1"/>
  <c r="T332" i="166"/>
  <c r="Q332" i="166" s="1"/>
  <c r="U257" i="166"/>
  <c r="R257" i="166" s="1"/>
  <c r="T257" i="166"/>
  <c r="Q257" i="166" s="1"/>
  <c r="U110" i="166"/>
  <c r="R110" i="166" s="1"/>
  <c r="T110" i="166"/>
  <c r="Q110" i="166" s="1"/>
  <c r="U174" i="166"/>
  <c r="R174" i="166" s="1"/>
  <c r="T174" i="166"/>
  <c r="Q174" i="166" s="1"/>
  <c r="U271" i="166"/>
  <c r="R271" i="166" s="1"/>
  <c r="T271" i="166"/>
  <c r="Q271" i="166" s="1"/>
  <c r="U348" i="166"/>
  <c r="R348" i="166" s="1"/>
  <c r="T348" i="166"/>
  <c r="Q348" i="166" s="1"/>
  <c r="X264" i="166"/>
  <c r="P234" i="166"/>
  <c r="AN405" i="1" s="1"/>
  <c r="P125" i="166"/>
  <c r="AN178" i="1" s="1"/>
  <c r="U76" i="166"/>
  <c r="R76" i="166" s="1"/>
  <c r="T76" i="166"/>
  <c r="Q76" i="166" s="1"/>
  <c r="U195" i="166"/>
  <c r="R195" i="166" s="1"/>
  <c r="T195" i="166"/>
  <c r="Q195" i="166" s="1"/>
  <c r="U368" i="166"/>
  <c r="R368" i="166" s="1"/>
  <c r="T368" i="166"/>
  <c r="Q368" i="166" s="1"/>
  <c r="U373" i="166"/>
  <c r="R373" i="166" s="1"/>
  <c r="T373" i="166"/>
  <c r="Q373" i="166" s="1"/>
  <c r="U347" i="166"/>
  <c r="T347" i="166"/>
  <c r="U93" i="166"/>
  <c r="R93" i="166" s="1"/>
  <c r="T93" i="166"/>
  <c r="Q93" i="166" s="1"/>
  <c r="U202" i="166"/>
  <c r="R202" i="166" s="1"/>
  <c r="T202" i="166"/>
  <c r="Q202" i="166" s="1"/>
  <c r="U100" i="166"/>
  <c r="R100" i="166" s="1"/>
  <c r="T100" i="166"/>
  <c r="Q100" i="166" s="1"/>
  <c r="U327" i="166"/>
  <c r="R327" i="166" s="1"/>
  <c r="T327" i="166"/>
  <c r="Q327" i="166" s="1"/>
  <c r="U219" i="166"/>
  <c r="R219" i="166" s="1"/>
  <c r="T219" i="166"/>
  <c r="Q219" i="166" s="1"/>
  <c r="U151" i="166"/>
  <c r="R151" i="166" s="1"/>
  <c r="T151" i="166"/>
  <c r="Q151" i="166" s="1"/>
  <c r="U142" i="166"/>
  <c r="R142" i="166" s="1"/>
  <c r="T142" i="166"/>
  <c r="Q142" i="166" s="1"/>
  <c r="T236" i="166"/>
  <c r="Q236" i="166" s="1"/>
  <c r="U236" i="166"/>
  <c r="R236" i="166" s="1"/>
  <c r="U118" i="166"/>
  <c r="R118" i="166" s="1"/>
  <c r="T118" i="166"/>
  <c r="Q118" i="166" s="1"/>
  <c r="U183" i="166"/>
  <c r="R183" i="166" s="1"/>
  <c r="T183" i="166"/>
  <c r="Q183" i="166" s="1"/>
  <c r="U287" i="166"/>
  <c r="R287" i="166" s="1"/>
  <c r="T287" i="166"/>
  <c r="Q287" i="166" s="1"/>
  <c r="U325" i="166"/>
  <c r="R325" i="166" s="1"/>
  <c r="T325" i="166"/>
  <c r="Q325" i="166" s="1"/>
  <c r="U145" i="166"/>
  <c r="R145" i="166" s="1"/>
  <c r="T145" i="166"/>
  <c r="Q145" i="166" s="1"/>
  <c r="U289" i="166"/>
  <c r="R289" i="166" s="1"/>
  <c r="T289" i="166"/>
  <c r="Q289" i="166" s="1"/>
  <c r="U375" i="166"/>
  <c r="T375" i="166"/>
  <c r="U129" i="166"/>
  <c r="R129" i="166" s="1"/>
  <c r="T129" i="166"/>
  <c r="Q129" i="166" s="1"/>
  <c r="U374" i="166"/>
  <c r="R374" i="166" s="1"/>
  <c r="T374" i="166"/>
  <c r="Q374" i="166" s="1"/>
  <c r="U200" i="166"/>
  <c r="R200" i="166" s="1"/>
  <c r="T200" i="166"/>
  <c r="Q200" i="166" s="1"/>
  <c r="U367" i="166"/>
  <c r="R367" i="166" s="1"/>
  <c r="T367" i="166"/>
  <c r="Q367" i="166" s="1"/>
  <c r="U280" i="166"/>
  <c r="R280" i="166" s="1"/>
  <c r="T280" i="166"/>
  <c r="Q280" i="166" s="1"/>
  <c r="U300" i="166"/>
  <c r="R300" i="166" s="1"/>
  <c r="T300" i="166"/>
  <c r="Q300" i="166" s="1"/>
  <c r="U11" i="166"/>
  <c r="R11" i="166" s="1"/>
  <c r="T11" i="166"/>
  <c r="Q11" i="166" s="1"/>
  <c r="T218" i="166"/>
  <c r="Q218" i="166" s="1"/>
  <c r="U218" i="166"/>
  <c r="R218" i="166" s="1"/>
  <c r="U17" i="166"/>
  <c r="R17" i="166" s="1"/>
  <c r="T17" i="166"/>
  <c r="Q17" i="166" s="1"/>
  <c r="U324" i="166"/>
  <c r="R324" i="166" s="1"/>
  <c r="T324" i="166"/>
  <c r="Q324" i="166" s="1"/>
  <c r="U141" i="166"/>
  <c r="R141" i="166" s="1"/>
  <c r="T141" i="166"/>
  <c r="Q141" i="166" s="1"/>
  <c r="T21" i="166"/>
  <c r="Q21" i="166" s="1"/>
  <c r="U21" i="166"/>
  <c r="R21" i="166" s="1"/>
  <c r="U73" i="166"/>
  <c r="R73" i="166" s="1"/>
  <c r="T73" i="166"/>
  <c r="Q73" i="166" s="1"/>
  <c r="U122" i="166"/>
  <c r="R122" i="166" s="1"/>
  <c r="T122" i="166"/>
  <c r="Q122" i="166" s="1"/>
  <c r="T196" i="166"/>
  <c r="Q196" i="166" s="1"/>
  <c r="U196" i="166"/>
  <c r="R196" i="166" s="1"/>
  <c r="U221" i="166"/>
  <c r="R221" i="166" s="1"/>
  <c r="T221" i="166"/>
  <c r="Q221" i="166" s="1"/>
  <c r="U319" i="166"/>
  <c r="T319" i="166"/>
  <c r="U98" i="166"/>
  <c r="R98" i="166" s="1"/>
  <c r="T98" i="166"/>
  <c r="Q98" i="166" s="1"/>
  <c r="U184" i="166"/>
  <c r="R184" i="166" s="1"/>
  <c r="T184" i="166"/>
  <c r="Q184" i="166" s="1"/>
  <c r="T371" i="166"/>
  <c r="Q371" i="166" s="1"/>
  <c r="U371" i="166"/>
  <c r="R371" i="166" s="1"/>
  <c r="U361" i="166"/>
  <c r="R361" i="166" s="1"/>
  <c r="T361" i="166"/>
  <c r="Q361" i="166" s="1"/>
  <c r="U350" i="166"/>
  <c r="R350" i="166" s="1"/>
  <c r="T350" i="166"/>
  <c r="Q350" i="166" s="1"/>
  <c r="T132" i="166"/>
  <c r="Q132" i="166" s="1"/>
  <c r="U132" i="166"/>
  <c r="R132" i="166" s="1"/>
  <c r="U175" i="166"/>
  <c r="R175" i="166" s="1"/>
  <c r="T175" i="166"/>
  <c r="Q175" i="166" s="1"/>
  <c r="U108" i="166"/>
  <c r="R108" i="166" s="1"/>
  <c r="T108" i="166"/>
  <c r="Q108" i="166" s="1"/>
  <c r="U135" i="166"/>
  <c r="R135" i="166" s="1"/>
  <c r="T135" i="166"/>
  <c r="Q135" i="166" s="1"/>
  <c r="U102" i="166"/>
  <c r="R102" i="166" s="1"/>
  <c r="T102" i="166"/>
  <c r="Q102" i="166" s="1"/>
  <c r="U182" i="166"/>
  <c r="R182" i="166" s="1"/>
  <c r="T182" i="166"/>
  <c r="Q182" i="166" s="1"/>
  <c r="U191" i="166"/>
  <c r="R191" i="166" s="1"/>
  <c r="T191" i="166"/>
  <c r="Q191" i="166" s="1"/>
  <c r="U283" i="166"/>
  <c r="R283" i="166" s="1"/>
  <c r="T283" i="166"/>
  <c r="Q283" i="166" s="1"/>
  <c r="U173" i="166"/>
  <c r="R173" i="166" s="1"/>
  <c r="T173" i="166"/>
  <c r="Q173" i="166" s="1"/>
  <c r="U357" i="166"/>
  <c r="R357" i="166" s="1"/>
  <c r="T357" i="166"/>
  <c r="Q357" i="166" s="1"/>
  <c r="U5" i="166"/>
  <c r="R5" i="166" s="1"/>
  <c r="T5" i="166"/>
  <c r="Q5" i="166" s="1"/>
  <c r="U127" i="166"/>
  <c r="R127" i="166" s="1"/>
  <c r="T127" i="166"/>
  <c r="Q127" i="166" s="1"/>
  <c r="X251" i="166"/>
  <c r="X388" i="166"/>
  <c r="X242" i="166"/>
  <c r="X214" i="166"/>
  <c r="X393" i="166"/>
  <c r="X402" i="166"/>
  <c r="X380" i="166"/>
  <c r="X266" i="166"/>
  <c r="X149" i="166"/>
  <c r="X409" i="166"/>
  <c r="X56" i="166"/>
  <c r="X90" i="166"/>
  <c r="X36" i="166"/>
  <c r="X8" i="166"/>
  <c r="X67" i="166"/>
  <c r="X211" i="166"/>
  <c r="X134" i="166"/>
  <c r="X273" i="166"/>
  <c r="X120" i="166"/>
  <c r="X277" i="166"/>
  <c r="X42" i="166"/>
  <c r="X272" i="166"/>
  <c r="X235" i="166"/>
  <c r="X158" i="166"/>
  <c r="X404" i="166"/>
  <c r="X267" i="166"/>
  <c r="X186" i="166"/>
  <c r="X19" i="166"/>
  <c r="X285" i="166"/>
  <c r="X43" i="166"/>
  <c r="X51" i="166"/>
  <c r="W377" i="166"/>
  <c r="R377" i="166" s="1"/>
  <c r="V377" i="166"/>
  <c r="Q377" i="166" s="1"/>
  <c r="P377" i="166"/>
  <c r="AN89" i="1" s="1"/>
  <c r="W341" i="166"/>
  <c r="R341" i="166" s="1"/>
  <c r="V341" i="166"/>
  <c r="Q341" i="166" s="1"/>
  <c r="P341" i="166"/>
  <c r="AN30" i="1" s="1"/>
  <c r="V78" i="166"/>
  <c r="Q78" i="166" s="1"/>
  <c r="W78" i="166"/>
  <c r="R78" i="166" s="1"/>
  <c r="P78" i="166"/>
  <c r="AN263" i="1" s="1"/>
  <c r="W363" i="166"/>
  <c r="R363" i="166" s="1"/>
  <c r="V363" i="166"/>
  <c r="Q363" i="166" s="1"/>
  <c r="P363" i="166"/>
  <c r="AN369" i="1" s="1"/>
  <c r="X112" i="166"/>
  <c r="X10" i="166"/>
  <c r="X109" i="166"/>
  <c r="X395" i="166"/>
  <c r="X228" i="166"/>
  <c r="X82" i="166"/>
  <c r="X243" i="166"/>
  <c r="X69" i="166"/>
  <c r="X52" i="166"/>
  <c r="X46" i="166"/>
  <c r="X18" i="166"/>
  <c r="X159" i="166"/>
  <c r="AN320" i="1"/>
  <c r="X138" i="166"/>
  <c r="X313" i="166"/>
  <c r="X57" i="166"/>
  <c r="X40" i="166"/>
  <c r="X201" i="166"/>
  <c r="W359" i="166"/>
  <c r="R359" i="166" s="1"/>
  <c r="V359" i="166"/>
  <c r="Q359" i="166" s="1"/>
  <c r="P359" i="166"/>
  <c r="AN367" i="1" s="1"/>
  <c r="W346" i="166"/>
  <c r="R346" i="166" s="1"/>
  <c r="V346" i="166"/>
  <c r="Q346" i="166" s="1"/>
  <c r="P346" i="166"/>
  <c r="AN365" i="1" s="1"/>
  <c r="X339" i="166"/>
  <c r="X315" i="166"/>
  <c r="X406" i="166"/>
  <c r="X207" i="166"/>
  <c r="W323" i="166"/>
  <c r="R323" i="166" s="1"/>
  <c r="V323" i="166"/>
  <c r="Q323" i="166" s="1"/>
  <c r="P323" i="166"/>
  <c r="AN252" i="1" s="1"/>
  <c r="X342" i="166"/>
  <c r="X392" i="166"/>
  <c r="X397" i="166"/>
  <c r="X396" i="166"/>
  <c r="X204" i="166"/>
  <c r="X306" i="166"/>
  <c r="X15" i="166"/>
  <c r="X131" i="166"/>
  <c r="X209" i="166"/>
  <c r="X92" i="166"/>
  <c r="X25" i="166"/>
  <c r="X45" i="166"/>
  <c r="X302" i="166"/>
  <c r="X398" i="166"/>
  <c r="X248" i="166"/>
  <c r="X126" i="166"/>
  <c r="X394" i="166"/>
  <c r="X309" i="166"/>
  <c r="X245" i="166"/>
  <c r="X217" i="166"/>
  <c r="X322" i="166"/>
  <c r="X137" i="166"/>
  <c r="W230" i="166"/>
  <c r="R230" i="166" s="1"/>
  <c r="V230" i="166"/>
  <c r="Q230" i="166" s="1"/>
  <c r="P230" i="166"/>
  <c r="AN17" i="1" s="1"/>
  <c r="X297" i="166"/>
  <c r="X400" i="166"/>
  <c r="X89" i="166"/>
  <c r="W213" i="166"/>
  <c r="R213" i="166" s="1"/>
  <c r="V213" i="166"/>
  <c r="Q213" i="166" s="1"/>
  <c r="P213" i="166"/>
  <c r="AN170" i="1" s="1"/>
  <c r="V358" i="166"/>
  <c r="Q358" i="166" s="1"/>
  <c r="W358" i="166"/>
  <c r="R358" i="166" s="1"/>
  <c r="P358" i="166"/>
  <c r="AN344" i="1" s="1"/>
  <c r="X6" i="166"/>
  <c r="X244" i="166"/>
  <c r="X237" i="166"/>
  <c r="X354" i="166"/>
  <c r="X343" i="166"/>
  <c r="X345" i="166"/>
  <c r="X330" i="166"/>
  <c r="X7" i="166"/>
  <c r="X33" i="166"/>
  <c r="X298" i="166"/>
  <c r="X48" i="166"/>
  <c r="X258" i="166"/>
  <c r="X161" i="166"/>
  <c r="W369" i="166"/>
  <c r="R369" i="166" s="1"/>
  <c r="V369" i="166"/>
  <c r="Q369" i="166" s="1"/>
  <c r="P369" i="166"/>
  <c r="AN148" i="1" s="1"/>
  <c r="W81" i="166"/>
  <c r="R81" i="166" s="1"/>
  <c r="V81" i="166"/>
  <c r="Q81" i="166" s="1"/>
  <c r="P81" i="166"/>
  <c r="AN292" i="1" s="1"/>
  <c r="X407" i="166"/>
  <c r="X104" i="166"/>
  <c r="X378" i="166"/>
  <c r="X372" i="166"/>
  <c r="X160" i="166"/>
  <c r="W347" i="166"/>
  <c r="V347" i="166"/>
  <c r="P347" i="166"/>
  <c r="AN356" i="1" s="1"/>
  <c r="W384" i="166"/>
  <c r="R384" i="166" s="1"/>
  <c r="V384" i="166"/>
  <c r="Q384" i="166" s="1"/>
  <c r="P384" i="166"/>
  <c r="AN120" i="1" s="1"/>
  <c r="W212" i="166"/>
  <c r="R212" i="166" s="1"/>
  <c r="V212" i="166"/>
  <c r="Q212" i="166" s="1"/>
  <c r="P212" i="166"/>
  <c r="AN396" i="1" s="1"/>
  <c r="V319" i="166"/>
  <c r="W319" i="166"/>
  <c r="P319" i="166"/>
  <c r="AN376" i="1" s="1"/>
  <c r="X96" i="166"/>
  <c r="X59" i="166"/>
  <c r="X30" i="166"/>
  <c r="X410" i="166"/>
  <c r="W303" i="166"/>
  <c r="R303" i="166" s="1"/>
  <c r="V303" i="166"/>
  <c r="Q303" i="166" s="1"/>
  <c r="P303" i="166"/>
  <c r="AN36" i="1" s="1"/>
  <c r="W364" i="166"/>
  <c r="R364" i="166" s="1"/>
  <c r="V364" i="166"/>
  <c r="Q364" i="166" s="1"/>
  <c r="P364" i="166"/>
  <c r="AN103" i="1" s="1"/>
  <c r="X37" i="166"/>
  <c r="X165" i="166"/>
  <c r="W208" i="166"/>
  <c r="R208" i="166" s="1"/>
  <c r="V208" i="166"/>
  <c r="Q208" i="166" s="1"/>
  <c r="P208" i="166"/>
  <c r="AN251" i="1" s="1"/>
  <c r="W85" i="166"/>
  <c r="R85" i="166" s="1"/>
  <c r="V85" i="166"/>
  <c r="Q85" i="166" s="1"/>
  <c r="P85" i="166"/>
  <c r="AN46" i="1" s="1"/>
  <c r="X295" i="166"/>
  <c r="X188" i="166"/>
  <c r="X275" i="166"/>
  <c r="X140" i="166"/>
  <c r="X133" i="166"/>
  <c r="X53" i="166"/>
  <c r="X47" i="166"/>
  <c r="X254" i="166"/>
  <c r="X119" i="166"/>
  <c r="X172" i="166"/>
  <c r="X286" i="166"/>
  <c r="X293" i="166"/>
  <c r="X66" i="166"/>
  <c r="X279" i="166"/>
  <c r="W356" i="166"/>
  <c r="R356" i="166" s="1"/>
  <c r="V356" i="166"/>
  <c r="Q356" i="166" s="1"/>
  <c r="P356" i="166"/>
  <c r="AN92" i="1" s="1"/>
  <c r="X340" i="166"/>
  <c r="X385" i="166"/>
  <c r="X62" i="166"/>
  <c r="W365" i="166"/>
  <c r="R365" i="166" s="1"/>
  <c r="V365" i="166"/>
  <c r="Q365" i="166" s="1"/>
  <c r="P365" i="166"/>
  <c r="AN384" i="1" s="1"/>
  <c r="W382" i="166"/>
  <c r="R382" i="166" s="1"/>
  <c r="V382" i="166"/>
  <c r="Q382" i="166" s="1"/>
  <c r="P382" i="166"/>
  <c r="AN198" i="1" s="1"/>
  <c r="X162" i="166"/>
  <c r="X150" i="166"/>
  <c r="X255" i="166"/>
  <c r="X156" i="166"/>
  <c r="X249" i="166"/>
  <c r="X50" i="166"/>
  <c r="X321" i="166"/>
  <c r="X71" i="166"/>
  <c r="X121" i="166"/>
  <c r="X171" i="166"/>
  <c r="X87" i="166"/>
  <c r="X250" i="166"/>
  <c r="X334" i="166"/>
  <c r="X246" i="166"/>
  <c r="V375" i="166"/>
  <c r="W375" i="166"/>
  <c r="P375" i="166"/>
  <c r="AN90" i="1" s="1"/>
  <c r="X203" i="166"/>
  <c r="X28" i="166"/>
  <c r="X391" i="166"/>
  <c r="X39" i="166"/>
  <c r="X276" i="166"/>
  <c r="X260" i="166"/>
  <c r="X84" i="166"/>
  <c r="W335" i="166"/>
  <c r="R335" i="166" s="1"/>
  <c r="V335" i="166"/>
  <c r="Q335" i="166" s="1"/>
  <c r="P335" i="166"/>
  <c r="AN45" i="1" s="1"/>
  <c r="X169" i="166"/>
  <c r="X24" i="166"/>
  <c r="X180" i="166"/>
  <c r="X401" i="166"/>
  <c r="X75" i="166"/>
  <c r="X63" i="166"/>
  <c r="X35" i="166"/>
  <c r="W351" i="166"/>
  <c r="V351" i="166"/>
  <c r="P351" i="166"/>
  <c r="AN109" i="1" s="1"/>
  <c r="X185" i="166"/>
  <c r="X403" i="166"/>
  <c r="X105" i="166"/>
  <c r="X299" i="166"/>
  <c r="W77" i="166"/>
  <c r="R77" i="166" s="1"/>
  <c r="V77" i="166"/>
  <c r="Q77" i="166" s="1"/>
  <c r="P77" i="166"/>
  <c r="AN346" i="1" s="1"/>
  <c r="X206" i="166"/>
  <c r="X31" i="166"/>
  <c r="X27" i="166"/>
  <c r="X247" i="166"/>
  <c r="X252" i="166"/>
  <c r="X387" i="166"/>
  <c r="X106" i="166"/>
  <c r="W360" i="166"/>
  <c r="V360" i="166"/>
  <c r="P360" i="166"/>
  <c r="AN93" i="1" s="1"/>
  <c r="X124" i="166"/>
  <c r="X170" i="166"/>
  <c r="X317" i="166"/>
  <c r="W320" i="166"/>
  <c r="R320" i="166" s="1"/>
  <c r="V320" i="166"/>
  <c r="P320" i="166"/>
  <c r="AN240" i="1" s="1"/>
  <c r="W331" i="166"/>
  <c r="R331" i="166" s="1"/>
  <c r="V331" i="166"/>
  <c r="Q331" i="166" s="1"/>
  <c r="P331" i="166"/>
  <c r="AN316" i="1" s="1"/>
  <c r="X353" i="166"/>
  <c r="X113" i="166"/>
  <c r="X405" i="166"/>
  <c r="X61" i="166"/>
  <c r="W355" i="166"/>
  <c r="R355" i="166" s="1"/>
  <c r="V355" i="166"/>
  <c r="Q355" i="166" s="1"/>
  <c r="P355" i="166"/>
  <c r="AN106" i="1" s="1"/>
  <c r="X290" i="166"/>
  <c r="X91" i="166"/>
  <c r="AP272" i="1"/>
  <c r="AQ272" i="1" s="1"/>
  <c r="AJ3" i="1"/>
  <c r="O31" i="71"/>
  <c r="P31" i="71" s="1"/>
  <c r="O20" i="71"/>
  <c r="P20" i="71" s="1"/>
  <c r="O5" i="71"/>
  <c r="P5" i="71" s="1"/>
  <c r="O9" i="71"/>
  <c r="P9" i="71" s="1"/>
  <c r="O32" i="71"/>
  <c r="P32" i="71" s="1"/>
  <c r="O33" i="71"/>
  <c r="P33" i="71" s="1"/>
  <c r="O30" i="71"/>
  <c r="P30" i="71" s="1"/>
  <c r="O37" i="71"/>
  <c r="P37" i="71" s="1"/>
  <c r="O48" i="71"/>
  <c r="P48" i="71" s="1"/>
  <c r="B10" i="102"/>
  <c r="O42" i="71"/>
  <c r="P42" i="71" s="1"/>
  <c r="O46" i="71"/>
  <c r="P46" i="71" s="1"/>
  <c r="O34" i="71"/>
  <c r="P34" i="71" s="1"/>
  <c r="O10" i="71"/>
  <c r="P10" i="71" s="1"/>
  <c r="O13" i="71"/>
  <c r="P13" i="71" s="1"/>
  <c r="O16" i="71"/>
  <c r="P16" i="71" s="1"/>
  <c r="O21" i="71"/>
  <c r="P21" i="71" s="1"/>
  <c r="M3" i="71"/>
  <c r="N3" i="71"/>
  <c r="R351" i="166" l="1"/>
  <c r="S261" i="166"/>
  <c r="AO167" i="1"/>
  <c r="X261" i="166"/>
  <c r="Q320" i="166"/>
  <c r="AO149" i="1"/>
  <c r="AP149" i="1" s="1"/>
  <c r="AQ149" i="1" s="1"/>
  <c r="X296" i="166"/>
  <c r="S288" i="166"/>
  <c r="AO7" i="1" s="1"/>
  <c r="X288" i="166"/>
  <c r="S296" i="166"/>
  <c r="AO183" i="1"/>
  <c r="AP183" i="1" s="1"/>
  <c r="AQ183" i="1" s="1"/>
  <c r="AO383" i="1"/>
  <c r="AP383" i="1" s="1"/>
  <c r="AQ383" i="1" s="1"/>
  <c r="AO237" i="1"/>
  <c r="AP237" i="1" s="1"/>
  <c r="AQ237" i="1" s="1"/>
  <c r="AO163" i="1"/>
  <c r="AO295" i="1"/>
  <c r="R360" i="166"/>
  <c r="Q351" i="166"/>
  <c r="X229" i="166"/>
  <c r="AO84" i="1"/>
  <c r="AP84" i="1" s="1"/>
  <c r="AQ84" i="1" s="1"/>
  <c r="R319" i="166"/>
  <c r="Q229" i="166"/>
  <c r="Q319" i="166"/>
  <c r="Q347" i="166"/>
  <c r="R347" i="166"/>
  <c r="Q360" i="166"/>
  <c r="S190" i="166"/>
  <c r="AO278" i="1" s="1"/>
  <c r="AP278" i="1" s="1"/>
  <c r="AQ278" i="1" s="1"/>
  <c r="AO119" i="1"/>
  <c r="AP119" i="1" s="1"/>
  <c r="AQ119" i="1" s="1"/>
  <c r="Q375" i="166"/>
  <c r="Q292" i="166"/>
  <c r="Q294" i="166"/>
  <c r="R375" i="166"/>
  <c r="S311" i="166"/>
  <c r="Q190" i="166"/>
  <c r="Q311" i="166"/>
  <c r="Q370" i="166"/>
  <c r="AO20" i="1"/>
  <c r="AO210" i="1"/>
  <c r="AP210" i="1" s="1"/>
  <c r="AQ210" i="1" s="1"/>
  <c r="AO204" i="1"/>
  <c r="AP204" i="1" s="1"/>
  <c r="AQ204" i="1" s="1"/>
  <c r="AO19" i="1"/>
  <c r="AO34" i="1"/>
  <c r="AO297" i="1"/>
  <c r="AP297" i="1" s="1"/>
  <c r="AQ297" i="1" s="1"/>
  <c r="X370" i="166"/>
  <c r="X318" i="166"/>
  <c r="AO331" i="1"/>
  <c r="AP331" i="1" s="1"/>
  <c r="AQ331" i="1" s="1"/>
  <c r="AO361" i="1"/>
  <c r="AP361" i="1" s="1"/>
  <c r="AQ361" i="1" s="1"/>
  <c r="AO326" i="1"/>
  <c r="AP326" i="1" s="1"/>
  <c r="AQ326" i="1" s="1"/>
  <c r="AO180" i="1"/>
  <c r="AP180" i="1" s="1"/>
  <c r="AQ180" i="1" s="1"/>
  <c r="AO370" i="1"/>
  <c r="AP370" i="1" s="1"/>
  <c r="AQ370" i="1" s="1"/>
  <c r="AO327" i="1"/>
  <c r="AP327" i="1" s="1"/>
  <c r="AQ327" i="1" s="1"/>
  <c r="AO211" i="1"/>
  <c r="AP211" i="1" s="1"/>
  <c r="AQ211" i="1" s="1"/>
  <c r="AO171" i="1"/>
  <c r="AP171" i="1" s="1"/>
  <c r="AQ171" i="1" s="1"/>
  <c r="AO304" i="1"/>
  <c r="AP304" i="1" s="1"/>
  <c r="AQ304" i="1" s="1"/>
  <c r="AO80" i="1"/>
  <c r="AP80" i="1" s="1"/>
  <c r="AQ80" i="1" s="1"/>
  <c r="AO340" i="1"/>
  <c r="AP340" i="1" s="1"/>
  <c r="AQ340" i="1" s="1"/>
  <c r="AO29" i="1"/>
  <c r="AO257" i="1"/>
  <c r="AO88" i="1"/>
  <c r="AP88" i="1" s="1"/>
  <c r="AQ88" i="1" s="1"/>
  <c r="AO176" i="1"/>
  <c r="AP176" i="1" s="1"/>
  <c r="AQ176" i="1" s="1"/>
  <c r="AO324" i="1"/>
  <c r="AP324" i="1" s="1"/>
  <c r="AQ324" i="1" s="1"/>
  <c r="AO247" i="1"/>
  <c r="AP247" i="1" s="1"/>
  <c r="AQ247" i="1" s="1"/>
  <c r="AO122" i="1"/>
  <c r="AP122" i="1" s="1"/>
  <c r="AQ122" i="1" s="1"/>
  <c r="AO50" i="1"/>
  <c r="AP50" i="1" s="1"/>
  <c r="AQ50" i="1" s="1"/>
  <c r="X325" i="166"/>
  <c r="AO173" i="1"/>
  <c r="AP173" i="1" s="1"/>
  <c r="AQ173" i="1" s="1"/>
  <c r="AO354" i="1"/>
  <c r="AO197" i="1"/>
  <c r="AP197" i="1" s="1"/>
  <c r="AQ197" i="1" s="1"/>
  <c r="AO394" i="1"/>
  <c r="AP394" i="1" s="1"/>
  <c r="AQ394" i="1" s="1"/>
  <c r="AO203" i="1"/>
  <c r="AP203" i="1" s="1"/>
  <c r="AQ203" i="1" s="1"/>
  <c r="AO333" i="1"/>
  <c r="AP333" i="1" s="1"/>
  <c r="AQ333" i="1" s="1"/>
  <c r="AO142" i="1"/>
  <c r="AP142" i="1" s="1"/>
  <c r="AQ142" i="1" s="1"/>
  <c r="AO73" i="1"/>
  <c r="AP73" i="1" s="1"/>
  <c r="AQ73" i="1" s="1"/>
  <c r="AO217" i="1"/>
  <c r="AP217" i="1" s="1"/>
  <c r="AQ217" i="1" s="1"/>
  <c r="AO222" i="1"/>
  <c r="AP222" i="1" s="1"/>
  <c r="AQ222" i="1" s="1"/>
  <c r="AO216" i="1"/>
  <c r="AP216" i="1" s="1"/>
  <c r="AQ216" i="1" s="1"/>
  <c r="AO82" i="1"/>
  <c r="AP82" i="1" s="1"/>
  <c r="AQ82" i="1" s="1"/>
  <c r="AO232" i="1"/>
  <c r="AO273" i="1"/>
  <c r="AP273" i="1" s="1"/>
  <c r="AQ273" i="1" s="1"/>
  <c r="AO196" i="1"/>
  <c r="AP196" i="1" s="1"/>
  <c r="AQ196" i="1" s="1"/>
  <c r="AO345" i="1"/>
  <c r="AP345" i="1" s="1"/>
  <c r="AQ345" i="1" s="1"/>
  <c r="AO126" i="1"/>
  <c r="AO229" i="1"/>
  <c r="AP229" i="1" s="1"/>
  <c r="AQ229" i="1" s="1"/>
  <c r="AO125" i="1"/>
  <c r="AP125" i="1" s="1"/>
  <c r="AQ125" i="1" s="1"/>
  <c r="AO360" i="1"/>
  <c r="AP360" i="1" s="1"/>
  <c r="AQ360" i="1" s="1"/>
  <c r="X221" i="166"/>
  <c r="AO32" i="1"/>
  <c r="AP32" i="1" s="1"/>
  <c r="AQ32" i="1" s="1"/>
  <c r="S318" i="166"/>
  <c r="AO6" i="1" s="1"/>
  <c r="AO190" i="1"/>
  <c r="AP190" i="1" s="1"/>
  <c r="AQ190" i="1" s="1"/>
  <c r="AO11" i="1"/>
  <c r="AP11" i="1" s="1"/>
  <c r="AQ11" i="1" s="1"/>
  <c r="X292" i="166"/>
  <c r="AO28" i="1" s="1"/>
  <c r="AP28" i="1" s="1"/>
  <c r="AO129" i="1"/>
  <c r="AP129" i="1" s="1"/>
  <c r="AQ129" i="1" s="1"/>
  <c r="AO357" i="1"/>
  <c r="AP357" i="1" s="1"/>
  <c r="AQ357" i="1" s="1"/>
  <c r="AO79" i="1"/>
  <c r="AP79" i="1" s="1"/>
  <c r="AQ79" i="1" s="1"/>
  <c r="AO241" i="1"/>
  <c r="AP241" i="1" s="1"/>
  <c r="AQ241" i="1" s="1"/>
  <c r="AO139" i="1"/>
  <c r="AP139" i="1" s="1"/>
  <c r="AQ139" i="1" s="1"/>
  <c r="AO67" i="1"/>
  <c r="AP67" i="1" s="1"/>
  <c r="AQ67" i="1" s="1"/>
  <c r="AO47" i="1"/>
  <c r="AO353" i="1"/>
  <c r="AP353" i="1" s="1"/>
  <c r="AQ353" i="1" s="1"/>
  <c r="AO265" i="1"/>
  <c r="AP265" i="1" s="1"/>
  <c r="AQ265" i="1" s="1"/>
  <c r="AO182" i="1"/>
  <c r="AO274" i="1"/>
  <c r="AP274" i="1" s="1"/>
  <c r="AQ274" i="1" s="1"/>
  <c r="AO51" i="1"/>
  <c r="AO404" i="1"/>
  <c r="AP404" i="1" s="1"/>
  <c r="AQ404" i="1" s="1"/>
  <c r="AO61" i="1"/>
  <c r="AP61" i="1" s="1"/>
  <c r="AQ61" i="1" s="1"/>
  <c r="AO208" i="1"/>
  <c r="AP208" i="1" s="1"/>
  <c r="AQ208" i="1" s="1"/>
  <c r="AO74" i="1"/>
  <c r="AP74" i="1" s="1"/>
  <c r="AQ74" i="1" s="1"/>
  <c r="AO59" i="1"/>
  <c r="AP59" i="1" s="1"/>
  <c r="AQ59" i="1" s="1"/>
  <c r="AO328" i="1"/>
  <c r="AP328" i="1" s="1"/>
  <c r="AQ328" i="1" s="1"/>
  <c r="AO335" i="1"/>
  <c r="AP335" i="1" s="1"/>
  <c r="AQ335" i="1" s="1"/>
  <c r="AO228" i="1"/>
  <c r="AP228" i="1" s="1"/>
  <c r="AQ228" i="1" s="1"/>
  <c r="AO76" i="1"/>
  <c r="AP76" i="1" s="1"/>
  <c r="AQ76" i="1" s="1"/>
  <c r="AO205" i="1"/>
  <c r="AP205" i="1" s="1"/>
  <c r="AQ205" i="1" s="1"/>
  <c r="AO57" i="1"/>
  <c r="AP57" i="1" s="1"/>
  <c r="AQ57" i="1" s="1"/>
  <c r="AO302" i="1"/>
  <c r="AO262" i="1"/>
  <c r="AP262" i="1" s="1"/>
  <c r="AQ262" i="1" s="1"/>
  <c r="AO91" i="1"/>
  <c r="AP91" i="1" s="1"/>
  <c r="AQ91" i="1" s="1"/>
  <c r="AO95" i="1"/>
  <c r="AP95" i="1" s="1"/>
  <c r="AQ95" i="1" s="1"/>
  <c r="AO191" i="1"/>
  <c r="AP191" i="1" s="1"/>
  <c r="AQ191" i="1" s="1"/>
  <c r="AO60" i="1"/>
  <c r="AP60" i="1" s="1"/>
  <c r="AQ60" i="1" s="1"/>
  <c r="AO276" i="1"/>
  <c r="AP276" i="1" s="1"/>
  <c r="AQ276" i="1" s="1"/>
  <c r="AO294" i="1"/>
  <c r="AP294" i="1" s="1"/>
  <c r="AQ294" i="1" s="1"/>
  <c r="AO223" i="1"/>
  <c r="AP223" i="1" s="1"/>
  <c r="AQ223" i="1" s="1"/>
  <c r="AO147" i="1"/>
  <c r="AP147" i="1" s="1"/>
  <c r="AQ147" i="1" s="1"/>
  <c r="AO97" i="1"/>
  <c r="AP97" i="1" s="1"/>
  <c r="AQ97" i="1" s="1"/>
  <c r="AO288" i="1"/>
  <c r="AO261" i="1"/>
  <c r="AP261" i="1" s="1"/>
  <c r="AQ261" i="1" s="1"/>
  <c r="AO325" i="1"/>
  <c r="AP325" i="1" s="1"/>
  <c r="AQ325" i="1" s="1"/>
  <c r="AO329" i="1"/>
  <c r="AP329" i="1" s="1"/>
  <c r="AQ329" i="1" s="1"/>
  <c r="AO408" i="1"/>
  <c r="AP408" i="1" s="1"/>
  <c r="AQ408" i="1" s="1"/>
  <c r="AO231" i="1"/>
  <c r="AP231" i="1" s="1"/>
  <c r="AQ231" i="1" s="1"/>
  <c r="AO177" i="1"/>
  <c r="AP177" i="1" s="1"/>
  <c r="AQ177" i="1" s="1"/>
  <c r="AO303" i="1"/>
  <c r="AP303" i="1" s="1"/>
  <c r="AQ303" i="1" s="1"/>
  <c r="AO153" i="1"/>
  <c r="AP153" i="1" s="1"/>
  <c r="AQ153" i="1" s="1"/>
  <c r="AO317" i="1"/>
  <c r="AO352" i="1"/>
  <c r="AP352" i="1" s="1"/>
  <c r="AQ352" i="1" s="1"/>
  <c r="AO195" i="1"/>
  <c r="AP195" i="1" s="1"/>
  <c r="AQ195" i="1" s="1"/>
  <c r="X311" i="166"/>
  <c r="AO234" i="1"/>
  <c r="AP234" i="1" s="1"/>
  <c r="AQ234" i="1" s="1"/>
  <c r="AO298" i="1"/>
  <c r="AP298" i="1" s="1"/>
  <c r="AQ298" i="1" s="1"/>
  <c r="AO66" i="1"/>
  <c r="AP66" i="1" s="1"/>
  <c r="AQ66" i="1" s="1"/>
  <c r="AO254" i="1"/>
  <c r="AP254" i="1" s="1"/>
  <c r="AQ254" i="1" s="1"/>
  <c r="AO290" i="1"/>
  <c r="AP290" i="1" s="1"/>
  <c r="AQ290" i="1" s="1"/>
  <c r="AO131" i="1"/>
  <c r="AO27" i="1"/>
  <c r="AO287" i="1"/>
  <c r="AP287" i="1" s="1"/>
  <c r="AQ287" i="1" s="1"/>
  <c r="AO296" i="1"/>
  <c r="AO266" i="1"/>
  <c r="AP266" i="1" s="1"/>
  <c r="AQ266" i="1" s="1"/>
  <c r="AO68" i="1"/>
  <c r="AP68" i="1" s="1"/>
  <c r="AQ68" i="1" s="1"/>
  <c r="AO40" i="1"/>
  <c r="AO107" i="1"/>
  <c r="AP107" i="1" s="1"/>
  <c r="AQ107" i="1" s="1"/>
  <c r="AO138" i="1"/>
  <c r="AP138" i="1" s="1"/>
  <c r="AQ138" i="1" s="1"/>
  <c r="AO175" i="1"/>
  <c r="AP175" i="1" s="1"/>
  <c r="AQ175" i="1" s="1"/>
  <c r="AO221" i="1"/>
  <c r="AP221" i="1" s="1"/>
  <c r="AQ221" i="1" s="1"/>
  <c r="AO281" i="1"/>
  <c r="AP281" i="1" s="1"/>
  <c r="AQ281" i="1" s="1"/>
  <c r="AO124" i="1"/>
  <c r="AP124" i="1" s="1"/>
  <c r="AQ124" i="1" s="1"/>
  <c r="AO115" i="1"/>
  <c r="AP115" i="1" s="1"/>
  <c r="AQ115" i="1" s="1"/>
  <c r="AO301" i="1"/>
  <c r="AP301" i="1" s="1"/>
  <c r="AQ301" i="1" s="1"/>
  <c r="AO364" i="1"/>
  <c r="AO44" i="1"/>
  <c r="AP44" i="1" s="1"/>
  <c r="AQ44" i="1" s="1"/>
  <c r="AO105" i="1"/>
  <c r="AP105" i="1" s="1"/>
  <c r="AQ105" i="1" s="1"/>
  <c r="AO398" i="1"/>
  <c r="AP398" i="1" s="1"/>
  <c r="AQ398" i="1" s="1"/>
  <c r="AO399" i="1"/>
  <c r="AP399" i="1" s="1"/>
  <c r="AQ399" i="1" s="1"/>
  <c r="AO343" i="1"/>
  <c r="AP343" i="1" s="1"/>
  <c r="AQ343" i="1" s="1"/>
  <c r="X98" i="166"/>
  <c r="X257" i="166"/>
  <c r="X176" i="166"/>
  <c r="X216" i="166"/>
  <c r="X136" i="166"/>
  <c r="AO49" i="1"/>
  <c r="AP49" i="1" s="1"/>
  <c r="AQ49" i="1" s="1"/>
  <c r="AO133" i="1"/>
  <c r="AP133" i="1" s="1"/>
  <c r="AQ133" i="1" s="1"/>
  <c r="AO289" i="1"/>
  <c r="AP289" i="1" s="1"/>
  <c r="AQ289" i="1" s="1"/>
  <c r="AO246" i="1"/>
  <c r="AP246" i="1" s="1"/>
  <c r="AQ246" i="1" s="1"/>
  <c r="AO132" i="1"/>
  <c r="AP132" i="1" s="1"/>
  <c r="AQ132" i="1" s="1"/>
  <c r="AO284" i="1"/>
  <c r="AP284" i="1" s="1"/>
  <c r="AQ284" i="1" s="1"/>
  <c r="AO392" i="1"/>
  <c r="AP392" i="1" s="1"/>
  <c r="AQ392" i="1" s="1"/>
  <c r="AO127" i="1"/>
  <c r="AO38" i="1"/>
  <c r="AP38" i="1" s="1"/>
  <c r="AQ38" i="1" s="1"/>
  <c r="AO406" i="1"/>
  <c r="AP406" i="1" s="1"/>
  <c r="AQ406" i="1" s="1"/>
  <c r="AO312" i="1"/>
  <c r="AP312" i="1" s="1"/>
  <c r="AQ312" i="1" s="1"/>
  <c r="AO41" i="1"/>
  <c r="AP41" i="1" s="1"/>
  <c r="AQ41" i="1" s="1"/>
  <c r="AO379" i="1"/>
  <c r="AP379" i="1" s="1"/>
  <c r="AQ379" i="1" s="1"/>
  <c r="AO63" i="1"/>
  <c r="AP63" i="1" s="1"/>
  <c r="AQ63" i="1" s="1"/>
  <c r="AO181" i="1"/>
  <c r="AP181" i="1" s="1"/>
  <c r="AQ181" i="1" s="1"/>
  <c r="AO12" i="1"/>
  <c r="X294" i="166"/>
  <c r="X127" i="166"/>
  <c r="X283" i="166"/>
  <c r="X93" i="166"/>
  <c r="AO116" i="1"/>
  <c r="AP116" i="1" s="1"/>
  <c r="AQ116" i="1" s="1"/>
  <c r="AO372" i="1"/>
  <c r="AP372" i="1" s="1"/>
  <c r="AQ372" i="1" s="1"/>
  <c r="AO166" i="1"/>
  <c r="AP166" i="1" s="1"/>
  <c r="AQ166" i="1" s="1"/>
  <c r="AO219" i="1"/>
  <c r="AP219" i="1" s="1"/>
  <c r="AQ219" i="1" s="1"/>
  <c r="AO378" i="1"/>
  <c r="AP378" i="1" s="1"/>
  <c r="AQ378" i="1" s="1"/>
  <c r="AO71" i="1"/>
  <c r="AP71" i="1" s="1"/>
  <c r="AQ71" i="1" s="1"/>
  <c r="S357" i="166"/>
  <c r="S182" i="166"/>
  <c r="S175" i="166"/>
  <c r="S221" i="166"/>
  <c r="AO391" i="1" s="1"/>
  <c r="AP391" i="1" s="1"/>
  <c r="AQ391" i="1" s="1"/>
  <c r="S367" i="166"/>
  <c r="S287" i="166"/>
  <c r="S142" i="166"/>
  <c r="S100" i="166"/>
  <c r="S373" i="166"/>
  <c r="X94" i="166"/>
  <c r="AO279" i="1"/>
  <c r="AP279" i="1" s="1"/>
  <c r="AQ279" i="1" s="1"/>
  <c r="AO213" i="1"/>
  <c r="AP213" i="1" s="1"/>
  <c r="AQ213" i="1" s="1"/>
  <c r="AO87" i="1"/>
  <c r="AP87" i="1" s="1"/>
  <c r="AQ87" i="1" s="1"/>
  <c r="AO56" i="1"/>
  <c r="AP56" i="1" s="1"/>
  <c r="AQ56" i="1" s="1"/>
  <c r="AO72" i="1"/>
  <c r="AP72" i="1" s="1"/>
  <c r="AQ72" i="1" s="1"/>
  <c r="AO248" i="1"/>
  <c r="AP248" i="1" s="1"/>
  <c r="AQ248" i="1" s="1"/>
  <c r="AO359" i="1"/>
  <c r="AP359" i="1" s="1"/>
  <c r="AQ359" i="1" s="1"/>
  <c r="AO52" i="1"/>
  <c r="AP52" i="1" s="1"/>
  <c r="AQ52" i="1" s="1"/>
  <c r="AO184" i="1"/>
  <c r="AP184" i="1" s="1"/>
  <c r="AQ184" i="1" s="1"/>
  <c r="X332" i="166"/>
  <c r="X23" i="166"/>
  <c r="AO275" i="1"/>
  <c r="AP275" i="1" s="1"/>
  <c r="AQ275" i="1" s="1"/>
  <c r="AO96" i="1"/>
  <c r="AP96" i="1" s="1"/>
  <c r="AQ96" i="1" s="1"/>
  <c r="X305" i="166"/>
  <c r="AO212" i="1"/>
  <c r="AO299" i="1"/>
  <c r="AP299" i="1" s="1"/>
  <c r="AQ299" i="1" s="1"/>
  <c r="AO31" i="1"/>
  <c r="AO350" i="1"/>
  <c r="AP350" i="1" s="1"/>
  <c r="AQ350" i="1" s="1"/>
  <c r="AO156" i="1"/>
  <c r="AP156" i="1" s="1"/>
  <c r="AQ156" i="1" s="1"/>
  <c r="AO338" i="1"/>
  <c r="AP338" i="1" s="1"/>
  <c r="AQ338" i="1" s="1"/>
  <c r="AO250" i="1"/>
  <c r="AP250" i="1" s="1"/>
  <c r="AQ250" i="1" s="1"/>
  <c r="AO39" i="1"/>
  <c r="AO169" i="1"/>
  <c r="AP169" i="1" s="1"/>
  <c r="AQ169" i="1" s="1"/>
  <c r="AO159" i="1"/>
  <c r="AP159" i="1" s="1"/>
  <c r="AQ159" i="1" s="1"/>
  <c r="X218" i="166"/>
  <c r="X111" i="166"/>
  <c r="AO283" i="1"/>
  <c r="AP283" i="1" s="1"/>
  <c r="AQ283" i="1" s="1"/>
  <c r="AO218" i="1"/>
  <c r="AP218" i="1" s="1"/>
  <c r="AQ218" i="1" s="1"/>
  <c r="AO104" i="1"/>
  <c r="AP104" i="1" s="1"/>
  <c r="AQ104" i="1" s="1"/>
  <c r="AO23" i="1"/>
  <c r="AP23" i="1" s="1"/>
  <c r="AO362" i="1"/>
  <c r="AO270" i="1"/>
  <c r="AP270" i="1" s="1"/>
  <c r="AQ270" i="1" s="1"/>
  <c r="AO387" i="1"/>
  <c r="AP387" i="1" s="1"/>
  <c r="AQ387" i="1" s="1"/>
  <c r="AO154" i="1"/>
  <c r="AP154" i="1" s="1"/>
  <c r="AQ154" i="1" s="1"/>
  <c r="AO411" i="1"/>
  <c r="AP411" i="1" s="1"/>
  <c r="AQ411" i="1" s="1"/>
  <c r="AO26" i="1"/>
  <c r="AO37" i="1"/>
  <c r="AP37" i="1" s="1"/>
  <c r="AQ37" i="1" s="1"/>
  <c r="AO207" i="1"/>
  <c r="AP207" i="1" s="1"/>
  <c r="AQ207" i="1" s="1"/>
  <c r="AO21" i="1"/>
  <c r="AP21" i="1" s="1"/>
  <c r="AQ21" i="1" s="1"/>
  <c r="AO375" i="1"/>
  <c r="AP375" i="1" s="1"/>
  <c r="AQ375" i="1" s="1"/>
  <c r="AO75" i="1"/>
  <c r="AP75" i="1" s="1"/>
  <c r="AQ75" i="1" s="1"/>
  <c r="AO14" i="1"/>
  <c r="AP14" i="1" s="1"/>
  <c r="AO118" i="1"/>
  <c r="AP118" i="1" s="1"/>
  <c r="AQ118" i="1" s="1"/>
  <c r="AO200" i="1"/>
  <c r="AO201" i="1"/>
  <c r="AP201" i="1" s="1"/>
  <c r="AQ201" i="1" s="1"/>
  <c r="AO111" i="1"/>
  <c r="AP111" i="1" s="1"/>
  <c r="AQ111" i="1" s="1"/>
  <c r="AO386" i="1"/>
  <c r="AO13" i="1"/>
  <c r="AO83" i="1"/>
  <c r="AP83" i="1" s="1"/>
  <c r="AQ83" i="1" s="1"/>
  <c r="X175" i="166"/>
  <c r="AO214" i="1"/>
  <c r="AO239" i="1"/>
  <c r="AP239" i="1" s="1"/>
  <c r="AQ239" i="1" s="1"/>
  <c r="AO112" i="1"/>
  <c r="AP112" i="1" s="1"/>
  <c r="AQ112" i="1" s="1"/>
  <c r="S222" i="166"/>
  <c r="AO179" i="1"/>
  <c r="AO314" i="1"/>
  <c r="AP314" i="1" s="1"/>
  <c r="AQ314" i="1" s="1"/>
  <c r="AO409" i="1"/>
  <c r="AP409" i="1" s="1"/>
  <c r="AQ409" i="1" s="1"/>
  <c r="AO99" i="1"/>
  <c r="AP99" i="1" s="1"/>
  <c r="AQ99" i="1" s="1"/>
  <c r="AO165" i="1"/>
  <c r="AP165" i="1" s="1"/>
  <c r="AQ165" i="1" s="1"/>
  <c r="AO206" i="1"/>
  <c r="AP206" i="1" s="1"/>
  <c r="AQ206" i="1" s="1"/>
  <c r="AO9" i="1"/>
  <c r="AO264" i="1"/>
  <c r="AP264" i="1" s="1"/>
  <c r="AQ264" i="1" s="1"/>
  <c r="AO286" i="1"/>
  <c r="AP286" i="1" s="1"/>
  <c r="AQ286" i="1" s="1"/>
  <c r="S348" i="166"/>
  <c r="S257" i="166"/>
  <c r="AO285" i="1" s="1"/>
  <c r="AP285" i="1" s="1"/>
  <c r="AQ285" i="1" s="1"/>
  <c r="S376" i="166"/>
  <c r="S338" i="166"/>
  <c r="S176" i="166"/>
  <c r="AO397" i="1" s="1"/>
  <c r="AP397" i="1" s="1"/>
  <c r="AQ397" i="1" s="1"/>
  <c r="S336" i="166"/>
  <c r="S216" i="166"/>
  <c r="AO321" i="1" s="1"/>
  <c r="AP321" i="1" s="1"/>
  <c r="AQ321" i="1" s="1"/>
  <c r="S143" i="166"/>
  <c r="S136" i="166"/>
  <c r="AO48" i="1" s="1"/>
  <c r="S177" i="166"/>
  <c r="AO10" i="1"/>
  <c r="AO271" i="1"/>
  <c r="AO33" i="1"/>
  <c r="AO267" i="1"/>
  <c r="AP267" i="1" s="1"/>
  <c r="AQ267" i="1" s="1"/>
  <c r="AO136" i="1"/>
  <c r="AP136" i="1" s="1"/>
  <c r="AQ136" i="1" s="1"/>
  <c r="AO155" i="1"/>
  <c r="AP155" i="1" s="1"/>
  <c r="AQ155" i="1" s="1"/>
  <c r="AO235" i="1"/>
  <c r="AP235" i="1" s="1"/>
  <c r="AQ235" i="1" s="1"/>
  <c r="AO291" i="1"/>
  <c r="AP291" i="1" s="1"/>
  <c r="AQ291" i="1" s="1"/>
  <c r="AO58" i="1"/>
  <c r="AP58" i="1" s="1"/>
  <c r="AQ58" i="1" s="1"/>
  <c r="AO366" i="1"/>
  <c r="AO347" i="1"/>
  <c r="AP347" i="1" s="1"/>
  <c r="AQ347" i="1" s="1"/>
  <c r="AO351" i="1"/>
  <c r="AP351" i="1" s="1"/>
  <c r="AQ351" i="1" s="1"/>
  <c r="AO318" i="1"/>
  <c r="AO202" i="1"/>
  <c r="AP202" i="1" s="1"/>
  <c r="AQ202" i="1" s="1"/>
  <c r="AO381" i="1"/>
  <c r="AP381" i="1" s="1"/>
  <c r="AQ381" i="1" s="1"/>
  <c r="AO308" i="1"/>
  <c r="AP308" i="1" s="1"/>
  <c r="AQ308" i="1" s="1"/>
  <c r="AO393" i="1"/>
  <c r="AP393" i="1" s="1"/>
  <c r="AQ393" i="1" s="1"/>
  <c r="AO236" i="1"/>
  <c r="AP236" i="1" s="1"/>
  <c r="AQ236" i="1" s="1"/>
  <c r="AO16" i="1"/>
  <c r="AO336" i="1"/>
  <c r="AO260" i="1"/>
  <c r="AP260" i="1" s="1"/>
  <c r="AQ260" i="1" s="1"/>
  <c r="X287" i="166"/>
  <c r="AO113" i="1"/>
  <c r="AP113" i="1" s="1"/>
  <c r="AQ113" i="1" s="1"/>
  <c r="S174" i="166"/>
  <c r="S94" i="166"/>
  <c r="AO55" i="1" s="1"/>
  <c r="AP55" i="1" s="1"/>
  <c r="AQ55" i="1" s="1"/>
  <c r="S115" i="166"/>
  <c r="S197" i="166"/>
  <c r="X329" i="166"/>
  <c r="S233" i="166"/>
  <c r="S291" i="166"/>
  <c r="S349" i="166"/>
  <c r="S147" i="166"/>
  <c r="S269" i="166"/>
  <c r="S232" i="166"/>
  <c r="AO8" i="1"/>
  <c r="AP8" i="1" s="1"/>
  <c r="AQ8" i="1" s="1"/>
  <c r="AO255" i="1"/>
  <c r="AP255" i="1" s="1"/>
  <c r="AQ255" i="1" s="1"/>
  <c r="AO402" i="1"/>
  <c r="AP402" i="1" s="1"/>
  <c r="AQ402" i="1" s="1"/>
  <c r="X129" i="166"/>
  <c r="S359" i="166"/>
  <c r="AO123" i="1"/>
  <c r="S230" i="166"/>
  <c r="S341" i="166"/>
  <c r="AO280" i="1"/>
  <c r="AP280" i="1" s="1"/>
  <c r="AQ280" i="1" s="1"/>
  <c r="AO193" i="1"/>
  <c r="AP193" i="1" s="1"/>
  <c r="AQ193" i="1" s="1"/>
  <c r="AO407" i="1"/>
  <c r="AP407" i="1" s="1"/>
  <c r="AQ407" i="1" s="1"/>
  <c r="AO164" i="1"/>
  <c r="AO323" i="1"/>
  <c r="AP323" i="1" s="1"/>
  <c r="AQ323" i="1" s="1"/>
  <c r="AO400" i="1"/>
  <c r="AP400" i="1" s="1"/>
  <c r="AQ400" i="1" s="1"/>
  <c r="AO185" i="1"/>
  <c r="AP185" i="1" s="1"/>
  <c r="AQ185" i="1" s="1"/>
  <c r="U411" i="166"/>
  <c r="X191" i="166"/>
  <c r="S236" i="166"/>
  <c r="AO388" i="1"/>
  <c r="AP388" i="1" s="1"/>
  <c r="AQ388" i="1" s="1"/>
  <c r="AO121" i="1"/>
  <c r="AO102" i="1"/>
  <c r="AP102" i="1" s="1"/>
  <c r="AQ102" i="1" s="1"/>
  <c r="AO108" i="1"/>
  <c r="AP108" i="1" s="1"/>
  <c r="AQ108" i="1" s="1"/>
  <c r="AO158" i="1"/>
  <c r="AP158" i="1" s="1"/>
  <c r="AQ158" i="1" s="1"/>
  <c r="AO85" i="1"/>
  <c r="AP85" i="1" s="1"/>
  <c r="AQ85" i="1" s="1"/>
  <c r="AO101" i="1"/>
  <c r="AP101" i="1" s="1"/>
  <c r="AQ101" i="1" s="1"/>
  <c r="S77" i="166"/>
  <c r="S382" i="166"/>
  <c r="AO243" i="1"/>
  <c r="AP243" i="1" s="1"/>
  <c r="AQ243" i="1" s="1"/>
  <c r="AO410" i="1"/>
  <c r="AP410" i="1" s="1"/>
  <c r="AQ410" i="1" s="1"/>
  <c r="S173" i="166"/>
  <c r="S102" i="166"/>
  <c r="S184" i="166"/>
  <c r="S141" i="166"/>
  <c r="S11" i="166"/>
  <c r="S200" i="166"/>
  <c r="S289" i="166"/>
  <c r="S183" i="166"/>
  <c r="S151" i="166"/>
  <c r="S202" i="166"/>
  <c r="S368" i="166"/>
  <c r="AO77" i="1"/>
  <c r="AP77" i="1" s="1"/>
  <c r="AQ77" i="1" s="1"/>
  <c r="AO209" i="1"/>
  <c r="AP209" i="1" s="1"/>
  <c r="AQ209" i="1" s="1"/>
  <c r="AO342" i="1"/>
  <c r="AP342" i="1" s="1"/>
  <c r="AQ342" i="1" s="1"/>
  <c r="AO157" i="1"/>
  <c r="AP157" i="1" s="1"/>
  <c r="AQ157" i="1" s="1"/>
  <c r="AO137" i="1"/>
  <c r="AP137" i="1" s="1"/>
  <c r="AQ137" i="1" s="1"/>
  <c r="AO152" i="1"/>
  <c r="AP152" i="1" s="1"/>
  <c r="AQ152" i="1" s="1"/>
  <c r="AO227" i="1"/>
  <c r="AP227" i="1" s="1"/>
  <c r="AQ227" i="1" s="1"/>
  <c r="AO25" i="1"/>
  <c r="AP25" i="1" s="1"/>
  <c r="AQ25" i="1" s="1"/>
  <c r="AO245" i="1"/>
  <c r="AP245" i="1" s="1"/>
  <c r="AQ245" i="1" s="1"/>
  <c r="S365" i="166"/>
  <c r="S303" i="166"/>
  <c r="AO363" i="1"/>
  <c r="AP363" i="1" s="1"/>
  <c r="AQ363" i="1" s="1"/>
  <c r="S346" i="166"/>
  <c r="AO249" i="1"/>
  <c r="AP249" i="1" s="1"/>
  <c r="AQ249" i="1" s="1"/>
  <c r="AO43" i="1"/>
  <c r="AP43" i="1" s="1"/>
  <c r="AQ43" i="1" s="1"/>
  <c r="AO244" i="1"/>
  <c r="AP244" i="1" s="1"/>
  <c r="AQ244" i="1" s="1"/>
  <c r="AO81" i="1"/>
  <c r="AP81" i="1" s="1"/>
  <c r="AQ81" i="1" s="1"/>
  <c r="S363" i="166"/>
  <c r="AO174" i="1"/>
  <c r="AP174" i="1" s="1"/>
  <c r="AQ174" i="1" s="1"/>
  <c r="S331" i="166"/>
  <c r="S377" i="166"/>
  <c r="S85" i="166"/>
  <c r="S212" i="166"/>
  <c r="S369" i="166"/>
  <c r="AO220" i="1"/>
  <c r="AP220" i="1" s="1"/>
  <c r="AQ220" i="1" s="1"/>
  <c r="S358" i="166"/>
  <c r="S335" i="166"/>
  <c r="S81" i="166"/>
  <c r="S323" i="166"/>
  <c r="S271" i="166"/>
  <c r="S332" i="166"/>
  <c r="AO300" i="1" s="1"/>
  <c r="S20" i="166"/>
  <c r="S193" i="166"/>
  <c r="X13" i="166"/>
  <c r="S117" i="166"/>
  <c r="S103" i="166"/>
  <c r="S107" i="166"/>
  <c r="S23" i="166"/>
  <c r="AO330" i="1" s="1"/>
  <c r="AP330" i="1" s="1"/>
  <c r="AQ330" i="1" s="1"/>
  <c r="S152" i="166"/>
  <c r="S355" i="166"/>
  <c r="S364" i="166"/>
  <c r="S356" i="166"/>
  <c r="S132" i="166"/>
  <c r="S196" i="166"/>
  <c r="X144" i="166"/>
  <c r="S144" i="166"/>
  <c r="X227" i="166"/>
  <c r="S227" i="166"/>
  <c r="S213" i="166"/>
  <c r="S127" i="166"/>
  <c r="S283" i="166"/>
  <c r="X135" i="166"/>
  <c r="S135" i="166"/>
  <c r="S350" i="166"/>
  <c r="S98" i="166"/>
  <c r="AO188" i="1" s="1"/>
  <c r="AP188" i="1" s="1"/>
  <c r="AQ188" i="1" s="1"/>
  <c r="S122" i="166"/>
  <c r="S324" i="166"/>
  <c r="S300" i="166"/>
  <c r="S374" i="166"/>
  <c r="S145" i="166"/>
  <c r="S118" i="166"/>
  <c r="S219" i="166"/>
  <c r="S93" i="166"/>
  <c r="AO189" i="1" s="1"/>
  <c r="AP189" i="1" s="1"/>
  <c r="AQ189" i="1" s="1"/>
  <c r="S195" i="166"/>
  <c r="S234" i="166"/>
  <c r="AO186" i="1"/>
  <c r="AP186" i="1" s="1"/>
  <c r="AQ186" i="1" s="1"/>
  <c r="AO253" i="1"/>
  <c r="AP253" i="1" s="1"/>
  <c r="AQ253" i="1" s="1"/>
  <c r="S360" i="166"/>
  <c r="X366" i="166"/>
  <c r="S366" i="166"/>
  <c r="S320" i="166"/>
  <c r="S5" i="166"/>
  <c r="S191" i="166"/>
  <c r="AO374" i="1" s="1"/>
  <c r="AP374" i="1" s="1"/>
  <c r="AQ374" i="1" s="1"/>
  <c r="S108" i="166"/>
  <c r="S361" i="166"/>
  <c r="S319" i="166"/>
  <c r="S73" i="166"/>
  <c r="S17" i="166"/>
  <c r="S280" i="166"/>
  <c r="S129" i="166"/>
  <c r="AO225" i="1" s="1"/>
  <c r="AP225" i="1" s="1"/>
  <c r="AQ225" i="1" s="1"/>
  <c r="S325" i="166"/>
  <c r="AO282" i="1" s="1"/>
  <c r="S327" i="166"/>
  <c r="S347" i="166"/>
  <c r="S76" i="166"/>
  <c r="X271" i="166"/>
  <c r="S13" i="166"/>
  <c r="AO117" i="1" s="1"/>
  <c r="AP117" i="1" s="1"/>
  <c r="AQ117" i="1" s="1"/>
  <c r="X103" i="166"/>
  <c r="S220" i="166"/>
  <c r="X152" i="166"/>
  <c r="S351" i="166"/>
  <c r="S78" i="166"/>
  <c r="S375" i="166"/>
  <c r="X197" i="166"/>
  <c r="S329" i="166"/>
  <c r="AO315" i="1" s="1"/>
  <c r="S371" i="166"/>
  <c r="S21" i="166"/>
  <c r="S218" i="166"/>
  <c r="AO349" i="1" s="1"/>
  <c r="AP349" i="1" s="1"/>
  <c r="AQ349" i="1" s="1"/>
  <c r="X110" i="166"/>
  <c r="S110" i="166"/>
  <c r="S125" i="166"/>
  <c r="S231" i="166"/>
  <c r="S111" i="166"/>
  <c r="AO224" i="1" s="1"/>
  <c r="AP224" i="1" s="1"/>
  <c r="AQ224" i="1" s="1"/>
  <c r="S14" i="166"/>
  <c r="X225" i="166"/>
  <c r="S225" i="166"/>
  <c r="S189" i="166"/>
  <c r="S223" i="166"/>
  <c r="S192" i="166"/>
  <c r="S326" i="166"/>
  <c r="X222" i="166"/>
  <c r="S208" i="166"/>
  <c r="S384" i="166"/>
  <c r="X307" i="166"/>
  <c r="S307" i="166"/>
  <c r="S305" i="166"/>
  <c r="AO226" i="1" s="1"/>
  <c r="AP226" i="1" s="1"/>
  <c r="AQ226" i="1" s="1"/>
  <c r="W411" i="166"/>
  <c r="X182" i="166"/>
  <c r="X76" i="166"/>
  <c r="V411" i="166"/>
  <c r="X177" i="166"/>
  <c r="X326" i="166"/>
  <c r="X324" i="166"/>
  <c r="X338" i="166"/>
  <c r="P411" i="166"/>
  <c r="X142" i="166"/>
  <c r="X373" i="166"/>
  <c r="X234" i="166"/>
  <c r="X336" i="166"/>
  <c r="X192" i="166"/>
  <c r="X147" i="166"/>
  <c r="X232" i="166"/>
  <c r="X141" i="166"/>
  <c r="X200" i="166"/>
  <c r="X289" i="166"/>
  <c r="X145" i="166"/>
  <c r="X118" i="166"/>
  <c r="X219" i="166"/>
  <c r="T411" i="166"/>
  <c r="X348" i="166"/>
  <c r="X20" i="166"/>
  <c r="X193" i="166"/>
  <c r="X341" i="166"/>
  <c r="X374" i="166"/>
  <c r="X195" i="166"/>
  <c r="X196" i="166"/>
  <c r="X115" i="166"/>
  <c r="X213" i="166"/>
  <c r="X371" i="166"/>
  <c r="X174" i="166"/>
  <c r="X125" i="166"/>
  <c r="X100" i="166"/>
  <c r="X375" i="166"/>
  <c r="X73" i="166"/>
  <c r="X11" i="166"/>
  <c r="X367" i="166"/>
  <c r="X233" i="166"/>
  <c r="X189" i="166"/>
  <c r="X357" i="166"/>
  <c r="X173" i="166"/>
  <c r="X300" i="166"/>
  <c r="X376" i="166"/>
  <c r="X14" i="166"/>
  <c r="X223" i="166"/>
  <c r="X143" i="166"/>
  <c r="X269" i="166"/>
  <c r="X183" i="166"/>
  <c r="X151" i="166"/>
  <c r="X17" i="166"/>
  <c r="X236" i="166"/>
  <c r="X327" i="166"/>
  <c r="X368" i="166"/>
  <c r="X291" i="166"/>
  <c r="X349" i="166"/>
  <c r="X107" i="166"/>
  <c r="X220" i="166"/>
  <c r="X202" i="166"/>
  <c r="X108" i="166"/>
  <c r="X132" i="166"/>
  <c r="X184" i="166"/>
  <c r="X122" i="166"/>
  <c r="X280" i="166"/>
  <c r="X350" i="166"/>
  <c r="X21" i="166"/>
  <c r="X102" i="166"/>
  <c r="X361" i="166"/>
  <c r="AO339" i="1" s="1"/>
  <c r="X231" i="166"/>
  <c r="X117" i="166"/>
  <c r="X5" i="166"/>
  <c r="X77" i="166"/>
  <c r="X355" i="166"/>
  <c r="X331" i="166"/>
  <c r="X377" i="166"/>
  <c r="X320" i="166"/>
  <c r="X319" i="166"/>
  <c r="X323" i="166"/>
  <c r="X335" i="166"/>
  <c r="X356" i="166"/>
  <c r="X303" i="166"/>
  <c r="X347" i="166"/>
  <c r="X81" i="166"/>
  <c r="X359" i="166"/>
  <c r="X351" i="166"/>
  <c r="X365" i="166"/>
  <c r="X212" i="166"/>
  <c r="X346" i="166"/>
  <c r="X78" i="166"/>
  <c r="X85" i="166"/>
  <c r="X360" i="166"/>
  <c r="X208" i="166"/>
  <c r="X364" i="166"/>
  <c r="X384" i="166"/>
  <c r="X358" i="166"/>
  <c r="X230" i="166"/>
  <c r="X363" i="166"/>
  <c r="X382" i="166"/>
  <c r="AO198" i="1" s="1"/>
  <c r="AP198" i="1" s="1"/>
  <c r="AQ198" i="1" s="1"/>
  <c r="X369" i="166"/>
  <c r="B9" i="102"/>
  <c r="B5" i="102"/>
  <c r="AP268" i="1"/>
  <c r="AQ268" i="1" s="1"/>
  <c r="AP269" i="1"/>
  <c r="AQ269" i="1" s="1"/>
  <c r="B7" i="102"/>
  <c r="B11" i="102"/>
  <c r="P3" i="71"/>
  <c r="O3" i="71"/>
  <c r="AP29" i="1"/>
  <c r="AQ29" i="1" s="1"/>
  <c r="AO396" i="1" l="1"/>
  <c r="AP396" i="1" s="1"/>
  <c r="AQ396" i="1" s="1"/>
  <c r="AO367" i="1"/>
  <c r="AP367" i="1" s="1"/>
  <c r="AQ367" i="1" s="1"/>
  <c r="AO293" i="1"/>
  <c r="AP293" i="1" s="1"/>
  <c r="AQ293" i="1" s="1"/>
  <c r="AO15" i="1"/>
  <c r="AP15" i="1" s="1"/>
  <c r="AQ15" i="1" s="1"/>
  <c r="AO258" i="1"/>
  <c r="AP258" i="1" s="1"/>
  <c r="AQ258" i="1" s="1"/>
  <c r="R411" i="166"/>
  <c r="Q411" i="166"/>
  <c r="AO332" i="1"/>
  <c r="AP332" i="1" s="1"/>
  <c r="AQ332" i="1" s="1"/>
  <c r="AO92" i="1"/>
  <c r="AP92" i="1" s="1"/>
  <c r="AQ92" i="1" s="1"/>
  <c r="AO199" i="1"/>
  <c r="AO337" i="1"/>
  <c r="AP337" i="1" s="1"/>
  <c r="AQ337" i="1" s="1"/>
  <c r="AO69" i="1"/>
  <c r="AP69" i="1" s="1"/>
  <c r="AQ69" i="1" s="1"/>
  <c r="AO62" i="1"/>
  <c r="AP62" i="1" s="1"/>
  <c r="AQ62" i="1" s="1"/>
  <c r="AO369" i="1"/>
  <c r="AP369" i="1" s="1"/>
  <c r="AQ369" i="1" s="1"/>
  <c r="AO344" i="1"/>
  <c r="AP344" i="1" s="1"/>
  <c r="AQ344" i="1" s="1"/>
  <c r="AO403" i="1"/>
  <c r="AP403" i="1" s="1"/>
  <c r="AQ403" i="1" s="1"/>
  <c r="AO110" i="1"/>
  <c r="AP110" i="1" s="1"/>
  <c r="AQ110" i="1" s="1"/>
  <c r="AO356" i="1"/>
  <c r="AP356" i="1" s="1"/>
  <c r="AQ356" i="1" s="1"/>
  <c r="AO263" i="1"/>
  <c r="AP263" i="1" s="1"/>
  <c r="AQ263" i="1" s="1"/>
  <c r="AO36" i="1"/>
  <c r="AP36" i="1" s="1"/>
  <c r="AQ36" i="1" s="1"/>
  <c r="AO128" i="1"/>
  <c r="AO45" i="1"/>
  <c r="AP45" i="1" s="1"/>
  <c r="AQ45" i="1" s="1"/>
  <c r="AO368" i="1"/>
  <c r="AP368" i="1" s="1"/>
  <c r="AQ368" i="1" s="1"/>
  <c r="AO162" i="1"/>
  <c r="AP162" i="1" s="1"/>
  <c r="AQ162" i="1" s="1"/>
  <c r="AO150" i="1"/>
  <c r="AP150" i="1" s="1"/>
  <c r="AQ150" i="1" s="1"/>
  <c r="AO135" i="1"/>
  <c r="AP135" i="1" s="1"/>
  <c r="AQ135" i="1" s="1"/>
  <c r="AO106" i="1"/>
  <c r="AP106" i="1" s="1"/>
  <c r="AQ106" i="1" s="1"/>
  <c r="AO78" i="1"/>
  <c r="AP78" i="1" s="1"/>
  <c r="AQ78" i="1" s="1"/>
  <c r="AO151" i="1"/>
  <c r="AP151" i="1" s="1"/>
  <c r="AQ151" i="1" s="1"/>
  <c r="AO292" i="1"/>
  <c r="AP292" i="1" s="1"/>
  <c r="AQ292" i="1" s="1"/>
  <c r="AO316" i="1"/>
  <c r="AP316" i="1" s="1"/>
  <c r="AQ316" i="1" s="1"/>
  <c r="AO160" i="1"/>
  <c r="AP160" i="1" s="1"/>
  <c r="AQ160" i="1" s="1"/>
  <c r="AO194" i="1"/>
  <c r="AP194" i="1" s="1"/>
  <c r="AQ194" i="1" s="1"/>
  <c r="AO334" i="1"/>
  <c r="AP334" i="1" s="1"/>
  <c r="AQ334" i="1" s="1"/>
  <c r="AO100" i="1"/>
  <c r="AP100" i="1" s="1"/>
  <c r="AQ100" i="1" s="1"/>
  <c r="AO358" i="1"/>
  <c r="AP358" i="1" s="1"/>
  <c r="AQ358" i="1" s="1"/>
  <c r="AO17" i="1"/>
  <c r="AP17" i="1" s="1"/>
  <c r="AQ17" i="1" s="1"/>
  <c r="AO341" i="1"/>
  <c r="AP341" i="1" s="1"/>
  <c r="AQ341" i="1" s="1"/>
  <c r="AO259" i="1"/>
  <c r="AP259" i="1" s="1"/>
  <c r="AQ259" i="1" s="1"/>
  <c r="AO373" i="1"/>
  <c r="AP373" i="1" s="1"/>
  <c r="AQ373" i="1" s="1"/>
  <c r="AO242" i="1"/>
  <c r="AP242" i="1" s="1"/>
  <c r="AQ242" i="1" s="1"/>
  <c r="AO346" i="1"/>
  <c r="AP346" i="1" s="1"/>
  <c r="AQ346" i="1" s="1"/>
  <c r="AO24" i="1"/>
  <c r="AP24" i="1" s="1"/>
  <c r="AQ24" i="1" s="1"/>
  <c r="AO230" i="1"/>
  <c r="AP230" i="1" s="1"/>
  <c r="AQ230" i="1" s="1"/>
  <c r="AO148" i="1"/>
  <c r="AP148" i="1" s="1"/>
  <c r="AQ148" i="1" s="1"/>
  <c r="AO322" i="1"/>
  <c r="AP322" i="1" s="1"/>
  <c r="AQ322" i="1" s="1"/>
  <c r="C10" i="102"/>
  <c r="AO307" i="1"/>
  <c r="AP307" i="1" s="1"/>
  <c r="AQ307" i="1" s="1"/>
  <c r="AO89" i="1"/>
  <c r="AP89" i="1" s="1"/>
  <c r="AQ89" i="1" s="1"/>
  <c r="AO306" i="1"/>
  <c r="AP306" i="1" s="1"/>
  <c r="AQ306" i="1" s="1"/>
  <c r="AO380" i="1"/>
  <c r="AP380" i="1" s="1"/>
  <c r="AQ380" i="1" s="1"/>
  <c r="AO309" i="1"/>
  <c r="AP309" i="1" s="1"/>
  <c r="AQ309" i="1" s="1"/>
  <c r="AO64" i="1"/>
  <c r="AP64" i="1" s="1"/>
  <c r="AQ64" i="1" s="1"/>
  <c r="AO313" i="1"/>
  <c r="AP313" i="1" s="1"/>
  <c r="AQ313" i="1" s="1"/>
  <c r="AO395" i="1"/>
  <c r="AP395" i="1" s="1"/>
  <c r="AQ395" i="1" s="1"/>
  <c r="AO401" i="1"/>
  <c r="AP401" i="1" s="1"/>
  <c r="AQ401" i="1" s="1"/>
  <c r="AO233" i="1"/>
  <c r="AP233" i="1" s="1"/>
  <c r="AQ233" i="1" s="1"/>
  <c r="AO161" i="1"/>
  <c r="AP161" i="1" s="1"/>
  <c r="AQ161" i="1" s="1"/>
  <c r="AO187" i="1"/>
  <c r="AP187" i="1" s="1"/>
  <c r="AQ187" i="1" s="1"/>
  <c r="AO365" i="1"/>
  <c r="AP365" i="1" s="1"/>
  <c r="AQ365" i="1" s="1"/>
  <c r="AO65" i="1"/>
  <c r="AP65" i="1" s="1"/>
  <c r="AQ65" i="1" s="1"/>
  <c r="AO252" i="1"/>
  <c r="AP252" i="1" s="1"/>
  <c r="AQ252" i="1" s="1"/>
  <c r="AO30" i="1"/>
  <c r="AP30" i="1" s="1"/>
  <c r="AQ30" i="1" s="1"/>
  <c r="AO172" i="1"/>
  <c r="AP172" i="1" s="1"/>
  <c r="AQ172" i="1" s="1"/>
  <c r="AO251" i="1"/>
  <c r="AP251" i="1" s="1"/>
  <c r="AQ251" i="1" s="1"/>
  <c r="AO240" i="1"/>
  <c r="AP240" i="1" s="1"/>
  <c r="AQ240" i="1" s="1"/>
  <c r="AO94" i="1"/>
  <c r="AP94" i="1" s="1"/>
  <c r="AQ94" i="1" s="1"/>
  <c r="AO390" i="1"/>
  <c r="AP390" i="1" s="1"/>
  <c r="AQ390" i="1" s="1"/>
  <c r="AO120" i="1"/>
  <c r="AP120" i="1" s="1"/>
  <c r="AQ120" i="1" s="1"/>
  <c r="AO384" i="1"/>
  <c r="AP384" i="1" s="1"/>
  <c r="AQ384" i="1" s="1"/>
  <c r="AO54" i="1"/>
  <c r="AP54" i="1" s="1"/>
  <c r="AQ54" i="1" s="1"/>
  <c r="AO310" i="1"/>
  <c r="AP310" i="1" s="1"/>
  <c r="AQ310" i="1" s="1"/>
  <c r="AO192" i="1"/>
  <c r="AP192" i="1" s="1"/>
  <c r="AQ192" i="1" s="1"/>
  <c r="AO114" i="1"/>
  <c r="AP114" i="1" s="1"/>
  <c r="AQ114" i="1" s="1"/>
  <c r="AO238" i="1"/>
  <c r="AP238" i="1" s="1"/>
  <c r="AQ238" i="1" s="1"/>
  <c r="AO389" i="1"/>
  <c r="AP389" i="1" s="1"/>
  <c r="AQ389" i="1" s="1"/>
  <c r="AO103" i="1"/>
  <c r="AP103" i="1" s="1"/>
  <c r="AQ103" i="1" s="1"/>
  <c r="AO109" i="1"/>
  <c r="AP109" i="1" s="1"/>
  <c r="AQ109" i="1" s="1"/>
  <c r="AO98" i="1"/>
  <c r="AP98" i="1" s="1"/>
  <c r="AQ98" i="1" s="1"/>
  <c r="AO144" i="1"/>
  <c r="AP144" i="1" s="1"/>
  <c r="AQ144" i="1" s="1"/>
  <c r="AO277" i="1"/>
  <c r="AP277" i="1" s="1"/>
  <c r="AQ277" i="1" s="1"/>
  <c r="AO141" i="1"/>
  <c r="AP141" i="1" s="1"/>
  <c r="AQ141" i="1" s="1"/>
  <c r="AO145" i="1"/>
  <c r="AP145" i="1" s="1"/>
  <c r="AQ145" i="1" s="1"/>
  <c r="AO168" i="1"/>
  <c r="AP168" i="1" s="1"/>
  <c r="AQ168" i="1" s="1"/>
  <c r="AO146" i="1"/>
  <c r="AP146" i="1" s="1"/>
  <c r="AQ146" i="1" s="1"/>
  <c r="AO86" i="1"/>
  <c r="AP86" i="1" s="1"/>
  <c r="AQ86" i="1" s="1"/>
  <c r="AO42" i="1"/>
  <c r="AP42" i="1" s="1"/>
  <c r="AQ42" i="1" s="1"/>
  <c r="AO18" i="1"/>
  <c r="AP18" i="1" s="1"/>
  <c r="AQ18" i="1" s="1"/>
  <c r="AO35" i="1"/>
  <c r="AP35" i="1" s="1"/>
  <c r="AQ35" i="1" s="1"/>
  <c r="AO215" i="1"/>
  <c r="AP215" i="1" s="1"/>
  <c r="AQ215" i="1" s="1"/>
  <c r="AO93" i="1"/>
  <c r="AP93" i="1" s="1"/>
  <c r="AQ93" i="1" s="1"/>
  <c r="AO355" i="1"/>
  <c r="AP355" i="1" s="1"/>
  <c r="AQ355" i="1" s="1"/>
  <c r="AO46" i="1"/>
  <c r="AP46" i="1" s="1"/>
  <c r="AQ46" i="1" s="1"/>
  <c r="AO22" i="1"/>
  <c r="AP22" i="1" s="1"/>
  <c r="AQ22" i="1" s="1"/>
  <c r="AO305" i="1"/>
  <c r="AP305" i="1" s="1"/>
  <c r="AQ305" i="1" s="1"/>
  <c r="AO376" i="1"/>
  <c r="AP376" i="1" s="1"/>
  <c r="AQ376" i="1" s="1"/>
  <c r="AO70" i="1"/>
  <c r="AP70" i="1" s="1"/>
  <c r="AQ70" i="1" s="1"/>
  <c r="AO311" i="1"/>
  <c r="AP311" i="1" s="1"/>
  <c r="AQ311" i="1" s="1"/>
  <c r="AO382" i="1"/>
  <c r="AP382" i="1" s="1"/>
  <c r="AQ382" i="1" s="1"/>
  <c r="AO319" i="1"/>
  <c r="AP319" i="1" s="1"/>
  <c r="AQ319" i="1" s="1"/>
  <c r="AO405" i="1"/>
  <c r="AP405" i="1" s="1"/>
  <c r="AQ405" i="1" s="1"/>
  <c r="AO134" i="1"/>
  <c r="AP134" i="1" s="1"/>
  <c r="AQ134" i="1" s="1"/>
  <c r="AO170" i="1"/>
  <c r="AP170" i="1" s="1"/>
  <c r="AQ170" i="1" s="1"/>
  <c r="AO140" i="1"/>
  <c r="AP140" i="1" s="1"/>
  <c r="AQ140" i="1" s="1"/>
  <c r="AO256" i="1"/>
  <c r="AP256" i="1" s="1"/>
  <c r="AQ256" i="1" s="1"/>
  <c r="AO90" i="1"/>
  <c r="AP90" i="1" s="1"/>
  <c r="AQ90" i="1" s="1"/>
  <c r="AO371" i="1"/>
  <c r="AP371" i="1" s="1"/>
  <c r="AQ371" i="1" s="1"/>
  <c r="AO143" i="1"/>
  <c r="AP143" i="1" s="1"/>
  <c r="AQ143" i="1" s="1"/>
  <c r="AO348" i="1"/>
  <c r="AP348" i="1" s="1"/>
  <c r="AQ348" i="1" s="1"/>
  <c r="AO385" i="1"/>
  <c r="AP385" i="1" s="1"/>
  <c r="AQ385" i="1" s="1"/>
  <c r="AO178" i="1"/>
  <c r="AP178" i="1" s="1"/>
  <c r="AQ178" i="1" s="1"/>
  <c r="AO53" i="1"/>
  <c r="AP53" i="1" s="1"/>
  <c r="AQ53" i="1" s="1"/>
  <c r="S411" i="166"/>
  <c r="X411" i="166"/>
  <c r="B6" i="102"/>
  <c r="B12" i="102"/>
  <c r="B17" i="102"/>
  <c r="B15" i="102"/>
  <c r="AN4" i="1"/>
  <c r="AP366" i="1"/>
  <c r="AQ366" i="1" s="1"/>
  <c r="AP386" i="1"/>
  <c r="AQ386" i="1" s="1"/>
  <c r="AP20" i="1"/>
  <c r="AQ20" i="1" s="1"/>
  <c r="AP128" i="1"/>
  <c r="AQ128" i="1" s="1"/>
  <c r="AP302" i="1"/>
  <c r="AQ302" i="1" s="1"/>
  <c r="AP271" i="1"/>
  <c r="AQ271" i="1" s="1"/>
  <c r="AP126" i="1"/>
  <c r="AQ126" i="1" s="1"/>
  <c r="AP364" i="1"/>
  <c r="AQ364" i="1" s="1"/>
  <c r="AP199" i="1"/>
  <c r="AQ199" i="1" s="1"/>
  <c r="AP39" i="1"/>
  <c r="AQ39" i="1" s="1"/>
  <c r="AP121" i="1"/>
  <c r="AQ121" i="1" s="1"/>
  <c r="AP131" i="1"/>
  <c r="AQ131" i="1" s="1"/>
  <c r="AP51" i="1"/>
  <c r="AP164" i="1"/>
  <c r="AQ164" i="1" s="1"/>
  <c r="AP315" i="1"/>
  <c r="AQ315" i="1" s="1"/>
  <c r="AP163" i="1"/>
  <c r="AQ163" i="1" s="1"/>
  <c r="AP47" i="1"/>
  <c r="AQ47" i="1" s="1"/>
  <c r="AP354" i="1"/>
  <c r="AQ354" i="1" s="1"/>
  <c r="AP33" i="1"/>
  <c r="AQ33" i="1" s="1"/>
  <c r="AP9" i="1"/>
  <c r="AQ9" i="1" s="1"/>
  <c r="AP257" i="1"/>
  <c r="AQ257" i="1" s="1"/>
  <c r="AP13" i="1"/>
  <c r="AP288" i="1"/>
  <c r="AQ288" i="1" s="1"/>
  <c r="AP48" i="1"/>
  <c r="AQ48" i="1" s="1"/>
  <c r="AP167" i="1"/>
  <c r="AQ167" i="1" s="1"/>
  <c r="AP212" i="1"/>
  <c r="AQ212" i="1" s="1"/>
  <c r="AP26" i="1"/>
  <c r="AP336" i="1"/>
  <c r="AQ336" i="1" s="1"/>
  <c r="AP10" i="1"/>
  <c r="AQ10" i="1" s="1"/>
  <c r="AP27" i="1"/>
  <c r="AQ27" i="1" s="1"/>
  <c r="AP7" i="1"/>
  <c r="AQ7" i="1" s="1"/>
  <c r="AP123" i="1"/>
  <c r="AQ123" i="1" s="1"/>
  <c r="AP200" i="1"/>
  <c r="AQ200" i="1" s="1"/>
  <c r="AP31" i="1"/>
  <c r="AQ31" i="1" s="1"/>
  <c r="AP362" i="1"/>
  <c r="AQ362" i="1" s="1"/>
  <c r="AP317" i="1"/>
  <c r="AQ317" i="1" s="1"/>
  <c r="AP282" i="1"/>
  <c r="AQ282" i="1" s="1"/>
  <c r="AP300" i="1"/>
  <c r="AQ300" i="1" s="1"/>
  <c r="AP214" i="1"/>
  <c r="AQ214" i="1" s="1"/>
  <c r="AP232" i="1"/>
  <c r="AQ232" i="1" s="1"/>
  <c r="AP16" i="1"/>
  <c r="AQ16" i="1" s="1"/>
  <c r="AP318" i="1"/>
  <c r="AQ318" i="1" s="1"/>
  <c r="AP12" i="1"/>
  <c r="AQ12" i="1" s="1"/>
  <c r="AP339" i="1"/>
  <c r="AQ339" i="1" s="1"/>
  <c r="AP182" i="1"/>
  <c r="AQ182" i="1" s="1"/>
  <c r="AP295" i="1"/>
  <c r="AQ295" i="1" s="1"/>
  <c r="AP296" i="1"/>
  <c r="AQ296" i="1" s="1"/>
  <c r="AP34" i="1"/>
  <c r="AQ34" i="1" s="1"/>
  <c r="AP127" i="1"/>
  <c r="AQ127" i="1" s="1"/>
  <c r="B16" i="102"/>
  <c r="B13" i="102"/>
  <c r="AP179" i="1"/>
  <c r="AQ179" i="1" s="1"/>
  <c r="B14" i="102"/>
  <c r="AP40" i="1"/>
  <c r="B8" i="102"/>
  <c r="AP6" i="1"/>
  <c r="AQ6" i="1" s="1"/>
  <c r="AQ14" i="1"/>
  <c r="AQ28" i="1"/>
  <c r="AQ23" i="1"/>
  <c r="D11" i="102" l="1"/>
  <c r="C11" i="102"/>
  <c r="AO320" i="1"/>
  <c r="AO4" i="1" s="1"/>
  <c r="D9" i="102"/>
  <c r="C9" i="102"/>
  <c r="C6" i="102"/>
  <c r="D6" i="102"/>
  <c r="C12" i="102"/>
  <c r="AP19" i="1"/>
  <c r="C15" i="102"/>
  <c r="D13" i="102"/>
  <c r="C13" i="102"/>
  <c r="B3" i="102"/>
  <c r="D17" i="102"/>
  <c r="E17" i="102"/>
  <c r="G17" i="102" s="1"/>
  <c r="H17" i="102" s="1"/>
  <c r="C16" i="102"/>
  <c r="AQ40" i="1"/>
  <c r="E10" i="102" s="1"/>
  <c r="G10" i="102" s="1"/>
  <c r="H10" i="102" s="1"/>
  <c r="D10" i="102"/>
  <c r="C17" i="102"/>
  <c r="C14" i="102"/>
  <c r="C8" i="102"/>
  <c r="D8" i="102"/>
  <c r="C7" i="102"/>
  <c r="AQ51" i="1"/>
  <c r="AQ13" i="1"/>
  <c r="D12" i="102"/>
  <c r="D16" i="102"/>
  <c r="E9" i="102"/>
  <c r="G9" i="102" s="1"/>
  <c r="H9" i="102" s="1"/>
  <c r="E6" i="102"/>
  <c r="G6" i="102" s="1"/>
  <c r="H6" i="102" s="1"/>
  <c r="AQ26" i="1"/>
  <c r="D15" i="102"/>
  <c r="E11" i="102"/>
  <c r="G11" i="102" s="1"/>
  <c r="H11" i="102" s="1"/>
  <c r="E13" i="102"/>
  <c r="G13" i="102" s="1"/>
  <c r="H13" i="102" s="1"/>
  <c r="AR159" i="1" l="1"/>
  <c r="AR175" i="1"/>
  <c r="AR207" i="1"/>
  <c r="AR239" i="1"/>
  <c r="AR120" i="1"/>
  <c r="AR216" i="1"/>
  <c r="AR177" i="1"/>
  <c r="AR185" i="1"/>
  <c r="AR201" i="1"/>
  <c r="AR209" i="1"/>
  <c r="AR257" i="1"/>
  <c r="AR126" i="1"/>
  <c r="AR206" i="1"/>
  <c r="AR202" i="1"/>
  <c r="AR210" i="1"/>
  <c r="AR218" i="1"/>
  <c r="AR203" i="1"/>
  <c r="AR211" i="1"/>
  <c r="AR219" i="1"/>
  <c r="AR331" i="1"/>
  <c r="AR379" i="1"/>
  <c r="AR302" i="1"/>
  <c r="AR184" i="1"/>
  <c r="AR12" i="1"/>
  <c r="AR180" i="1"/>
  <c r="AR196" i="1"/>
  <c r="AR208" i="1"/>
  <c r="AR29" i="1"/>
  <c r="AR173" i="1"/>
  <c r="AR197" i="1"/>
  <c r="AR205" i="1"/>
  <c r="AR213" i="1"/>
  <c r="AR198" i="1"/>
  <c r="AR79" i="1"/>
  <c r="AR183" i="1"/>
  <c r="AR191" i="1"/>
  <c r="AR271" i="1"/>
  <c r="AR359" i="1"/>
  <c r="AR375" i="1"/>
  <c r="AR383" i="1"/>
  <c r="AR104" i="1"/>
  <c r="AR312" i="1"/>
  <c r="AR360" i="1"/>
  <c r="AR153" i="1"/>
  <c r="AR193" i="1"/>
  <c r="AR289" i="1"/>
  <c r="AR297" i="1"/>
  <c r="AR361" i="1"/>
  <c r="AR58" i="1"/>
  <c r="AR122" i="1"/>
  <c r="AR154" i="1"/>
  <c r="AR298" i="1"/>
  <c r="AR338" i="1"/>
  <c r="AR370" i="1"/>
  <c r="AR386" i="1"/>
  <c r="AR118" i="1"/>
  <c r="AR59" i="1"/>
  <c r="AR83" i="1"/>
  <c r="AR107" i="1"/>
  <c r="AR147" i="1"/>
  <c r="AR155" i="1"/>
  <c r="AR171" i="1"/>
  <c r="AR235" i="1"/>
  <c r="AR363" i="1"/>
  <c r="AR84" i="1"/>
  <c r="AR220" i="1"/>
  <c r="AR372" i="1"/>
  <c r="AR190" i="1"/>
  <c r="AR294" i="1"/>
  <c r="AR61" i="1"/>
  <c r="AR85" i="1"/>
  <c r="AR149" i="1"/>
  <c r="AR157" i="1"/>
  <c r="AR165" i="1"/>
  <c r="AR237" i="1"/>
  <c r="AR111" i="1"/>
  <c r="AR143" i="1"/>
  <c r="AR151" i="1"/>
  <c r="AR327" i="1"/>
  <c r="AR391" i="1"/>
  <c r="AR17" i="1"/>
  <c r="AR321" i="1"/>
  <c r="AR393" i="1"/>
  <c r="AR401" i="1"/>
  <c r="AR382" i="1"/>
  <c r="AR274" i="1"/>
  <c r="AR322" i="1"/>
  <c r="AR394" i="1"/>
  <c r="AR27" i="1"/>
  <c r="AR67" i="1"/>
  <c r="AR307" i="1"/>
  <c r="AR323" i="1"/>
  <c r="AR387" i="1"/>
  <c r="AR248" i="1"/>
  <c r="AR408" i="1"/>
  <c r="AR20" i="1"/>
  <c r="AR268" i="1"/>
  <c r="AR284" i="1"/>
  <c r="AR324" i="1"/>
  <c r="AR388" i="1"/>
  <c r="AR326" i="1"/>
  <c r="AR392" i="1"/>
  <c r="AR69" i="1"/>
  <c r="AR77" i="1"/>
  <c r="AR141" i="1"/>
  <c r="AR245" i="1"/>
  <c r="AR325" i="1"/>
  <c r="AR349" i="1"/>
  <c r="AR381" i="1"/>
  <c r="AR389" i="1"/>
  <c r="AR405" i="1"/>
  <c r="AR390" i="1"/>
  <c r="AR87" i="1"/>
  <c r="AR72" i="1"/>
  <c r="AR41" i="1"/>
  <c r="AR65" i="1"/>
  <c r="AR73" i="1"/>
  <c r="AR249" i="1"/>
  <c r="AR273" i="1"/>
  <c r="AR74" i="1"/>
  <c r="AR194" i="1"/>
  <c r="AR43" i="1"/>
  <c r="AR75" i="1"/>
  <c r="AR243" i="1"/>
  <c r="AR395" i="1"/>
  <c r="AR403" i="1"/>
  <c r="AR236" i="1"/>
  <c r="AR260" i="1"/>
  <c r="AR397" i="1"/>
  <c r="AR280" i="1"/>
  <c r="AR63" i="1"/>
  <c r="AR311" i="1"/>
  <c r="AR64" i="1"/>
  <c r="AR24" i="1"/>
  <c r="AR169" i="1"/>
  <c r="AR313" i="1"/>
  <c r="AR66" i="1"/>
  <c r="AR290" i="1"/>
  <c r="AR378" i="1"/>
  <c r="AR310" i="1"/>
  <c r="AR267" i="1"/>
  <c r="AR22" i="1"/>
  <c r="AR86" i="1"/>
  <c r="AR68" i="1"/>
  <c r="AR254" i="1"/>
  <c r="AR168" i="1"/>
  <c r="AR400" i="1"/>
  <c r="AR40" i="1"/>
  <c r="AR329" i="1"/>
  <c r="AR398" i="1"/>
  <c r="AR283" i="1"/>
  <c r="AR181" i="1"/>
  <c r="AR142" i="1"/>
  <c r="AR328" i="1"/>
  <c r="AP320" i="1"/>
  <c r="AQ320" i="1" s="1"/>
  <c r="C5" i="102"/>
  <c r="C3" i="102" s="1"/>
  <c r="AQ19" i="1"/>
  <c r="E8" i="102"/>
  <c r="G8" i="102" s="1"/>
  <c r="H8" i="102" s="1"/>
  <c r="D14" i="102"/>
  <c r="D7" i="102"/>
  <c r="E16" i="102"/>
  <c r="G16" i="102" s="1"/>
  <c r="H16" i="102" s="1"/>
  <c r="E15" i="102"/>
  <c r="G15" i="102" s="1"/>
  <c r="H15" i="102" s="1"/>
  <c r="E12" i="102"/>
  <c r="G12" i="102" s="1"/>
  <c r="H12" i="102" s="1"/>
  <c r="E5" i="102" l="1"/>
  <c r="G5" i="102" s="1"/>
  <c r="H5" i="102" s="1"/>
  <c r="AR31" i="1"/>
  <c r="AR167" i="1"/>
  <c r="AR231" i="1"/>
  <c r="AR255" i="1"/>
  <c r="AR399" i="1"/>
  <c r="AR272" i="1"/>
  <c r="AR8" i="1"/>
  <c r="AR105" i="1"/>
  <c r="AR145" i="1"/>
  <c r="AR345" i="1"/>
  <c r="AR160" i="1"/>
  <c r="AR18" i="1"/>
  <c r="AR42" i="1"/>
  <c r="AR146" i="1"/>
  <c r="AR170" i="1"/>
  <c r="AR242" i="1"/>
  <c r="AR354" i="1"/>
  <c r="AR362" i="1"/>
  <c r="AR402" i="1"/>
  <c r="AR144" i="1"/>
  <c r="AR91" i="1"/>
  <c r="AR163" i="1"/>
  <c r="AR179" i="1"/>
  <c r="AR251" i="1"/>
  <c r="AR355" i="1"/>
  <c r="AR150" i="1"/>
  <c r="AR374" i="1"/>
  <c r="AR204" i="1"/>
  <c r="AR212" i="1"/>
  <c r="AR276" i="1"/>
  <c r="AR348" i="1"/>
  <c r="AR396" i="1"/>
  <c r="AR133" i="1"/>
  <c r="AR14" i="1"/>
  <c r="AR278" i="1"/>
  <c r="AR358" i="1"/>
  <c r="AR200" i="1"/>
  <c r="AR295" i="1"/>
  <c r="AR10" i="1"/>
  <c r="AR315" i="1"/>
  <c r="AR296" i="1"/>
  <c r="AR172" i="1"/>
  <c r="AR300" i="1"/>
  <c r="AR316" i="1"/>
  <c r="AR380" i="1"/>
  <c r="AR45" i="1"/>
  <c r="AR317" i="1"/>
  <c r="AR318" i="1"/>
  <c r="AR39" i="1"/>
  <c r="AR103" i="1"/>
  <c r="AR199" i="1"/>
  <c r="AR367" i="1"/>
  <c r="AR128" i="1"/>
  <c r="AR9" i="1"/>
  <c r="AR89" i="1"/>
  <c r="AR129" i="1"/>
  <c r="AR337" i="1"/>
  <c r="AR369" i="1"/>
  <c r="AR377" i="1"/>
  <c r="AR34" i="1"/>
  <c r="AR90" i="1"/>
  <c r="AR106" i="1"/>
  <c r="AR162" i="1"/>
  <c r="AR182" i="1"/>
  <c r="AR192" i="1"/>
  <c r="AR384" i="1"/>
  <c r="AR227" i="1"/>
  <c r="AR339" i="1"/>
  <c r="AR371" i="1"/>
  <c r="AR110" i="1"/>
  <c r="AR214" i="1"/>
  <c r="AR92" i="1"/>
  <c r="AR148" i="1"/>
  <c r="AR356" i="1"/>
  <c r="AR364" i="1"/>
  <c r="AR30" i="1"/>
  <c r="AR366" i="1"/>
  <c r="AR344" i="1"/>
  <c r="AR93" i="1"/>
  <c r="AR109" i="1"/>
  <c r="AR125" i="1"/>
  <c r="AR277" i="1"/>
  <c r="AR341" i="1"/>
  <c r="AR365" i="1"/>
  <c r="AR373" i="1"/>
  <c r="AR232" i="1"/>
  <c r="AR368" i="1"/>
  <c r="AR55" i="1"/>
  <c r="AR95" i="1"/>
  <c r="AR127" i="1"/>
  <c r="AR135" i="1"/>
  <c r="AR215" i="1"/>
  <c r="AR223" i="1"/>
  <c r="AR247" i="1"/>
  <c r="AR263" i="1"/>
  <c r="AR407" i="1"/>
  <c r="AR96" i="1"/>
  <c r="AR176" i="1"/>
  <c r="AR48" i="1"/>
  <c r="AR49" i="1"/>
  <c r="AR97" i="1"/>
  <c r="AR121" i="1"/>
  <c r="AR137" i="1"/>
  <c r="AR161" i="1"/>
  <c r="AR225" i="1"/>
  <c r="AR246" i="1"/>
  <c r="AR224" i="1"/>
  <c r="AR26" i="1"/>
  <c r="AR50" i="1"/>
  <c r="AR98" i="1"/>
  <c r="AR138" i="1"/>
  <c r="AR178" i="1"/>
  <c r="AR186" i="1"/>
  <c r="AR234" i="1"/>
  <c r="AR250" i="1"/>
  <c r="AR314" i="1"/>
  <c r="AR346" i="1"/>
  <c r="AR288" i="1"/>
  <c r="AR336" i="1"/>
  <c r="AR51" i="1"/>
  <c r="AR99" i="1"/>
  <c r="AR123" i="1"/>
  <c r="AR131" i="1"/>
  <c r="AR139" i="1"/>
  <c r="AR187" i="1"/>
  <c r="AR174" i="1"/>
  <c r="AR136" i="1"/>
  <c r="AR52" i="1"/>
  <c r="AR100" i="1"/>
  <c r="AR132" i="1"/>
  <c r="AR140" i="1"/>
  <c r="AR156" i="1"/>
  <c r="AR188" i="1"/>
  <c r="AR244" i="1"/>
  <c r="AR292" i="1"/>
  <c r="AR332" i="1"/>
  <c r="AR46" i="1"/>
  <c r="AR94" i="1"/>
  <c r="AR134" i="1"/>
  <c r="AR158" i="1"/>
  <c r="AR406" i="1"/>
  <c r="AR53" i="1"/>
  <c r="AR189" i="1"/>
  <c r="AR229" i="1"/>
  <c r="AR54" i="1"/>
  <c r="AR102" i="1"/>
  <c r="AR166" i="1"/>
  <c r="D5" i="102"/>
  <c r="D3" i="102" s="1"/>
  <c r="AP4" i="1"/>
  <c r="AQ4" i="1"/>
  <c r="E14" i="102"/>
  <c r="G14" i="102" s="1"/>
  <c r="H14" i="102" s="1"/>
  <c r="AR6" i="1" s="1"/>
  <c r="E7" i="102"/>
  <c r="G7" i="102" s="1"/>
  <c r="H7" i="102" s="1"/>
  <c r="AR319" i="1" l="1"/>
  <c r="AR343" i="1"/>
  <c r="AR241" i="1"/>
  <c r="AR320" i="1"/>
  <c r="AR114" i="1"/>
  <c r="AR330" i="1"/>
  <c r="AR230" i="1"/>
  <c r="AR270" i="1"/>
  <c r="AR19" i="1"/>
  <c r="AR115" i="1"/>
  <c r="AR116" i="1"/>
  <c r="AR124" i="1"/>
  <c r="AR308" i="1"/>
  <c r="AR37" i="1"/>
  <c r="AR117" i="1"/>
  <c r="AR269" i="1"/>
  <c r="AR301" i="1"/>
  <c r="AR309" i="1"/>
  <c r="AR78" i="1"/>
  <c r="AR7" i="1"/>
  <c r="AR15" i="1"/>
  <c r="AR47" i="1"/>
  <c r="AR71" i="1"/>
  <c r="AR119" i="1"/>
  <c r="AR279" i="1"/>
  <c r="AR287" i="1"/>
  <c r="AR335" i="1"/>
  <c r="AR80" i="1"/>
  <c r="AR88" i="1"/>
  <c r="AR112" i="1"/>
  <c r="AR16" i="1"/>
  <c r="AR32" i="1"/>
  <c r="AR56" i="1"/>
  <c r="AR25" i="1"/>
  <c r="AR33" i="1"/>
  <c r="AR57" i="1"/>
  <c r="AR81" i="1"/>
  <c r="AR113" i="1"/>
  <c r="AR217" i="1"/>
  <c r="AR233" i="1"/>
  <c r="AR265" i="1"/>
  <c r="AR281" i="1"/>
  <c r="AR353" i="1"/>
  <c r="AR385" i="1"/>
  <c r="AR409" i="1"/>
  <c r="AR410" i="1"/>
  <c r="AR286" i="1"/>
  <c r="AR334" i="1"/>
  <c r="AR264" i="1"/>
  <c r="AR376" i="1"/>
  <c r="AR226" i="1"/>
  <c r="AR258" i="1"/>
  <c r="AR266" i="1"/>
  <c r="AR282" i="1"/>
  <c r="AR350" i="1"/>
  <c r="AR240" i="1"/>
  <c r="AR11" i="1"/>
  <c r="AR35" i="1"/>
  <c r="AR195" i="1"/>
  <c r="AR259" i="1"/>
  <c r="AR275" i="1"/>
  <c r="AR291" i="1"/>
  <c r="AR299" i="1"/>
  <c r="AR347" i="1"/>
  <c r="AR411" i="1"/>
  <c r="AR62" i="1"/>
  <c r="AR342" i="1"/>
  <c r="AR352" i="1"/>
  <c r="AR28" i="1"/>
  <c r="AR36" i="1"/>
  <c r="AR44" i="1"/>
  <c r="AR60" i="1"/>
  <c r="AR76" i="1"/>
  <c r="AR108" i="1"/>
  <c r="AR164" i="1"/>
  <c r="AR228" i="1"/>
  <c r="AR252" i="1"/>
  <c r="AR340" i="1"/>
  <c r="AR404" i="1"/>
  <c r="AR70" i="1"/>
  <c r="AR222" i="1"/>
  <c r="AR256" i="1"/>
  <c r="AR13" i="1"/>
  <c r="AR21" i="1"/>
  <c r="AR101" i="1"/>
  <c r="AR253" i="1"/>
  <c r="AR261" i="1"/>
  <c r="AR285" i="1"/>
  <c r="AR293" i="1"/>
  <c r="AR333" i="1"/>
  <c r="AR357" i="1"/>
  <c r="AR238" i="1"/>
  <c r="AR152" i="1"/>
  <c r="AR23" i="1"/>
  <c r="AR303" i="1"/>
  <c r="AR351" i="1"/>
  <c r="AR305" i="1"/>
  <c r="AR82" i="1"/>
  <c r="AR130" i="1"/>
  <c r="AR306" i="1"/>
  <c r="AR38" i="1"/>
  <c r="AR262" i="1"/>
  <c r="AR304" i="1"/>
  <c r="AR221" i="1"/>
  <c r="E3" i="102"/>
  <c r="AR4" i="1" l="1"/>
  <c r="F3" i="102"/>
  <c r="G3" i="102" l="1"/>
</calcChain>
</file>

<file path=xl/sharedStrings.xml><?xml version="1.0" encoding="utf-8"?>
<sst xmlns="http://schemas.openxmlformats.org/spreadsheetml/2006/main" count="11231" uniqueCount="3374">
  <si>
    <t>Master TPI</t>
  </si>
  <si>
    <t>NPI</t>
  </si>
  <si>
    <t>PROVIDER NAME</t>
  </si>
  <si>
    <t>SDA</t>
  </si>
  <si>
    <t>365048301</t>
  </si>
  <si>
    <t>1669732178</t>
  </si>
  <si>
    <t xml:space="preserve">AD HOSPITAL EAST LLC-                                                  </t>
  </si>
  <si>
    <t>282322101</t>
  </si>
  <si>
    <t>1407169196</t>
  </si>
  <si>
    <t xml:space="preserve">AMH CATH LABS, LLC-TEXAS HEALTH HEART &amp; VASCULAR HOSPITAL ARLINGTON  </t>
  </si>
  <si>
    <t>364187001</t>
  </si>
  <si>
    <t>1457393571</t>
  </si>
  <si>
    <t xml:space="preserve">ANSON HOSPITAL DISTRICT-                                                  </t>
  </si>
  <si>
    <t>020834001</t>
  </si>
  <si>
    <t>1730132234</t>
  </si>
  <si>
    <t xml:space="preserve">MEMORIAL HERMANN HEALTH SYSTEM-MHHS THE WOODLANDS  HOSPITAL                      </t>
  </si>
  <si>
    <t>387515501</t>
  </si>
  <si>
    <t>1417465824</t>
  </si>
  <si>
    <t xml:space="preserve">ATHENS HOSPITAL LLC-UT HEALTH EAST TEXAS ATHENS HOSPITAL              </t>
  </si>
  <si>
    <t>282268601</t>
  </si>
  <si>
    <t>1386882488</t>
  </si>
  <si>
    <t xml:space="preserve">ATRIUM MEDICAL CENTER  LP-                                                  </t>
  </si>
  <si>
    <t>094215302</t>
  </si>
  <si>
    <t>1245292630</t>
  </si>
  <si>
    <t xml:space="preserve">AUSTIN CENTER FOR OUTPATIENT SURGERY   LP-NORTHWEST HILLS SURGICAL HOSPITAL                 </t>
  </si>
  <si>
    <t>151691601</t>
  </si>
  <si>
    <t>1609855139</t>
  </si>
  <si>
    <t xml:space="preserve">BAYLOR HEART AND VASCULAR CENTER                  </t>
  </si>
  <si>
    <t>344925801</t>
  </si>
  <si>
    <t>1952509465</t>
  </si>
  <si>
    <t xml:space="preserve">BAYLOR MEDICAL CENTER AT CARROLLTON-BAYLOR SCOTT &amp; WHITE MEDICAL CENTER -CARROLLTON   </t>
  </si>
  <si>
    <t>121776205</t>
  </si>
  <si>
    <t>1992700983</t>
  </si>
  <si>
    <t xml:space="preserve">BAYLOR MEDICAL CENTER AT IRVING-                                                  </t>
  </si>
  <si>
    <t>314161601</t>
  </si>
  <si>
    <t>1124305065</t>
  </si>
  <si>
    <t xml:space="preserve">BAYLOR MEDICAL CENTERS AT GARLAND AND MCKINNEY-BAYLOR SCOTT AND WHITE MEDICAL CENTER - MCKINNEY  </t>
  </si>
  <si>
    <t>388217701</t>
  </si>
  <si>
    <t>1801826839</t>
  </si>
  <si>
    <t xml:space="preserve">BAYLOR SCOTT &amp; WHITE MEDICAL CENTER - CENTENNIAL-                                                  </t>
  </si>
  <si>
    <t>401736001</t>
  </si>
  <si>
    <t>1104383371</t>
  </si>
  <si>
    <t xml:space="preserve">BOSQUE COUNTY HOSPITAL DISTRICT-GOODALL-WITCHER HOSPITAL                          </t>
  </si>
  <si>
    <t>094226002</t>
  </si>
  <si>
    <t>1801817135</t>
  </si>
  <si>
    <t xml:space="preserve">BRAZOS VALLEY PHYSICIANS ORGANIZATION MSO LLC-THE PHYSICIANS CENTRE HOSPITAL                    </t>
  </si>
  <si>
    <t>322879301</t>
  </si>
  <si>
    <t>1407191984</t>
  </si>
  <si>
    <t xml:space="preserve">BSA HOSPITAL LLC-BAPTIST ST ANTHONYS HEALTH SYSTEM                 </t>
  </si>
  <si>
    <t>387663301</t>
  </si>
  <si>
    <t>1538667035</t>
  </si>
  <si>
    <t xml:space="preserve">CARTHAGE HOSPITAL LLC-UT HEALTH EAST TEXAS CARTHAGE HOSPITAL            </t>
  </si>
  <si>
    <t>356438701</t>
  </si>
  <si>
    <t>1912395203</t>
  </si>
  <si>
    <t xml:space="preserve">CHG HOSPITAL AUSTIN LLC-CORNERSTONE SPECIALTY HOSPITALS AUSTIN            </t>
  </si>
  <si>
    <t>138910807</t>
  </si>
  <si>
    <t>1194743013</t>
  </si>
  <si>
    <t xml:space="preserve">CHILDRENS MEDICAL CENTER OF DALLAS-CHILDRENS MEDICAL CENTER                          </t>
  </si>
  <si>
    <t>354178101</t>
  </si>
  <si>
    <t>1720480627</t>
  </si>
  <si>
    <t xml:space="preserve">CHILDRENS MEDICAL CENTER OF DALLAS-CHILDREN'S MEDICAL CENTER PLANO                   </t>
  </si>
  <si>
    <t>020844901</t>
  </si>
  <si>
    <t>1194787218</t>
  </si>
  <si>
    <t xml:space="preserve">CHRISTUS SANTA ROSA HEALTH CARE CORPORATION-CHRISTUS SANTA ROSA HOSPITAL                      </t>
  </si>
  <si>
    <t>112667403</t>
  </si>
  <si>
    <t>1124092036</t>
  </si>
  <si>
    <t xml:space="preserve">CHRISTUS GOOD SHEPHERD MEDICAL CENTER-CHRISTUS GOOD SHEPHERD MEDICAL CENTER MARSHALL    </t>
  </si>
  <si>
    <t>020976902</t>
  </si>
  <si>
    <t>1295736734</t>
  </si>
  <si>
    <t xml:space="preserve">CHRISTUS HEALTH ARK LATEX-                                                  </t>
  </si>
  <si>
    <t>020844903</t>
  </si>
  <si>
    <t>1821004151</t>
  </si>
  <si>
    <t xml:space="preserve">CHRISTUS SANTA ROSA HEALTH CARE CORPORATION-CHRISTUS SANTA ROSA CHILDRENS                     </t>
  </si>
  <si>
    <t>094222903</t>
  </si>
  <si>
    <t>1003885641</t>
  </si>
  <si>
    <t xml:space="preserve">CHRISTUS SPOHN HEALTH SYSTEM CORPORATION-                                                  </t>
  </si>
  <si>
    <t>135033210</t>
  </si>
  <si>
    <t>1740238641</t>
  </si>
  <si>
    <t xml:space="preserve">COLUMBUS COMMUNITY HOSPITAL-                                                  </t>
  </si>
  <si>
    <t>352064501</t>
  </si>
  <si>
    <t>1588005888</t>
  </si>
  <si>
    <t xml:space="preserve">CONTINUECARE HOSPITAL OF MIDLAND INC-                                                  </t>
  </si>
  <si>
    <t>178396101</t>
  </si>
  <si>
    <t>1174524466</t>
  </si>
  <si>
    <t>CONTINUE CARE HOSPITAL OF TYLER INC-TYLER CONTINUE CARE HOSPITAL AT MOTHER FRANCES HOS</t>
  </si>
  <si>
    <t>021184901</t>
  </si>
  <si>
    <t>1891765178</t>
  </si>
  <si>
    <t xml:space="preserve">COOK CHILDREN'S MEDICAL CENTER-                                                  </t>
  </si>
  <si>
    <t>134772611</t>
  </si>
  <si>
    <t>1780823021</t>
  </si>
  <si>
    <t xml:space="preserve">CORYELL COUNTY MEMORIAL HOSPITAL AUTHORITY-                                                  </t>
  </si>
  <si>
    <t>319209801</t>
  </si>
  <si>
    <t>1013941780</t>
  </si>
  <si>
    <t xml:space="preserve">COVENANT LONG TERM CARE LP-COVENANT SPECIALTY HOSPITAL                       </t>
  </si>
  <si>
    <t>303478701</t>
  </si>
  <si>
    <t>1407010622</t>
  </si>
  <si>
    <t xml:space="preserve">CR EMERGENCY ROOM LLC-BAYLOR SCOTT AND WHITE EMERGENCY HOSPITAL         </t>
  </si>
  <si>
    <t>138911619</t>
  </si>
  <si>
    <t>1437148020</t>
  </si>
  <si>
    <t xml:space="preserve">CUERO COMMUNITY HOSPITAL                          </t>
  </si>
  <si>
    <t>361949601</t>
  </si>
  <si>
    <t>1568848059</t>
  </si>
  <si>
    <t xml:space="preserve">CUMBERLAND SURGICAL HOSPITAL OF SAN ANTONIO LLC-                                                  </t>
  </si>
  <si>
    <t>320384603</t>
  </si>
  <si>
    <t>1356559991</t>
  </si>
  <si>
    <t xml:space="preserve">DALLAS LTACH LLC-KINDRED HOSPITAL DALLAS CENTRAL                   </t>
  </si>
  <si>
    <t>189947801</t>
  </si>
  <si>
    <t>1134108053</t>
  </si>
  <si>
    <t xml:space="preserve">DAWSON COUNTY HOSPITAL DISTRICT-MEDICAL ARTS HOSPITAL                             </t>
  </si>
  <si>
    <t>1689628984</t>
  </si>
  <si>
    <t xml:space="preserve">COLUMBIA HOSPITAL MEDICAL CITY DALLAS, SUBSIDIARY-COLUMBIA HOSPITAL AT MEDICAL C                    </t>
  </si>
  <si>
    <t>217884004</t>
  </si>
  <si>
    <t>1326134255</t>
  </si>
  <si>
    <t xml:space="preserve">DIMMIT REGIONAL HOSPITAL-                                                  </t>
  </si>
  <si>
    <t>132812205</t>
  </si>
  <si>
    <t>1548286172</t>
  </si>
  <si>
    <t xml:space="preserve">DRISCOLL CHILDRENS HOSPITAL                       </t>
  </si>
  <si>
    <t>199210901</t>
  </si>
  <si>
    <t>1669655601</t>
  </si>
  <si>
    <t xml:space="preserve">EAST EL PASO PHYSICIANS MEDICAL CENTER LLC-FOUNDATION SURGICAL HOSPITAL OF EL PASO           </t>
  </si>
  <si>
    <t>348928801</t>
  </si>
  <si>
    <t>1679903967</t>
  </si>
  <si>
    <t xml:space="preserve">EBD BEMC BURLESON, LLC-BAYLOR SCOTT AND WHITE EMERGENCY HOSPITAL         </t>
  </si>
  <si>
    <t>311054601</t>
  </si>
  <si>
    <t>1003192311</t>
  </si>
  <si>
    <t xml:space="preserve">EL CAMPO MEMORIAL HOSPITAL-                                                  </t>
  </si>
  <si>
    <t>291854201</t>
  </si>
  <si>
    <t>1558659714</t>
  </si>
  <si>
    <t xml:space="preserve">EL PASO CHILDRENS HOSPITAL-                                                  </t>
  </si>
  <si>
    <t>363070901</t>
  </si>
  <si>
    <t>1992172019</t>
  </si>
  <si>
    <t xml:space="preserve">EMERGENCY HOSPITAL SYSTEMS LLC-CLEVELAND EMERGENCY HOSPITAL                      </t>
  </si>
  <si>
    <t>309798201</t>
  </si>
  <si>
    <t>1669752234</t>
  </si>
  <si>
    <t xml:space="preserve">EMERUS BHS SA THOUSAND OAKS LLC-BAPTIST EMERGENCY HOSPITAL SHAVANO PARK           </t>
  </si>
  <si>
    <t>376537203</t>
  </si>
  <si>
    <t>1235685892</t>
  </si>
  <si>
    <t>330811601</t>
  </si>
  <si>
    <t>1760417646</t>
  </si>
  <si>
    <t xml:space="preserve">FANNIN COUNTY HOSPITAL AUTHORITY-TMC BONHAM HOSPITAL                               </t>
  </si>
  <si>
    <t>365480801</t>
  </si>
  <si>
    <t>1821450255</t>
  </si>
  <si>
    <t xml:space="preserve">FIRST TEXAS HOSPITAL CY-FAIR, LLC-FIRST TEXAS HOSPITAL                              </t>
  </si>
  <si>
    <t>217744601</t>
  </si>
  <si>
    <t>1902047376</t>
  </si>
  <si>
    <t xml:space="preserve">FLOWER MOUND HOSPITAL PARTNERS LLC-TEXAS HEALTH PRESBYTERIAN HOSPITAL FLOWER MOUND   </t>
  </si>
  <si>
    <t>157144001</t>
  </si>
  <si>
    <t>1922002674</t>
  </si>
  <si>
    <t xml:space="preserve">FRISCO MEDICAL CENTER-BAYLOR SCOTT &amp; WHITE MEDICAL CENTER - FRISCO      </t>
  </si>
  <si>
    <t>167364201</t>
  </si>
  <si>
    <t>1871599183</t>
  </si>
  <si>
    <t xml:space="preserve">FT WORTH SURGICARE PARTNERS, LTD-BAYLOR SURGICAL HOSPITAL AT FT WORTH              </t>
  </si>
  <si>
    <t>396650901</t>
  </si>
  <si>
    <t>1972071991</t>
  </si>
  <si>
    <t xml:space="preserve">GAINESVILLE COMMUNITY HOSPITAL, INC.-NORTH TEXAS MEDICAL CENTER                        </t>
  </si>
  <si>
    <t>346945401</t>
  </si>
  <si>
    <t>1881691061</t>
  </si>
  <si>
    <t xml:space="preserve">GRAHAM HOSPITAL DISTRICT-                                                  </t>
  </si>
  <si>
    <t>007068203</t>
  </si>
  <si>
    <t>121792903</t>
  </si>
  <si>
    <t>1326037607</t>
  </si>
  <si>
    <t xml:space="preserve">HAMILTON COUNTY HOSPITAL DISTRICT-HAMILTON GENERAL HOSPITAL                         </t>
  </si>
  <si>
    <t>154504801</t>
  </si>
  <si>
    <t>1881688976</t>
  </si>
  <si>
    <t xml:space="preserve">HARLINGEN MEDICAL CENTER LP-                                                  </t>
  </si>
  <si>
    <t>380473401</t>
  </si>
  <si>
    <t>1003344334</t>
  </si>
  <si>
    <t xml:space="preserve">HCN EP HORIZON CITY LLC-THE HOSPITALS OF PROVIDENCE HORIZON CITY CAMPUS   </t>
  </si>
  <si>
    <t>021185601</t>
  </si>
  <si>
    <t>1013968726</t>
  </si>
  <si>
    <t xml:space="preserve">HEALTHBRIDGE CHILDRENS HOSPITAL- HOUSTON LTD-HEALTHBRIDGE CHILDRENS HOSPITAL                   </t>
  </si>
  <si>
    <t>322916301</t>
  </si>
  <si>
    <t>1558349399</t>
  </si>
  <si>
    <t xml:space="preserve">HEART OF TEXAS HEALTHCARE SYSTEM-                                                  </t>
  </si>
  <si>
    <t>387377001</t>
  </si>
  <si>
    <t>1326546797</t>
  </si>
  <si>
    <t xml:space="preserve">HENDERSON HOSPITAL LLC-UT HEALTH EAST TEXAS HENDERSON HOSPITAL           </t>
  </si>
  <si>
    <t>361699701</t>
  </si>
  <si>
    <t>1235510090</t>
  </si>
  <si>
    <t xml:space="preserve">HERITAGE PARK SURGICAL HOSPITAL, LLC-BAYLOR SCOTT &amp; WHITE SURGICAL HOSPITAL AT SHERMAN </t>
  </si>
  <si>
    <t>342897103</t>
  </si>
  <si>
    <t>1306268321</t>
  </si>
  <si>
    <t xml:space="preserve">HOUSTON METHODIST ST CATHERINE HOSPITAL-HOUSTON METHODIST CONTINUING CARE HOSPITAL        </t>
  </si>
  <si>
    <t>336478801</t>
  </si>
  <si>
    <t>1952723967</t>
  </si>
  <si>
    <t xml:space="preserve">HOUSTON METHODIST ST JOHN HOSPITAL-HOUSTON METHODIST CLEAR LAKE HOSPITAL             </t>
  </si>
  <si>
    <t>378943001</t>
  </si>
  <si>
    <t>1073043592</t>
  </si>
  <si>
    <t xml:space="preserve">HOUSTON PPH LLC-HCA HOUSTON HEALTHCARE MEDICAL CENTER             </t>
  </si>
  <si>
    <t>163936101</t>
  </si>
  <si>
    <t>1669569984</t>
  </si>
  <si>
    <t xml:space="preserve">IRVING COPPELL SURGICAL HOSPITAL LLP-IRVING-COPPELL SURGICAL HOSPITAL LLP              </t>
  </si>
  <si>
    <t>387381201</t>
  </si>
  <si>
    <t>1730697350</t>
  </si>
  <si>
    <t xml:space="preserve">JACKSONVILLE HOSPITAL LLC-UT HEALTH EAST TEXAS JACKSONVILLE HOSPITAL        </t>
  </si>
  <si>
    <t>136412710</t>
  </si>
  <si>
    <t>1699772541</t>
  </si>
  <si>
    <t xml:space="preserve">KARNES COUNTY HOSPITAL DISTRICT-OTTO KAISER MEMORIAL HOSPITAL                     </t>
  </si>
  <si>
    <t>168648701</t>
  </si>
  <si>
    <t>1669480323</t>
  </si>
  <si>
    <t xml:space="preserve">KELL WEST REGIONAL HOSPITAL LLC-KELL WEST REGIONAL HOSPITAL                       </t>
  </si>
  <si>
    <t>021001501</t>
  </si>
  <si>
    <t>1699844654</t>
  </si>
  <si>
    <t xml:space="preserve">KINDRED HOSPITALS LIMITED PARTNERSHIP-KINDRED HOSPITAL- DALLAS                          </t>
  </si>
  <si>
    <t>164466801</t>
  </si>
  <si>
    <t>1598834566</t>
  </si>
  <si>
    <t xml:space="preserve">KINDRED HOSPITALS LIMITED PARTNERSHIP-KINDRED HOSPITAL-FORT WORTH                       </t>
  </si>
  <si>
    <t>021004901</t>
  </si>
  <si>
    <t>1922177997</t>
  </si>
  <si>
    <t xml:space="preserve">KINDRED HOSPITALS LIMITED PARTNERSHIP-KINDRED HOSPITAL - MANSFIELD                      </t>
  </si>
  <si>
    <t>021002301</t>
  </si>
  <si>
    <t>1558430520</t>
  </si>
  <si>
    <t xml:space="preserve">KINDRED HOSPITALS LIMITED PARTNERSHIP-KINDRED HOSPITALS SAN ANTONIO                     </t>
  </si>
  <si>
    <t>149633301</t>
  </si>
  <si>
    <t>1821167818</t>
  </si>
  <si>
    <t xml:space="preserve">KINDRED HOSPITALS LIMITED PARTNERSHIP-KINDRED HOSPITAL-WHITE ROCK                       </t>
  </si>
  <si>
    <t>021008001</t>
  </si>
  <si>
    <t>1942379912</t>
  </si>
  <si>
    <t xml:space="preserve">KINDRED HOSPITALS LIMITED PARTNERSHIP-KINDRED HOSPTIAL HOUSTON MEDICAL CENTER           </t>
  </si>
  <si>
    <t>402430901</t>
  </si>
  <si>
    <t>1679137111</t>
  </si>
  <si>
    <t xml:space="preserve">KPC PROMISE HOSPITAL OF DALLAS, LLC-KPC PROMISE HOSPITAL OF DALLAS                    </t>
  </si>
  <si>
    <t>Other</t>
  </si>
  <si>
    <t>Dallas</t>
  </si>
  <si>
    <t>402388901</t>
  </si>
  <si>
    <t>1700440245</t>
  </si>
  <si>
    <t xml:space="preserve">KPC PROMISE HOSPITAL OF WICHITA FALLS, LLC-KPC PROMISE HOSPITAL OF WICHITA FALLS             </t>
  </si>
  <si>
    <t>MRSA West</t>
  </si>
  <si>
    <t>331242301</t>
  </si>
  <si>
    <t>1851632616</t>
  </si>
  <si>
    <t xml:space="preserve">LANCASTER REGIONAL HOSPITAL LP-CRESCENT MEDICAL CENTER LANCASTER                 </t>
  </si>
  <si>
    <t>185051301</t>
  </si>
  <si>
    <t>1316992878</t>
  </si>
  <si>
    <t xml:space="preserve">LAREDO SPECIALTY HOSPITAL                         </t>
  </si>
  <si>
    <t>388218501</t>
  </si>
  <si>
    <t>1922522606</t>
  </si>
  <si>
    <t xml:space="preserve">LHCG CXXI, LLC-CHRISTUS DUBUIS HOSPITAL OF BEAUMONT              </t>
  </si>
  <si>
    <t>163219201</t>
  </si>
  <si>
    <t>1922001775</t>
  </si>
  <si>
    <t xml:space="preserve">LUBBOCK HEART HOSPITAL LLC-LUBBOCK HEART HOSPITAL                            </t>
  </si>
  <si>
    <t>146509801</t>
  </si>
  <si>
    <t>1932152337</t>
  </si>
  <si>
    <t xml:space="preserve">MEMORIAL HERMANN HOSPITAL SYSTEM-MHHS KATY HOSPITAL                                </t>
  </si>
  <si>
    <t>192751901</t>
  </si>
  <si>
    <t>1295843787</t>
  </si>
  <si>
    <t xml:space="preserve">MEMORIAL HERMANN HOSPITAL SYSTEM-MHHS NORTHEAST HOSPITAL                           </t>
  </si>
  <si>
    <t>146021401</t>
  </si>
  <si>
    <t>1295788735</t>
  </si>
  <si>
    <t xml:space="preserve">MEMORIAL HERMANN HOSPITAL SYSTEM-MHHS SUGAR LAND HOSPITAL                          </t>
  </si>
  <si>
    <t>202351701</t>
  </si>
  <si>
    <t>1366532228</t>
  </si>
  <si>
    <t xml:space="preserve">MEMORIAL HERMANN SPECIALTY HOSPITAL KINGWOOD LLC  </t>
  </si>
  <si>
    <t>353570001</t>
  </si>
  <si>
    <t>1285028951</t>
  </si>
  <si>
    <t xml:space="preserve">MESA HILLS SPECIALTY HOSPITAL OPERATOR, LLC-MESA HILLS SPECIALTY HOSPITAL                     </t>
  </si>
  <si>
    <t>218319601</t>
  </si>
  <si>
    <t>1831146331</t>
  </si>
  <si>
    <t xml:space="preserve">MESQUITE SPECIALTY HOSPITAL LP                    </t>
  </si>
  <si>
    <t>376837601</t>
  </si>
  <si>
    <t>1184179194</t>
  </si>
  <si>
    <t xml:space="preserve">METHODIST HEALTH CENTERS-HOUSTON METHODIST THE WOODLANDS HOSPITAL          </t>
  </si>
  <si>
    <t>281028501</t>
  </si>
  <si>
    <t>1083937593</t>
  </si>
  <si>
    <t xml:space="preserve">METHODIST HEALTH CENTERS-HOUSTON METHODIST WEST HOSPITAL                   </t>
  </si>
  <si>
    <t>186221101</t>
  </si>
  <si>
    <t>1689629941</t>
  </si>
  <si>
    <t xml:space="preserve">METHODIST HOSPITAL OF DALLAS-METHODIST MANSFIELD MEDICAL CENTER                </t>
  </si>
  <si>
    <t>209345201</t>
  </si>
  <si>
    <t>1033165501</t>
  </si>
  <si>
    <t xml:space="preserve">METHODIST HOSPITALS OF DALLAS-METHODIST RICHARDSON MEDICAL CENTER               </t>
  </si>
  <si>
    <t>328934001</t>
  </si>
  <si>
    <t>1952538431</t>
  </si>
  <si>
    <t xml:space="preserve">METHODIST MCKINNEY HOSPITAL LLC-                                                  </t>
  </si>
  <si>
    <t>094219503</t>
  </si>
  <si>
    <t>1497871628</t>
  </si>
  <si>
    <t xml:space="preserve">METHODIST SUGAR LAND HOSPITAL-HOUSTON METHODIST SUGAR LAND HOSPITAL             </t>
  </si>
  <si>
    <t>140713201</t>
  </si>
  <si>
    <t>1871619254</t>
  </si>
  <si>
    <t xml:space="preserve">METHODIST WILLOWBROOK-HOUSTON METHODIST WILLOWBROOK HOSPITAL            </t>
  </si>
  <si>
    <t>149073203</t>
  </si>
  <si>
    <t>1750392916</t>
  </si>
  <si>
    <t xml:space="preserve">METROPLEX ADVENTIST HOSPITAL INC-ROLLINS BROOK COMMUNITY HOSPITAL                  </t>
  </si>
  <si>
    <t>384108201</t>
  </si>
  <si>
    <t>1831629674</t>
  </si>
  <si>
    <t xml:space="preserve">MH EMERUS FIRST COLONY, LLC-MEMORIAL HERMANN FIRST COLONY HOSPITAL            </t>
  </si>
  <si>
    <t>357475801</t>
  </si>
  <si>
    <t>1346630316</t>
  </si>
  <si>
    <t xml:space="preserve">MID JEFFERSON EXTENDED CARE HOSPITAL-                                                  </t>
  </si>
  <si>
    <t>141858401</t>
  </si>
  <si>
    <t>1952306672</t>
  </si>
  <si>
    <t xml:space="preserve">MOTHER FRANCES HOSPITAL JACKSONVILLE              </t>
  </si>
  <si>
    <t>094159302</t>
  </si>
  <si>
    <t>1386647717</t>
  </si>
  <si>
    <t xml:space="preserve">MSH PARTNERS LLC-BAYLOR MEDICAL CENTER AT UPTOWN                   </t>
  </si>
  <si>
    <t>147227603</t>
  </si>
  <si>
    <t>1760482939</t>
  </si>
  <si>
    <t xml:space="preserve">NEURO INSTITUTE OF AUSTIN LP-TEXAS NEUROREHAB CENTER                           </t>
  </si>
  <si>
    <t>094235102</t>
  </si>
  <si>
    <t>1023069697</t>
  </si>
  <si>
    <t xml:space="preserve">NEXUS SPECIALTY HOSPITAL - THE WOODLANDS LTD-NEXUS SPECIALTY HOSPITAL                          </t>
  </si>
  <si>
    <t>Harris</t>
  </si>
  <si>
    <t>021011401</t>
  </si>
  <si>
    <t>1659440634</t>
  </si>
  <si>
    <t xml:space="preserve">TRANSITIONAL HOSPITALS CORPORATION OF TEXAS LLC-KINDRED HOSPITAL- TARRANT COUNTY                  </t>
  </si>
  <si>
    <t>158914501</t>
  </si>
  <si>
    <t>1295890093</t>
  </si>
  <si>
    <t xml:space="preserve">ORTHOPEDIC AND SPINE SURGICAL HOSPITAL OF S TX LP-SOUTH TEXAS SPINE AND SURGICAL HOSPITAL LP        </t>
  </si>
  <si>
    <t>393491101</t>
  </si>
  <si>
    <t>1083104004</t>
  </si>
  <si>
    <t xml:space="preserve">PAM SPECIALTY HOSPITAL OF LUFKIN, LLC-                                                  </t>
  </si>
  <si>
    <t>MRSA Northeast</t>
  </si>
  <si>
    <t>346300201</t>
  </si>
  <si>
    <t>1467853051</t>
  </si>
  <si>
    <t xml:space="preserve">PAM SQUARED AT CORPUS CHRISTI LLC-PAM SPECIALTY HOSPITAL AT CORPUS CHRISTI NORTH    </t>
  </si>
  <si>
    <t>130616909</t>
  </si>
  <si>
    <t>1760598692</t>
  </si>
  <si>
    <t xml:space="preserve">PECOS COUNTY MEMORIAL HOSPITAL-                                                  </t>
  </si>
  <si>
    <t>165305701</t>
  </si>
  <si>
    <t>1912948845</t>
  </si>
  <si>
    <t xml:space="preserve">PHYSICIANS SURGICAL HOSPITALS LLC-QUAIL CREEK SURGICAL HOSPITAL                     </t>
  </si>
  <si>
    <t>388696201</t>
  </si>
  <si>
    <t>1184132524</t>
  </si>
  <si>
    <t xml:space="preserve">PITTSBURG HOSPITAL LLC-UT HEALTH EAST TEXAS PITTSBURG HOSPITAL           </t>
  </si>
  <si>
    <t>199191101</t>
  </si>
  <si>
    <t>1114962842</t>
  </si>
  <si>
    <t xml:space="preserve">POST ACUTE MEDICAL AT LULING LLC-WARM SPRINGS SPECIALTY HOSPITAL OF LULING LLC     </t>
  </si>
  <si>
    <t>199478201</t>
  </si>
  <si>
    <t>1376588228</t>
  </si>
  <si>
    <t>POST ACUTE MEDICAL AT SAN ANTONIO LLC-WARM SPRINGS REHABILITATION HOSPITAL OF SAN ANTONI</t>
  </si>
  <si>
    <t>199183801</t>
  </si>
  <si>
    <t>1659316115</t>
  </si>
  <si>
    <t xml:space="preserve">POST ACUTE MEDICAL AT VICTORIA LLC-PAM SPECIALTY HOSPITAL OF VICTORIA NORTH          </t>
  </si>
  <si>
    <t>317151401</t>
  </si>
  <si>
    <t>1689795098</t>
  </si>
  <si>
    <t xml:space="preserve">POST ACUTE MEDICAL OF NEW BRAUNFELS LLC-WARM SPRINGS SPECIALTY HOSPITAL OF NEW BRAUNFELS  </t>
  </si>
  <si>
    <t>331384301</t>
  </si>
  <si>
    <t>1417389784</t>
  </si>
  <si>
    <t xml:space="preserve">POST ACUTE SPECIALTY HOSPITAL OF VICTORIA LLC-PAM SPECIALTY HOSPITAL OF VICTORIA SOUTH          </t>
  </si>
  <si>
    <t>316360201</t>
  </si>
  <si>
    <t>1407121189</t>
  </si>
  <si>
    <t xml:space="preserve">PREFERRED HOSPITAL LEASING COLEMAN INC-COLEMAN COUNTY MEDICAL CENTER COMPANY             </t>
  </si>
  <si>
    <t>179272301</t>
  </si>
  <si>
    <t>1295764553</t>
  </si>
  <si>
    <t xml:space="preserve">PREFERRED HOSPITAL LEASING ELDORADO INC-SCHLEICHER COUNTY MEDICAL CENTER                  </t>
  </si>
  <si>
    <t>200683501</t>
  </si>
  <si>
    <t>1932379856</t>
  </si>
  <si>
    <t xml:space="preserve">PREFERRED HOSPITAL LEASING HEMPHILL INC-SABINE COUNTY HOSPITAL                            </t>
  </si>
  <si>
    <t>206083201</t>
  </si>
  <si>
    <t>1164688495</t>
  </si>
  <si>
    <t xml:space="preserve">PREFERRED HOSPITAL LEASING JUNCTION INC-KIMBLE HOSPITAL                                   </t>
  </si>
  <si>
    <t>350190001</t>
  </si>
  <si>
    <t>1619368339</t>
  </si>
  <si>
    <t xml:space="preserve">PREFERRED HOSPITAL LEASING MULESHOE INC-MULESHOE AREA MEDICAL CENTER                      </t>
  </si>
  <si>
    <t>121822403</t>
  </si>
  <si>
    <t>1700805678</t>
  </si>
  <si>
    <t xml:space="preserve">PRHC ENNIS LP-ENNIS REGIONAL MEDICAL CENTER                     </t>
  </si>
  <si>
    <t>388701003</t>
  </si>
  <si>
    <t>1477061885</t>
  </si>
  <si>
    <t xml:space="preserve">QUITMAN HOSPITAL LLC-UT HEALTH EAST TEXAS                              </t>
  </si>
  <si>
    <t>112684904</t>
  </si>
  <si>
    <t>1831170273</t>
  </si>
  <si>
    <t xml:space="preserve">REEVES COUNTY HOSPITAL DISTRICT                   </t>
  </si>
  <si>
    <t>343723801</t>
  </si>
  <si>
    <t>1427472463</t>
  </si>
  <si>
    <t xml:space="preserve">RESOLUTE HOSPITAL COMPANY LLC-                                                  </t>
  </si>
  <si>
    <t>193399601</t>
  </si>
  <si>
    <t>1629138029</t>
  </si>
  <si>
    <t xml:space="preserve">ROCKWALL REGIONAL HOSPITAL LLC-TEXAS HEALTH PRESBYTERIAN HOSPITAL ROCKWALL       </t>
  </si>
  <si>
    <t>150967102</t>
  </si>
  <si>
    <t>1013993559</t>
  </si>
  <si>
    <t xml:space="preserve">SCCI HOSPITAL EL PASO  LLC-KINDRED HOSPITAL EL PASO                          </t>
  </si>
  <si>
    <t>220798701</t>
  </si>
  <si>
    <t>1326349986</t>
  </si>
  <si>
    <t xml:space="preserve">SCOTT AND WHITE HOSPITAL - LLANO-BAYLOR SCOTT AND WHITE MEDICAL CENTER - LLANO     </t>
  </si>
  <si>
    <t>353712801</t>
  </si>
  <si>
    <t>1396138970</t>
  </si>
  <si>
    <t xml:space="preserve">SCOTT &amp; WHITE HOSPITAL-MARBLE FALLS-BAYLOR SCOTT &amp; WHITE MEDICAL CENTER-MARBLE FALLS  </t>
  </si>
  <si>
    <t>358597801</t>
  </si>
  <si>
    <t>1184029811</t>
  </si>
  <si>
    <t xml:space="preserve">SELECT SPECIALITY HOSPITAL-DALLAS, INC-                                                  </t>
  </si>
  <si>
    <t>194036301</t>
  </si>
  <si>
    <t>1063411239</t>
  </si>
  <si>
    <t xml:space="preserve">SELECT SPECIALTY HOSPITAL DALLAS INC-DALLAS SPECIALTY HOSPITAL DALLAS INC              </t>
  </si>
  <si>
    <t>197824901</t>
  </si>
  <si>
    <t>1861492670</t>
  </si>
  <si>
    <t xml:space="preserve">SELECT SPECIALTY HOSPITAL LONGVIEW INC-SELECT SPECIALTY HOSPITAL LONGVIEW                </t>
  </si>
  <si>
    <t>158980601</t>
  </si>
  <si>
    <t>1124137054</t>
  </si>
  <si>
    <t xml:space="preserve">SETON FAMILY OF HOSPITALS-ASCENSION SETON NORTHWEST                         </t>
  </si>
  <si>
    <t>158977201</t>
  </si>
  <si>
    <t>1750499273</t>
  </si>
  <si>
    <t xml:space="preserve">SETON FAMILY OF HOSPITALS-SETON SOUTHWEST HOSPITAL                          </t>
  </si>
  <si>
    <t>186599001</t>
  </si>
  <si>
    <t>1447355771</t>
  </si>
  <si>
    <t xml:space="preserve">SETON HEALTHCARE-DELL CHILDRENS MEDICAL CENTER                     </t>
  </si>
  <si>
    <t>298213401</t>
  </si>
  <si>
    <t>1518000306</t>
  </si>
  <si>
    <t xml:space="preserve">SHRINERS HOSPITAL FOR CHILDREN-                                                  </t>
  </si>
  <si>
    <t>293388901</t>
  </si>
  <si>
    <t>1669513941</t>
  </si>
  <si>
    <t xml:space="preserve">SHRINERS HOSPITALS FOR CHILDREN-                                                  </t>
  </si>
  <si>
    <t>190895601</t>
  </si>
  <si>
    <t>1598710592</t>
  </si>
  <si>
    <t xml:space="preserve">SOLARA HOSPITAL HARLINGEN-SOLARA SPECIALTY HOSPITALS HARLINGEN BROWNSVILLE  </t>
  </si>
  <si>
    <t>171461001</t>
  </si>
  <si>
    <t>1629064928</t>
  </si>
  <si>
    <t xml:space="preserve">SOUTHLAKE SPECIALTY HOSPITAL LLC-TEXAS HEALTH HARRIS METHODIST HOSPITAL SOUTHLAKE  </t>
  </si>
  <si>
    <t>388758001</t>
  </si>
  <si>
    <t>1962900472</t>
  </si>
  <si>
    <t xml:space="preserve">SPECIALTY HOSPITAL LLC-UT HEALTH EAST TEXAS SPECIALTY HOSPITAL           </t>
  </si>
  <si>
    <t>298019501</t>
  </si>
  <si>
    <t>1659559573</t>
  </si>
  <si>
    <t xml:space="preserve">ST. LUKE'S COMMUNITY DEVELOPMENT CORPORATION-SUGAR-ST. LUKE'S SUGAR LAND HOSPITAL                    </t>
  </si>
  <si>
    <t>021017101</t>
  </si>
  <si>
    <t>1043389034</t>
  </si>
  <si>
    <t xml:space="preserve">THC HOUSTON LLC-KINDRED HOSPITAL HOUSTON NORTHWEST                </t>
  </si>
  <si>
    <t>210274101</t>
  </si>
  <si>
    <t>1184868879</t>
  </si>
  <si>
    <t xml:space="preserve">ST LUKES LAKESIDE HOSPITAL LLC-ST LUKES LAKESIDE HOSPITAL                        </t>
  </si>
  <si>
    <t>281219001</t>
  </si>
  <si>
    <t>1407990088</t>
  </si>
  <si>
    <t xml:space="preserve">ST LUKES PATIENTS MEDICAL CENTER-                                                  </t>
  </si>
  <si>
    <t>176692501</t>
  </si>
  <si>
    <t>1659362630</t>
  </si>
  <si>
    <t xml:space="preserve">ST MARKS MEDICAL CENTER                           </t>
  </si>
  <si>
    <t>139135109</t>
  </si>
  <si>
    <t>1477643690</t>
  </si>
  <si>
    <t xml:space="preserve">TEXAS CHILDRENS HOSPITAL                          </t>
  </si>
  <si>
    <t>020982701</t>
  </si>
  <si>
    <t>1548291883</t>
  </si>
  <si>
    <t xml:space="preserve">TEXAS HEALTH PRESBYTERIAN HOSPITAL ALLEN-                                                  </t>
  </si>
  <si>
    <t>185556101</t>
  </si>
  <si>
    <t>1962504340</t>
  </si>
  <si>
    <t xml:space="preserve">TEXAS HEART HOSPITAL OF THE SOUTHWEST LLP-BAYLOR SCOTT &amp; WHITE THE HEART HOSPITAL PLANO     </t>
  </si>
  <si>
    <t>209719801</t>
  </si>
  <si>
    <t>1255579389</t>
  </si>
  <si>
    <t xml:space="preserve">TEXAS REGIONAL MEDICAL CENTER LTD-TEXAS REGIONAL MEDICAL CENTER AT SUNNYVALE        </t>
  </si>
  <si>
    <t>315440301</t>
  </si>
  <si>
    <t>1760628184</t>
  </si>
  <si>
    <t xml:space="preserve">TEXAS SCOTTISH RITE HOSPITAL FOR CRIPPLED CHILDREN-                                                  </t>
  </si>
  <si>
    <t>162459501</t>
  </si>
  <si>
    <t>1942292255</t>
  </si>
  <si>
    <t xml:space="preserve">TEXAS SPINE AND JOINT HOSPITAL LTD                </t>
  </si>
  <si>
    <t>330388501</t>
  </si>
  <si>
    <t>1194753590</t>
  </si>
  <si>
    <t xml:space="preserve">THHBP MANAGEMENT COMPANY LLC-BAYLOR SCOTT AND WHITE THE HEART HOSPITAL DENTON  </t>
  </si>
  <si>
    <t xml:space="preserve">MCALLEN HOSPITALS LP-EDINBURG HOSPITAL REHAB                           </t>
  </si>
  <si>
    <t>149047601</t>
  </si>
  <si>
    <t>1609876309</t>
  </si>
  <si>
    <t xml:space="preserve">TRIUMPH HOSPITAL OF EAST HOUSTON LP-KINDRED HOSPITAL CLEAR LAKE                       </t>
  </si>
  <si>
    <t>094354003</t>
  </si>
  <si>
    <t>1285626028</t>
  </si>
  <si>
    <t xml:space="preserve">TRIUMPH HOSPITAL OF NORTH HOUSTON LP-KINDRED HOSPITAL TOMBALL                          </t>
  </si>
  <si>
    <t>157203401</t>
  </si>
  <si>
    <t>1720088412</t>
  </si>
  <si>
    <t xml:space="preserve">TRIUMPH SOUTHWEST LP-KINDRED HOSPITAL SUGAR LAND                       </t>
  </si>
  <si>
    <t>172620001</t>
  </si>
  <si>
    <t>1982609558</t>
  </si>
  <si>
    <t xml:space="preserve">TROPHY CLUB MEDICAL CENTER LP                     </t>
  </si>
  <si>
    <t>388347201</t>
  </si>
  <si>
    <t>1407364847</t>
  </si>
  <si>
    <t xml:space="preserve">TYLER REGIONAL HOSPITAL LLC-UT HEALTH EAST TEXAS TYLER REGIONAL HOSPITAL      </t>
  </si>
  <si>
    <t>135237906</t>
  </si>
  <si>
    <t>1023013448</t>
  </si>
  <si>
    <t xml:space="preserve">UNITED REGIONAL HEALTHCARE                        </t>
  </si>
  <si>
    <t>175287501</t>
  </si>
  <si>
    <t>1285798918</t>
  </si>
  <si>
    <t>UNIVERSITY OF TEXAS SOUTHWESTERN MEDICAL CENTER AT-UNIVERSITY OF TEXAS SOUTHWESTERN UNIVERSITY HOSPTI</t>
  </si>
  <si>
    <t>162965101</t>
  </si>
  <si>
    <t>1659352987</t>
  </si>
  <si>
    <t xml:space="preserve">USMD HOSPITAL AT ARLINGTON LP                     </t>
  </si>
  <si>
    <t>121782009</t>
  </si>
  <si>
    <t>1740288505</t>
  </si>
  <si>
    <t xml:space="preserve">UVALDE COUNTY HOSPITAL AUTHORITY-UVALDE MEMORIAL HOSPITAL                          </t>
  </si>
  <si>
    <t>334801301</t>
  </si>
  <si>
    <t>1063844306</t>
  </si>
  <si>
    <t xml:space="preserve">VIBRA HOSPITAL OF AMARILLO LLC-VIBRA HOSPITAL OF AMARILLO                        </t>
  </si>
  <si>
    <t xml:space="preserve">VICTORIA OF TEXAS LP-DETAR HOSPITAL NAVARRO NORTH PSYCH UNIT           </t>
  </si>
  <si>
    <t>094207002</t>
  </si>
  <si>
    <t>1770514077</t>
  </si>
  <si>
    <t xml:space="preserve">TEXAS HEALTH PRESBYTERIAN HOSPTAL PLANO-                                                  </t>
  </si>
  <si>
    <t>020981901</t>
  </si>
  <si>
    <t>1891718789</t>
  </si>
  <si>
    <t xml:space="preserve">VISTA COMMUNITY MEDICAL CENTER HOSPITAL LLP-SURGERY SPECIALTY HOSPITAL OF AMERICA SE HOUSTON  </t>
  </si>
  <si>
    <t>326690001</t>
  </si>
  <si>
    <t>1629037163</t>
  </si>
  <si>
    <t xml:space="preserve">WARM SPRINGS SPECIALTY HOSPITAL OF SAN ANTONIO LLC-PAM SPECIALTY HOSPITAL OF SAN ANTONIO             </t>
  </si>
  <si>
    <t>Bexar</t>
  </si>
  <si>
    <t>094381301</t>
  </si>
  <si>
    <t>1033107826</t>
  </si>
  <si>
    <t xml:space="preserve">INTRACARE HOSPITAL NORTH-INTRACARE NORTH HOSPITAL                          </t>
  </si>
  <si>
    <t>402628801</t>
  </si>
  <si>
    <t>1730183658</t>
  </si>
  <si>
    <t xml:space="preserve">WINKLER COUNTY HOSPITAL DISTRICT-WINKLER COUNTY MEMORIAL HOSPITAL                  </t>
  </si>
  <si>
    <t>112705203</t>
  </si>
  <si>
    <t>1851344162</t>
  </si>
  <si>
    <t xml:space="preserve">ABILENE REGIONAL MEDICAL CENTER                   </t>
  </si>
  <si>
    <t>127298107</t>
  </si>
  <si>
    <t>1174563779</t>
  </si>
  <si>
    <t xml:space="preserve">ANDREWS COUNTY HOSPITAL DISTRICT                  </t>
  </si>
  <si>
    <t>130089906</t>
  </si>
  <si>
    <t>1225038938</t>
  </si>
  <si>
    <t xml:space="preserve">BALLINGER MEMORIAL HOSPITAL                       </t>
  </si>
  <si>
    <t>094148602</t>
  </si>
  <si>
    <t>1093744187</t>
  </si>
  <si>
    <t xml:space="preserve">BAPTIST HOSPITALS OF SOUTHEAST TEXAS-MEMORIAL HERMANN BAPTIST BEAUMONT HOSPITAL        </t>
  </si>
  <si>
    <t>020973601</t>
  </si>
  <si>
    <t>1508810573</t>
  </si>
  <si>
    <t xml:space="preserve">BAY AREA HEALTHCARE GROUP, LTD-CORPUS CHRISTI MEDICAL CENTER                     </t>
  </si>
  <si>
    <t>135036506</t>
  </si>
  <si>
    <t>1669472387</t>
  </si>
  <si>
    <t>BAYLOR ALL SAINTS MEDICAL CENTER-BAYLOR SCOTT &amp; WHITE ALL SAINTS MEDICAL CENTER FOR</t>
  </si>
  <si>
    <t>138353107</t>
  </si>
  <si>
    <t>1194893263</t>
  </si>
  <si>
    <t xml:space="preserve">BAYLOR COUNTY HOSPITAL DISTRICT-SEYMOUR HOSPITAL                                  </t>
  </si>
  <si>
    <t>110803703</t>
  </si>
  <si>
    <t>1770579591</t>
  </si>
  <si>
    <t xml:space="preserve">FORT DUNCAN REGIONAL MEDICAL CENTER LP-FORT DUNCAN REGIONAL MEDICAL CENTER               </t>
  </si>
  <si>
    <t>135223905</t>
  </si>
  <si>
    <t>1265430177</t>
  </si>
  <si>
    <t xml:space="preserve">BAYLOR MEDICAL CENTER AT WAXAHACHIE               </t>
  </si>
  <si>
    <t>171848805</t>
  </si>
  <si>
    <t>1649273434</t>
  </si>
  <si>
    <t xml:space="preserve">BAYLOR REGIONAL MEDICAL CENTER AT PLANO-                                                  </t>
  </si>
  <si>
    <t>139485012</t>
  </si>
  <si>
    <t>1447250253</t>
  </si>
  <si>
    <t xml:space="preserve">BAYLOR UNIVERSITY MEDICAL CENTER                  </t>
  </si>
  <si>
    <t>020993401</t>
  </si>
  <si>
    <t>1174522494</t>
  </si>
  <si>
    <t xml:space="preserve">BAYSIDE COMMUNITY HOSPITAL-                                                  </t>
  </si>
  <si>
    <t>083290905</t>
  </si>
  <si>
    <t>1477857332</t>
  </si>
  <si>
    <t xml:space="preserve">BELLVILLE ST JOSEPH HEALTH CENTER-                                                  </t>
  </si>
  <si>
    <t>094224503</t>
  </si>
  <si>
    <t>1356312243</t>
  </si>
  <si>
    <t xml:space="preserve">BIG BEND REGIONAL MEDICAL CENTER                  </t>
  </si>
  <si>
    <t>207311601</t>
  </si>
  <si>
    <t>1114903523</t>
  </si>
  <si>
    <t xml:space="preserve">BRIM HEALTHCARE OF TEXAS LLC-WADLEY REGIONAL MEDICAL CENTER                    </t>
  </si>
  <si>
    <t>020930601</t>
  </si>
  <si>
    <t>1679526982</t>
  </si>
  <si>
    <t xml:space="preserve">BROWNWOOD REGIONAL MEDICAL CENTER                 </t>
  </si>
  <si>
    <t>112725003</t>
  </si>
  <si>
    <t>1750377289</t>
  </si>
  <si>
    <t xml:space="preserve">BURLESON ST JOSEPH HEALTH CENTER-BURLESON ST. JOSEPH HEALTH CENTER                 </t>
  </si>
  <si>
    <t>212060201</t>
  </si>
  <si>
    <t>1205164928</t>
  </si>
  <si>
    <t xml:space="preserve">CAHRMC LLC-RICE MEDICAL CENTER                               </t>
  </si>
  <si>
    <t>136142011</t>
  </si>
  <si>
    <t>1033118716</t>
  </si>
  <si>
    <t xml:space="preserve">CASTRO COUNTY HOSPITAL DISTRICT-PLAINS MEMORIAL HOSPITAL                          </t>
  </si>
  <si>
    <t>211970301</t>
  </si>
  <si>
    <t>1013142553</t>
  </si>
  <si>
    <t xml:space="preserve">CBSH,LLC-                                                  </t>
  </si>
  <si>
    <t>192622201</t>
  </si>
  <si>
    <t>1376662296</t>
  </si>
  <si>
    <t xml:space="preserve">CEDAR PARK REGIONAL MEDICAL CENTER                </t>
  </si>
  <si>
    <t>020817501</t>
  </si>
  <si>
    <t>1174576698</t>
  </si>
  <si>
    <t xml:space="preserve">CHCA BAYSHORE LP-HCA HOUSTON HEALTHCARE SOUTHEAST                  </t>
  </si>
  <si>
    <t>121807504</t>
  </si>
  <si>
    <t>1063466035</t>
  </si>
  <si>
    <t xml:space="preserve">CHCA CLEAR LAKE  LP-HCA HOUSTON HEALTHCARE CLEAR LAKE                 </t>
  </si>
  <si>
    <t>020841501</t>
  </si>
  <si>
    <t>1962455816</t>
  </si>
  <si>
    <t xml:space="preserve">CHCA CONROE LP-HCA HOUSTON HEALTHCARE CONROE                     </t>
  </si>
  <si>
    <t>349366001</t>
  </si>
  <si>
    <t>1609275585</t>
  </si>
  <si>
    <t xml:space="preserve">CHCA PEARLAND, LP-HCA HOUSTON HEALTHCARE PEARLAND                   </t>
  </si>
  <si>
    <t>094187402</t>
  </si>
  <si>
    <t>1275580938</t>
  </si>
  <si>
    <t xml:space="preserve">CHCA WEST HOUSTON LP-HCA HOUSTON HEALTHCARE WEST                       </t>
  </si>
  <si>
    <t>112712802</t>
  </si>
  <si>
    <t>1023065794</t>
  </si>
  <si>
    <t xml:space="preserve">CHCA WOMANS HOSPITAL LP-THE WOMANS HOSPITAL OF TEXAS                      </t>
  </si>
  <si>
    <t>357216601</t>
  </si>
  <si>
    <t>1073901476</t>
  </si>
  <si>
    <t xml:space="preserve">CHG HOSPITAL CONROE LLC-CORNERSTONE SPECIALTY HOSPITALS CONROE            </t>
  </si>
  <si>
    <t>358588701</t>
  </si>
  <si>
    <t>1457730426</t>
  </si>
  <si>
    <t xml:space="preserve">CHG HOSPITAL HOUSTON LLC-CORNERSTONE SPECIALTY HOSPITALS BELLAIRE          </t>
  </si>
  <si>
    <t>355796901</t>
  </si>
  <si>
    <t>1760870166</t>
  </si>
  <si>
    <t xml:space="preserve">CHG HOSPITAL MCALLEN LLC-SOLARA SPECIALTY HOSPITALS MCALLEN                </t>
  </si>
  <si>
    <t>357053301</t>
  </si>
  <si>
    <t>1659761815</t>
  </si>
  <si>
    <t xml:space="preserve">CHG HOSPITAL MEDICAL CENTER LLC-CORNERSTONE SPECIATLY HOSPITALS MEDICAL CENTER    </t>
  </si>
  <si>
    <t>133250406</t>
  </si>
  <si>
    <t>1326079534</t>
  </si>
  <si>
    <t xml:space="preserve">CHILDRESS COUNTY HOSPITAL DISTRICT-CHILDRESS REGIONAL MEDICAL CENTER                 </t>
  </si>
  <si>
    <t>112679902</t>
  </si>
  <si>
    <t>1205833985</t>
  </si>
  <si>
    <t xml:space="preserve">MISSION HOSPITAL INC-MISSION REGIONAL MEDICAL CENTER                   </t>
  </si>
  <si>
    <t>138296208</t>
  </si>
  <si>
    <t>1679557888</t>
  </si>
  <si>
    <t xml:space="preserve">CHRISTUS HEALTH SOUTHEAST TEXAS-CHRISTUS HOSPITAL                                 </t>
  </si>
  <si>
    <t>366812101</t>
  </si>
  <si>
    <t>1033568621</t>
  </si>
  <si>
    <t>CHRISTUS HOPKINS HEALTH ALLIANCE-CHRISTUS MOTHER FRANCES HOSPITAL - SULPHUR SPRINGS</t>
  </si>
  <si>
    <t>112706003</t>
  </si>
  <si>
    <t>1598749707</t>
  </si>
  <si>
    <t xml:space="preserve">CHRISTUS JASPER MEMORIAL HOSPITAL-                                                  </t>
  </si>
  <si>
    <t>020811801</t>
  </si>
  <si>
    <t>1447228747</t>
  </si>
  <si>
    <t xml:space="preserve">CHRISTUS SPOHN HEALTH SYSTEM CORPORATION-CHRISTUS SPOHN HOSPITAL BEEVILLE                  </t>
  </si>
  <si>
    <t>112698903</t>
  </si>
  <si>
    <t>1437102639</t>
  </si>
  <si>
    <t xml:space="preserve">COLUMBIA MEDICAL CENTER OF MCKINNEY SUBSIDIARY LP-MEDICAL CENTER OF MCKINNEY                        </t>
  </si>
  <si>
    <t>136436606</t>
  </si>
  <si>
    <t>1093783391</t>
  </si>
  <si>
    <t xml:space="preserve">CHRISTUS SPOHN HEALTH SYSTEM CORPORATION-CHRISTUS SPOHN HOSPITAL KLEBERG                   </t>
  </si>
  <si>
    <t>137907508</t>
  </si>
  <si>
    <t>1124052162</t>
  </si>
  <si>
    <t xml:space="preserve">CITIZENS MEDICAL CENTER COUNTY OF VICTORIA-CITIZENS MEDICAL CENTER                           </t>
  </si>
  <si>
    <t>094138703</t>
  </si>
  <si>
    <t>1437156361</t>
  </si>
  <si>
    <t xml:space="preserve">CLAY COUNTY MEMORIAL HOSPITAL                     </t>
  </si>
  <si>
    <t>094152803</t>
  </si>
  <si>
    <t>1942314448</t>
  </si>
  <si>
    <t xml:space="preserve">COCHRAN MEMORIAL HOSPITAL                         </t>
  </si>
  <si>
    <t>112707808</t>
  </si>
  <si>
    <t>1316931835</t>
  </si>
  <si>
    <t xml:space="preserve">WILBARGER COUNTY HOSPITAL DISTRICT-WILBARGER GENERAL HOSPITAL                        </t>
  </si>
  <si>
    <t>020950401</t>
  </si>
  <si>
    <t>1134172406</t>
  </si>
  <si>
    <t xml:space="preserve">COLUMBIA MEDICAL CENTER OF ARLINGTON SUBSIDIARY LP-MEDICAL CENTER OF ARLINGTON                       </t>
  </si>
  <si>
    <t>111905902</t>
  </si>
  <si>
    <t>1306897277</t>
  </si>
  <si>
    <t xml:space="preserve">COLUMBIA MEDICAL CENTER OF DENTON SUBSIDIARY LP-DENTON REGIONAL MEDICAL CENTER                    </t>
  </si>
  <si>
    <t>020979302</t>
  </si>
  <si>
    <t>1902857766</t>
  </si>
  <si>
    <t xml:space="preserve">COLUMBIA MEDICAL CENTER OF LAS COLINAS, INC-LAS COLINAS MEDICAL CENTER                        </t>
  </si>
  <si>
    <t>127311205</t>
  </si>
  <si>
    <t>1699726406</t>
  </si>
  <si>
    <t xml:space="preserve">COLUMBIA MEDICAL CENTER OF PLANO LP-MEDICAL CENTER OF PLANO                           </t>
  </si>
  <si>
    <t>094105602</t>
  </si>
  <si>
    <t>1518911833</t>
  </si>
  <si>
    <t xml:space="preserve">COLUMBIA NORTH HILLS HOSPITAL-COLUMBIA NORTH HILLS HOSPITA                      </t>
  </si>
  <si>
    <t>094193202</t>
  </si>
  <si>
    <t>1659323772</t>
  </si>
  <si>
    <t xml:space="preserve">COLUMBIA PLAZA MED CTR OF FT WORTH SUBSIDIARY LP-PLAZA MEDICAL CENTER OF FORT WORTH                </t>
  </si>
  <si>
    <t>112716902</t>
  </si>
  <si>
    <t>1619924719</t>
  </si>
  <si>
    <t xml:space="preserve">COLUMBIA RIO GRANDE HEALTHCARE LP-RIO GRANDE REGIONAL HOSPITAL                      </t>
  </si>
  <si>
    <t>020947001</t>
  </si>
  <si>
    <t>1043267701</t>
  </si>
  <si>
    <t xml:space="preserve">COLUMBIA VALLEY HEALTHCARE SYSTEMS LP-VALLEY REGIONAL MEDICAL CENTER                    </t>
  </si>
  <si>
    <t>112671602</t>
  </si>
  <si>
    <t>1972581940</t>
  </si>
  <si>
    <t xml:space="preserve">COMMUNITY HOSPITAL OF BRAZOSPORT-BRAZOSPORT REGIONAL HEALTH SYSTEM                 </t>
  </si>
  <si>
    <t>091770005</t>
  </si>
  <si>
    <t>1326025701</t>
  </si>
  <si>
    <t xml:space="preserve">CONCHO COUNTY HOSPITAL                            </t>
  </si>
  <si>
    <t>364396701</t>
  </si>
  <si>
    <t>1992709661</t>
  </si>
  <si>
    <t xml:space="preserve">CONTINUECARE HOSPITAL AT HENDRICK MEDICAL CENTER-CONTINUE CARE HOSPITAL AT HENDRICK MEDICAL CENTER </t>
  </si>
  <si>
    <t>130826407</t>
  </si>
  <si>
    <t>1639176456</t>
  </si>
  <si>
    <t xml:space="preserve">COON MEMORIAL HOSPITAL                            </t>
  </si>
  <si>
    <t>313347201</t>
  </si>
  <si>
    <t>1235374612</t>
  </si>
  <si>
    <t xml:space="preserve">CORINTH INVESTOR HOLDINGS LLC-                                                  </t>
  </si>
  <si>
    <t>094221102</t>
  </si>
  <si>
    <t>1386652527</t>
  </si>
  <si>
    <t xml:space="preserve">CORNERSTONE REGIONAL HOSPITAL                     </t>
  </si>
  <si>
    <t>136331910</t>
  </si>
  <si>
    <t>1720096019</t>
  </si>
  <si>
    <t xml:space="preserve">COUNTY OF WARD-WARD MEMORIAL HOSPITAL                            </t>
  </si>
  <si>
    <t>137227806</t>
  </si>
  <si>
    <t>1790702371</t>
  </si>
  <si>
    <t xml:space="preserve">COUNTY OF YOAKUM-YOAKUM COUNTY HOSPITAL                            </t>
  </si>
  <si>
    <t>139461107</t>
  </si>
  <si>
    <t>1972517365</t>
  </si>
  <si>
    <t xml:space="preserve">COVENANT HEALTH SYSTEM-COVENANT MEDICAL CENTER                           </t>
  </si>
  <si>
    <t>199602701</t>
  </si>
  <si>
    <t>1316197767</t>
  </si>
  <si>
    <t xml:space="preserve">CRANE COUNTY HOSPITAL DISTRICT-CRANE MEMORIAL HOSPITAL                           </t>
  </si>
  <si>
    <t>094141105</t>
  </si>
  <si>
    <t>1063500270</t>
  </si>
  <si>
    <t xml:space="preserve">CROSBYTON CLINIC HOSPITAL                         </t>
  </si>
  <si>
    <t>219336901</t>
  </si>
  <si>
    <t>1861690364</t>
  </si>
  <si>
    <t xml:space="preserve">DALLAS MEDICAL CENTER LLC-                                                  </t>
  </si>
  <si>
    <t>133544006</t>
  </si>
  <si>
    <t>1568454403</t>
  </si>
  <si>
    <t xml:space="preserve">DEAF SMITH COUNTY HOSPITAL DISTRICT-HEREFORD REGIONAL MEDICAL CENTER                  </t>
  </si>
  <si>
    <t>364597001</t>
  </si>
  <si>
    <t>1407229529</t>
  </si>
  <si>
    <t xml:space="preserve">DECATUR HOSPITAL AUTHORITY-WISE HEALTH SYSTEM                                </t>
  </si>
  <si>
    <t>112727605</t>
  </si>
  <si>
    <t>1891741468</t>
  </si>
  <si>
    <t xml:space="preserve">DOCTORS HOSPITAL 1997 LP-UNITED MEMORIAL MEDICAL CENTER                    </t>
  </si>
  <si>
    <t>137074409</t>
  </si>
  <si>
    <t>1689650921</t>
  </si>
  <si>
    <t xml:space="preserve">EASTLAND MEMORIAL HOSPITAL DISTRICT-EASTLAND MEMORIAL HOSPITAL                        </t>
  </si>
  <si>
    <t>121053602</t>
  </si>
  <si>
    <t>1487639175</t>
  </si>
  <si>
    <t xml:space="preserve">KNOX COUNTY HOSPITAL DISTRICT-KNOX COUNTY HOSPITAL                              </t>
  </si>
  <si>
    <t>135034009</t>
  </si>
  <si>
    <t>1871583153</t>
  </si>
  <si>
    <t xml:space="preserve">ELECTRA HOSPITAL DISTRICT-ELECTRA MEMORIAL HOSPITAL                         </t>
  </si>
  <si>
    <t>138951211</t>
  </si>
  <si>
    <t>1316936990</t>
  </si>
  <si>
    <t xml:space="preserve">EL PASO COUNTY HOSPITAL DISTRICT-UNIVERSITY MEDICAL CENTER OF EL PASO              </t>
  </si>
  <si>
    <t>094109802</t>
  </si>
  <si>
    <t>1770536120</t>
  </si>
  <si>
    <t xml:space="preserve">EL PASO HEALTHCARE SYSTEM LTD-LAS PALMAS MEDICAL CENTER                         </t>
  </si>
  <si>
    <t>133367602</t>
  </si>
  <si>
    <t>1841294246</t>
  </si>
  <si>
    <t xml:space="preserve">FALLS COMMUNITY HOSPITAL AND CLINIC               </t>
  </si>
  <si>
    <t>112692202</t>
  </si>
  <si>
    <t>1598746703</t>
  </si>
  <si>
    <t xml:space="preserve">FISHER COUNTY HOSPITAL-FISHER COUNTY HOSPITAL DISTRICT                   </t>
  </si>
  <si>
    <t>112688004</t>
  </si>
  <si>
    <t>1447574819</t>
  </si>
  <si>
    <t xml:space="preserve">FRIO HOSPITAL-FRIO REGIONAL SWING BED                           </t>
  </si>
  <si>
    <t>112728403</t>
  </si>
  <si>
    <t>1083619712</t>
  </si>
  <si>
    <t xml:space="preserve">GENERAL HOSPITAL-IRAAN GENERAL HOSPITAL                            </t>
  </si>
  <si>
    <t>121785303</t>
  </si>
  <si>
    <t>1932108214</t>
  </si>
  <si>
    <t xml:space="preserve">GONZALES HEALTHCARE SYSTEMS-MEMORIAL HOSPITAL                                 </t>
  </si>
  <si>
    <t>197063401</t>
  </si>
  <si>
    <t>1841497153</t>
  </si>
  <si>
    <t xml:space="preserve">GPCH LLC-GOLDEN PLAINS COMMUNITY HOSPITAL                  </t>
  </si>
  <si>
    <t>147918003</t>
  </si>
  <si>
    <t>1154317774</t>
  </si>
  <si>
    <t xml:space="preserve">GRIMES ST JOSEPH HEALTH CENTER                    </t>
  </si>
  <si>
    <t xml:space="preserve">CHRISTUS SPOHN HEALTH SYSTEM CORPORATION-CHRISTUS SPOHN HOSPITAL CORPUS CHRISTI            </t>
  </si>
  <si>
    <t>110856504</t>
  </si>
  <si>
    <t>1134137466</t>
  </si>
  <si>
    <t xml:space="preserve">HAMILTON HOSPITAL                                 </t>
  </si>
  <si>
    <t>094117105</t>
  </si>
  <si>
    <t>1992707780</t>
  </si>
  <si>
    <t xml:space="preserve">HANSFORD COUNTY HOSPITAL DISTRICT-HANSFORD COUNTY HOSPITAL                          </t>
  </si>
  <si>
    <t>121692107</t>
  </si>
  <si>
    <t>1861510521</t>
  </si>
  <si>
    <t xml:space="preserve">HARDEMAN COUNTY MEMORIAL HOSPITAL                 </t>
  </si>
  <si>
    <t>133355104</t>
  </si>
  <si>
    <t>1205900370</t>
  </si>
  <si>
    <t xml:space="preserve">HARRIS COUNTY HOSPITAL DISTRICT                   </t>
  </si>
  <si>
    <t>112702904</t>
  </si>
  <si>
    <t>1184607897</t>
  </si>
  <si>
    <t xml:space="preserve">HASKELL MEMORIAL HOSPITAL                         </t>
  </si>
  <si>
    <t>109588703</t>
  </si>
  <si>
    <t>1558354241</t>
  </si>
  <si>
    <t xml:space="preserve">HEMPHILL COUNTY HOSPITAL                          </t>
  </si>
  <si>
    <t>138644310</t>
  </si>
  <si>
    <t>1528064649</t>
  </si>
  <si>
    <t xml:space="preserve">HENDRICK MEDICAL CENTER                           </t>
  </si>
  <si>
    <t>312239201</t>
  </si>
  <si>
    <t>1841562709</t>
  </si>
  <si>
    <t xml:space="preserve">HH KILLEEN HEALTH SYSTEM LLC-SETON MEDICAL CENTER HARKER HEIGHTS               </t>
  </si>
  <si>
    <t>136430906</t>
  </si>
  <si>
    <t>1497726343</t>
  </si>
  <si>
    <t xml:space="preserve">HILL COUNTRY MEMORIAL HOSPITAL-HILL COUNTRY MEMORIAL HOSP                        </t>
  </si>
  <si>
    <t>138962907</t>
  </si>
  <si>
    <t>1891882833</t>
  </si>
  <si>
    <t xml:space="preserve">HILLCREST BAPTIST MEDICAL CENTER-BAYLOR SCOTT AND WHITE MEDICAL CENTER HILLCREST   </t>
  </si>
  <si>
    <t>193867201</t>
  </si>
  <si>
    <t>1740450121</t>
  </si>
  <si>
    <t xml:space="preserve">HOUSTON NORTHWEST OPERATING COMPANY LLC-HOUSTON NORTHWEST MEDICAL CENTER                  </t>
  </si>
  <si>
    <t>131038504</t>
  </si>
  <si>
    <t>1598750721</t>
  </si>
  <si>
    <t xml:space="preserve">HUNT MEMORIAL HOSPITAL DISTRICT-HUNT REGIONAL MEDICAL CENTER                      </t>
  </si>
  <si>
    <t>119874904</t>
  </si>
  <si>
    <t>1790777696</t>
  </si>
  <si>
    <t xml:space="preserve">JACK COUNTY HOSPITAL DISTRICT-FAITH COMMUNITY HOSPITAL                          </t>
  </si>
  <si>
    <t>121808305</t>
  </si>
  <si>
    <t>1124061882</t>
  </si>
  <si>
    <t xml:space="preserve">JACKSON COUNTY HOSPITAL DISTRICT-JACKSON HEALTHCARE CENTER                         </t>
  </si>
  <si>
    <t>112724302</t>
  </si>
  <si>
    <t>1811942238</t>
  </si>
  <si>
    <t xml:space="preserve">KINGWOOD PLAZA HOSPITAL-HCA HOUSTON HEALTHCARE KINGWOOD                   </t>
  </si>
  <si>
    <t>135035706</t>
  </si>
  <si>
    <t>1861488579</t>
  </si>
  <si>
    <t xml:space="preserve">KNAPP MEDICAL CENTER                              </t>
  </si>
  <si>
    <t>366222301</t>
  </si>
  <si>
    <t>1558721365</t>
  </si>
  <si>
    <t xml:space="preserve">KND DEVELOPMENT 68, LLC-KINDRED HOSPITAL - SAN ANTONIO CENTRAL            </t>
  </si>
  <si>
    <t>094178302</t>
  </si>
  <si>
    <t>1114998911</t>
  </si>
  <si>
    <t xml:space="preserve">LAKE GRANBURY MEDICAL CENTER                      </t>
  </si>
  <si>
    <t>020966001</t>
  </si>
  <si>
    <t>1205018439</t>
  </si>
  <si>
    <t xml:space="preserve">LAKE POINTE MEDICAL CENTER-BAYLOR SCOTT &amp; WHITE MEDICAL CENTER LAKE POINTE   </t>
  </si>
  <si>
    <t>127313803</t>
  </si>
  <si>
    <t>1700854288</t>
  </si>
  <si>
    <t xml:space="preserve">LAMB HEALTHCARE CENTER                            </t>
  </si>
  <si>
    <t>162033801</t>
  </si>
  <si>
    <t>1548232044</t>
  </si>
  <si>
    <t xml:space="preserve">LAREDO MEDICAL CENTER                             </t>
  </si>
  <si>
    <t>094186602</t>
  </si>
  <si>
    <t>1396731105</t>
  </si>
  <si>
    <t xml:space="preserve">LAREDO REGIONAL MEDICAL CENTER LP-DOCTORS HOSPITAL OF LAREDO                        </t>
  </si>
  <si>
    <t>135233809</t>
  </si>
  <si>
    <t>1992767511</t>
  </si>
  <si>
    <t xml:space="preserve">LAVACA MEDICAL CENTER                             </t>
  </si>
  <si>
    <t>284333604</t>
  </si>
  <si>
    <t>1154324952</t>
  </si>
  <si>
    <t xml:space="preserve">LIBERTY COUNTY HOSPITAL DISTRICT NO 1-LIBERTY DAYTON REGIONAL MEDICAL CENTER            </t>
  </si>
  <si>
    <t>121781205</t>
  </si>
  <si>
    <t>1831140979</t>
  </si>
  <si>
    <t xml:space="preserve">LILLIAN M HUDSPETH MEMORIAL ER PHYS-LILLIAN M HUDSPETH MEMORIAL HOSPITAL              </t>
  </si>
  <si>
    <t>140714001</t>
  </si>
  <si>
    <t>1861487779</t>
  </si>
  <si>
    <t xml:space="preserve">LIMESTONE MEDICAL CENTER                          </t>
  </si>
  <si>
    <t>110839103</t>
  </si>
  <si>
    <t>1528026267</t>
  </si>
  <si>
    <t xml:space="preserve">LONGVIEW MEDICAL CENTER LP-LONGVIEW REGIONAL MEDICAL CENTER                  </t>
  </si>
  <si>
    <t>281514401</t>
  </si>
  <si>
    <t>1225289499</t>
  </si>
  <si>
    <t xml:space="preserve">LUBBOCK HERITAGE HOSPITAL LLC-GRACE MEDICAL CENTER                              </t>
  </si>
  <si>
    <t>094180903</t>
  </si>
  <si>
    <t>1821066820</t>
  </si>
  <si>
    <t xml:space="preserve">LYNN COUNTY HOSPITAL-LYNN COUNTY HOSPITAL DISTRICT                     </t>
  </si>
  <si>
    <t>020990001</t>
  </si>
  <si>
    <t>1780731737</t>
  </si>
  <si>
    <t xml:space="preserve">MADISON ST JOSEPH HEALTH CENTER                   </t>
  </si>
  <si>
    <t>136145310</t>
  </si>
  <si>
    <t>1679560866</t>
  </si>
  <si>
    <t xml:space="preserve">MARTIN COUNTY HOSPITAL DISTRICT                   </t>
  </si>
  <si>
    <t>130959304</t>
  </si>
  <si>
    <t>1679678767</t>
  </si>
  <si>
    <t xml:space="preserve">MATAGORDA COUNTY HOSPITAL DISTRICT-MATAGORDA REGIONAL MEDICAL CENTER                 </t>
  </si>
  <si>
    <t>094172602</t>
  </si>
  <si>
    <t>1023013935</t>
  </si>
  <si>
    <t xml:space="preserve">MCCAMEY HOSPITAL                                  </t>
  </si>
  <si>
    <t>094192402</t>
  </si>
  <si>
    <t>1255384533</t>
  </si>
  <si>
    <t xml:space="preserve">MEDICAL CENTER OF LEWISVILLE SUBSIDIARY LP-MEDICAL CENTER OF LEWISVILLE                      </t>
  </si>
  <si>
    <t>212140201</t>
  </si>
  <si>
    <t>1427048453</t>
  </si>
  <si>
    <t>MEDINA COUNTY HOSPITAL DISTRICT-MEDINA HEALTHCARE SYSTEM,MEDINA REGIONAL HOSPITAL,</t>
  </si>
  <si>
    <t xml:space="preserve">ADVENTIST HEALTH SYSTEM SUNBELT INC-                                                  </t>
  </si>
  <si>
    <t>137805107</t>
  </si>
  <si>
    <t>1982666111</t>
  </si>
  <si>
    <t xml:space="preserve">MEMORIAL HERMANN HOSPITAL SYSTEM-MHHS HERMANN HOSPITAL                             </t>
  </si>
  <si>
    <t>020934801</t>
  </si>
  <si>
    <t>1740233782</t>
  </si>
  <si>
    <t xml:space="preserve">MEMORIAL HERMANN HOSPITAL SYSTEM-MHHS MEMORIAL CITY HOSPITAL                       </t>
  </si>
  <si>
    <t>201645301</t>
  </si>
  <si>
    <t>1033114608</t>
  </si>
  <si>
    <t xml:space="preserve">MEMORIAL HERMANN SUGAR LAND SURGICAL HOSPITAL LLP-SUGAR LAND SURGICAL HOSPITAL                      </t>
  </si>
  <si>
    <t>094121303</t>
  </si>
  <si>
    <t>1821025990</t>
  </si>
  <si>
    <t xml:space="preserve">MEMORIAL HOSPITAL                                 </t>
  </si>
  <si>
    <t>112697102</t>
  </si>
  <si>
    <t>1689650616</t>
  </si>
  <si>
    <t xml:space="preserve">MEMORIAL HOSP OF POLK COUNTY-CHI ST LUKES HEALTH MEMORIAL LIVINGSTON           </t>
  </si>
  <si>
    <t>137909111</t>
  </si>
  <si>
    <t>1689630865</t>
  </si>
  <si>
    <t xml:space="preserve">MEMORIAL MEDICAL CENTER                           </t>
  </si>
  <si>
    <t>139172412</t>
  </si>
  <si>
    <t>1396746129</t>
  </si>
  <si>
    <t xml:space="preserve">MEMORIAL MEDICAL CENTER OF EAST TEXAS-MEMORIAL MED CTR OF EAST TX                       </t>
  </si>
  <si>
    <t>130734007</t>
  </si>
  <si>
    <t>1578547345</t>
  </si>
  <si>
    <t xml:space="preserve">MEMORIAL MEDICAL CENTER SAN AUGUSTINE             </t>
  </si>
  <si>
    <t>121820803</t>
  </si>
  <si>
    <t>1871560003</t>
  </si>
  <si>
    <t xml:space="preserve">METHODIST HEALTHCARE SYSTEM OF SAN ANTONIO LTD LLP-METHODIST AMBULATORY SURGERY                      </t>
  </si>
  <si>
    <t>379200401</t>
  </si>
  <si>
    <t>1376071530</t>
  </si>
  <si>
    <t xml:space="preserve">METHODIST HEALTHCARE SYSTEM OF SAN ANTONIO LTD LLP-METHODIST HOSPITAL SOUTH                          </t>
  </si>
  <si>
    <t>204254101</t>
  </si>
  <si>
    <t>1659525236</t>
  </si>
  <si>
    <t xml:space="preserve">METHODIST HEALTHCARE SYSTEM OF SAN ANTONIO LTD LLP-METHODIST STONE OAK HOSPITAL                      </t>
  </si>
  <si>
    <t>094154402</t>
  </si>
  <si>
    <t>1124074273</t>
  </si>
  <si>
    <t xml:space="preserve">METHODIST HOSPITAL                                </t>
  </si>
  <si>
    <t>133258705</t>
  </si>
  <si>
    <t>1225146400</t>
  </si>
  <si>
    <t xml:space="preserve">METHODIST HOSPITAL LEVELLAND-COVENANT HOSPITAL LEVELLAND                       </t>
  </si>
  <si>
    <t>126679303</t>
  </si>
  <si>
    <t>1275592131</t>
  </si>
  <si>
    <t xml:space="preserve">METHODIST HOSPITAL OF DALLAS-METHODIST CHARLTON MEDICAL CENTER                 </t>
  </si>
  <si>
    <t>127263503</t>
  </si>
  <si>
    <t>1073580726</t>
  </si>
  <si>
    <t xml:space="preserve">METHODIST HOSPITAL PLAINVIEW-COVENANT HOSPITAL PLAINVIEW                       </t>
  </si>
  <si>
    <t>135032405</t>
  </si>
  <si>
    <t>1528027786</t>
  </si>
  <si>
    <t xml:space="preserve">METHODIST HOSPITALS OF DALLAS-METHODIST DALLAS MEDICAL CENTER                   </t>
  </si>
  <si>
    <t>127319504</t>
  </si>
  <si>
    <t>1437171568</t>
  </si>
  <si>
    <t xml:space="preserve">METHODISTS CHILDRENS HOSPITAL-COVENANT CHILDRENS HOSPITAL                       </t>
  </si>
  <si>
    <t>094119702</t>
  </si>
  <si>
    <t>1629089966</t>
  </si>
  <si>
    <t xml:space="preserve">METROPLEX ADVENTIST HOSPITAL INC-METROPLEX HOSPITAL                                </t>
  </si>
  <si>
    <t>136143806</t>
  </si>
  <si>
    <t>1255325817</t>
  </si>
  <si>
    <t xml:space="preserve">MIDLAND COUNTY HOSPITAL DISTRCT-MIDLAND MEMORIAL HOSPITAL                         </t>
  </si>
  <si>
    <t>136325111</t>
  </si>
  <si>
    <t>1184631673</t>
  </si>
  <si>
    <t xml:space="preserve">MITCHELL COUNTY HOSPITAL DISTRICT-MITCHELL COUNTY HOSPITAL                          </t>
  </si>
  <si>
    <t>094129604</t>
  </si>
  <si>
    <t>1700991700</t>
  </si>
  <si>
    <t xml:space="preserve">MOORE COUNTY HOSPITAL-                                                  </t>
  </si>
  <si>
    <t>094108002</t>
  </si>
  <si>
    <t>1679578439</t>
  </si>
  <si>
    <t xml:space="preserve">MOTHER FRANCES HOSPITAL REGIONAL HEALTHCARE CENTER-MOTHER FRANCES HOSPITAL                           </t>
  </si>
  <si>
    <t>127301306</t>
  </si>
  <si>
    <t>1659308948</t>
  </si>
  <si>
    <t xml:space="preserve">MOTHER FRANCES HOSPITAL WINNSBORO                 </t>
  </si>
  <si>
    <t>120745806</t>
  </si>
  <si>
    <t>1699770149</t>
  </si>
  <si>
    <t xml:space="preserve">MUENSTER HOSPITAL DISTRICT-MUENSTER MEMORIAL HOSPITAL                        </t>
  </si>
  <si>
    <t xml:space="preserve">PALESTINE PRINCIPAL HEALTHCARE LIMITED PARTNERSHIP-PALESTINE REGIONAL MEDICAL                        </t>
  </si>
  <si>
    <t>130605205</t>
  </si>
  <si>
    <t>1700885076</t>
  </si>
  <si>
    <t xml:space="preserve">NACOGDOCHES MEDICAL CENTER                        </t>
  </si>
  <si>
    <t>112701102</t>
  </si>
  <si>
    <t>1144274226</t>
  </si>
  <si>
    <t xml:space="preserve">NAVARRO REGIONAL HOSPITAL                         </t>
  </si>
  <si>
    <t>133252005</t>
  </si>
  <si>
    <t>1093786204</t>
  </si>
  <si>
    <t xml:space="preserve">NHCI OF HILLSBORO INC-HILL REGIONAL HOSPITAL                            </t>
  </si>
  <si>
    <t>126675104</t>
  </si>
  <si>
    <t>1992753222</t>
  </si>
  <si>
    <t xml:space="preserve">TARRANT COUNTY HOSPITAL DISTRICT-JPS HEALTH NETWORK                                </t>
  </si>
  <si>
    <t>127310404</t>
  </si>
  <si>
    <t>1689655912</t>
  </si>
  <si>
    <t xml:space="preserve">NOCONA HOSPITAL DISTRICT-NOCONA GENERAL HOSPITAL                           </t>
  </si>
  <si>
    <t>185964702</t>
  </si>
  <si>
    <t>1548236524</t>
  </si>
  <si>
    <t xml:space="preserve">NORTH CENTRAL SURGICAL CENTER LLP                 </t>
  </si>
  <si>
    <t>020989201</t>
  </si>
  <si>
    <t>1205837770</t>
  </si>
  <si>
    <t xml:space="preserve">NORTH RUNNELS COUNTY HOSPITAL-                                                  </t>
  </si>
  <si>
    <t>350857401</t>
  </si>
  <si>
    <t>1871911016</t>
  </si>
  <si>
    <t xml:space="preserve">NORTH TEXAS - MCA, LLC-MEDICAL CENTER OF ALLIANCE                        </t>
  </si>
  <si>
    <t>121787905</t>
  </si>
  <si>
    <t>1396748471</t>
  </si>
  <si>
    <t xml:space="preserve">NORTH WHEELER COUNTY HOSTPIAL DISTRICT-PARKVIEW HOSPITAL                                 </t>
  </si>
  <si>
    <t>127262703</t>
  </si>
  <si>
    <t>1073511762</t>
  </si>
  <si>
    <t xml:space="preserve">BAYLOR MED CTR AT GRAPEVINE-BAYLOR SCOTT AND WHITE MEDICAL CENTER-GRAPEVINE   </t>
  </si>
  <si>
    <t>358963201</t>
  </si>
  <si>
    <t>1255708715</t>
  </si>
  <si>
    <t xml:space="preserve">OCH HOLDINGS-OUR CHILDRENS HOUSE                               </t>
  </si>
  <si>
    <t>112704504</t>
  </si>
  <si>
    <t>1245237593</t>
  </si>
  <si>
    <t xml:space="preserve">OCHILTREE GENERAL HOSPITAL                        </t>
  </si>
  <si>
    <t>112711003</t>
  </si>
  <si>
    <t>1801852736</t>
  </si>
  <si>
    <t xml:space="preserve">ODESSA REGIONAL HOSPITAL LP-ODESSA REGIONAL MEDICAL CENTER                    </t>
  </si>
  <si>
    <t>285368102</t>
  </si>
  <si>
    <t>1881915304</t>
  </si>
  <si>
    <t xml:space="preserve">OPREX SURGERY BAYTOWN LP-ALTAS BAYTOWN HOSPICE                             </t>
  </si>
  <si>
    <t>020977701</t>
  </si>
  <si>
    <t>1134166192</t>
  </si>
  <si>
    <t xml:space="preserve">ORTHOPEDIC  HOSPITAL LTD-TEXAS ORTHOPEDIC  HOSPITAL                        </t>
  </si>
  <si>
    <t>152686501</t>
  </si>
  <si>
    <t>1780786699</t>
  </si>
  <si>
    <t xml:space="preserve">PALACIOS COMMUNITY MEDICAL CENTER                 </t>
  </si>
  <si>
    <t>138950412</t>
  </si>
  <si>
    <t>1972590602</t>
  </si>
  <si>
    <t xml:space="preserve">PALO PINTO GENERAL HOSPITAL                       </t>
  </si>
  <si>
    <t>346138602</t>
  </si>
  <si>
    <t>1225439821</t>
  </si>
  <si>
    <t xml:space="preserve">PAM SQUARED AT TEXARKANA, LLC-                                                  </t>
  </si>
  <si>
    <t>111915801</t>
  </si>
  <si>
    <t>1497708929</t>
  </si>
  <si>
    <t xml:space="preserve">PARKVIEW REGIONAL HOSPITAL                        </t>
  </si>
  <si>
    <t>137343308</t>
  </si>
  <si>
    <t>1861475626</t>
  </si>
  <si>
    <t xml:space="preserve">PARMER COUNTY COMMUNITY HOSPITAL                  </t>
  </si>
  <si>
    <t>174662001</t>
  </si>
  <si>
    <t>1316933609</t>
  </si>
  <si>
    <t>PHYSICIANS MEDICAL CENTER LLC-TEXAS HEALTH CENTER FOR DIAGNOSTICS AND SURGERY PL</t>
  </si>
  <si>
    <t>391575301</t>
  </si>
  <si>
    <t>1083112023</t>
  </si>
  <si>
    <t xml:space="preserve">PIPELINE EAST DALLAS LLC-CITY HOSPITAL AT WHITE ROCK                       </t>
  </si>
  <si>
    <t>126840107</t>
  </si>
  <si>
    <t>1477594299</t>
  </si>
  <si>
    <t xml:space="preserve">PREFERRED HOSPITAL LEASING INC-COLLINGSWORTH GENERAL HOSPITAL                    </t>
  </si>
  <si>
    <t>176354201</t>
  </si>
  <si>
    <t>1013970862</t>
  </si>
  <si>
    <t xml:space="preserve">PREFERRED HOSPITAL LEASING VAN HORN INC-CULBERSON HOSPITAL                                </t>
  </si>
  <si>
    <t>354018901</t>
  </si>
  <si>
    <t>1790174860</t>
  </si>
  <si>
    <t xml:space="preserve">PRIME HEALTHCARE SERVICES MESQUITE LLC-DALLAS REGIONAL MEDICAL CENTER                    </t>
  </si>
  <si>
    <t>111829102</t>
  </si>
  <si>
    <t>1093708679</t>
  </si>
  <si>
    <t xml:space="preserve">PROVIDENCE HEALTH SERVICES OF WACO-PROVIDENCE HEALTHCARE NETWORK                     </t>
  </si>
  <si>
    <t>121799406</t>
  </si>
  <si>
    <t>1295739258</t>
  </si>
  <si>
    <t xml:space="preserve">RANKIN COUNTY HOSPITAL DISTRICT                   </t>
  </si>
  <si>
    <t>020991801</t>
  </si>
  <si>
    <t>1942240189</t>
  </si>
  <si>
    <t xml:space="preserve">REFUGIO COUNTY MEMORIAL HOSPITAL DISTRICT         </t>
  </si>
  <si>
    <t>133244705</t>
  </si>
  <si>
    <t>1275581852</t>
  </si>
  <si>
    <t xml:space="preserve">ROLLING PLAINS MEMORIAL HOSPITAL                  </t>
  </si>
  <si>
    <t>127267603</t>
  </si>
  <si>
    <t>1942294939</t>
  </si>
  <si>
    <t xml:space="preserve">SAINT JOSEPH REGIONAL HEALTH CENTER               </t>
  </si>
  <si>
    <t>112693002</t>
  </si>
  <si>
    <t>1194776104</t>
  </si>
  <si>
    <t xml:space="preserve">SAN ANGELO COMMUNITY MEDICAL CENTER               </t>
  </si>
  <si>
    <t>326725404</t>
  </si>
  <si>
    <t>1265772362</t>
  </si>
  <si>
    <t>SCOTT AND WHITE HOSPITAL COLLEGE STATION-BAYLOR SCOTT &amp; WHITE MEDICAL CENTER COLLEGE STATIO</t>
  </si>
  <si>
    <t>190123303</t>
  </si>
  <si>
    <t>1265568638</t>
  </si>
  <si>
    <t xml:space="preserve">SCOTT AND WHITE HOSPITAL ROUND ROCK-BAYLOR SCOTT &amp; WHITE MEDICAL CENTER - ROUND ROCK  </t>
  </si>
  <si>
    <t>136327710</t>
  </si>
  <si>
    <t>1962497800</t>
  </si>
  <si>
    <t xml:space="preserve">SCOTT AND WHITE HOSPITAL TAYLOR-BAYLOR SCOTT AND WHITE MEDICAL CENTER TAYLOR      </t>
  </si>
  <si>
    <t>137249208</t>
  </si>
  <si>
    <t>1477516466</t>
  </si>
  <si>
    <t xml:space="preserve">SCOTT AND WHITE MEMORIAL HOSPITAL-SCOTT AND WHITE MEDICAL CENTER TEMPLE             </t>
  </si>
  <si>
    <t>135226205</t>
  </si>
  <si>
    <t>1154315307</t>
  </si>
  <si>
    <t xml:space="preserve">SCOTT &amp;  WHITE HOSPITAL BRENHAM-BAYLOR SCOTT AND WHITE MEDICAL CENTER BRENHAM     </t>
  </si>
  <si>
    <t>136330112</t>
  </si>
  <si>
    <t>1578588463</t>
  </si>
  <si>
    <t xml:space="preserve">SCURRY COUNTY HOSPITAL DISTRICT-D.M. COGDELL MEMORIAL HOSPITAL                    </t>
  </si>
  <si>
    <t>094153604</t>
  </si>
  <si>
    <t>1356446686</t>
  </si>
  <si>
    <t xml:space="preserve">SETON FAMILY OF HOSPITALS-ASCENSION SETON EDGAR B DAVIS                     </t>
  </si>
  <si>
    <t>137265806</t>
  </si>
  <si>
    <t>1093810327</t>
  </si>
  <si>
    <t>SETON FAMILY OF HOSPITALS-DELL SETON MEDICAL CENTER AT THE UNIVERSITY OF TEX</t>
  </si>
  <si>
    <t>094151004</t>
  </si>
  <si>
    <t>1003833013</t>
  </si>
  <si>
    <t xml:space="preserve">SETON FAMILY OF HOSPITALS-SETON HIGHLAND LAKES                              </t>
  </si>
  <si>
    <t>135225404</t>
  </si>
  <si>
    <t>1164526786</t>
  </si>
  <si>
    <t xml:space="preserve">SETON FAMILY OF HOSPITALS-SETON MEDICAL CENTER AUSTIN                       </t>
  </si>
  <si>
    <t>208013701</t>
  </si>
  <si>
    <t>1619115383</t>
  </si>
  <si>
    <t xml:space="preserve">SETON FAMILY OF HOSPITALS-SETON MEDICAL CENTER HAYS                         </t>
  </si>
  <si>
    <t>194106401</t>
  </si>
  <si>
    <t>1578780870</t>
  </si>
  <si>
    <t xml:space="preserve">SETON FAMILY OF HOSPITALS-SETON MEDICAL CENTER WILLIAMSON                   </t>
  </si>
  <si>
    <t>121193005</t>
  </si>
  <si>
    <t>1538150370</t>
  </si>
  <si>
    <t xml:space="preserve">SHAMROCK GENERAL HOSPITAL                         </t>
  </si>
  <si>
    <t xml:space="preserve">PARKLAND MEMORIAL HOSPITAL-PARKLAND MEMORIAL-REHAB UNIT                      </t>
  </si>
  <si>
    <t>127300503</t>
  </si>
  <si>
    <t>1184622847</t>
  </si>
  <si>
    <t>CHI ST LUKES HEALTH BAYLOR COLLEGE OF MEDICINE MED</t>
  </si>
  <si>
    <t>127294003</t>
  </si>
  <si>
    <t>1790782704</t>
  </si>
  <si>
    <t xml:space="preserve">SID PETERSON MEMORIAL HOSPITAL-PETERSON REGIONAL MEDICAL CENTER                  </t>
  </si>
  <si>
    <t>127303903</t>
  </si>
  <si>
    <t>1700883196</t>
  </si>
  <si>
    <t xml:space="preserve">OAK BEND MEDICAL CENTER-OAKBEND MEDICAL CENTER                            </t>
  </si>
  <si>
    <t>216719901</t>
  </si>
  <si>
    <t>1700826575</t>
  </si>
  <si>
    <t xml:space="preserve">SOMERVELL COUNTY HOSPITAL DISTRICT-GLEN ROSE MEDICAL CENTER                          </t>
  </si>
  <si>
    <t>136332705</t>
  </si>
  <si>
    <t>1760567085</t>
  </si>
  <si>
    <t xml:space="preserve">STARR COUNTY MEMORIAL HOSPITAL                    </t>
  </si>
  <si>
    <t>094160103</t>
  </si>
  <si>
    <t>1720033947</t>
  </si>
  <si>
    <t xml:space="preserve">ST DAVIDS COMMUNITY HOSPITAL-ST DAVIDS MEDICAL CENTER                          </t>
  </si>
  <si>
    <t>020957901</t>
  </si>
  <si>
    <t>1649223645</t>
  </si>
  <si>
    <t xml:space="preserve">ST DAVIDS HEALTHCARE PARTNERSHIP LP LLP-ROUND ROCK MEDICAL CENTER                         </t>
  </si>
  <si>
    <t>112717702</t>
  </si>
  <si>
    <t>1679528889</t>
  </si>
  <si>
    <t xml:space="preserve">ST DAVIDS HEALTHCARE PARTNERSHIP LP LLP-SOUTH AUSTIN HOSPITAL                             </t>
  </si>
  <si>
    <t>094216103</t>
  </si>
  <si>
    <t>1629021845</t>
  </si>
  <si>
    <t xml:space="preserve">ST DAVID'S HEALTHCARE PARTNERSHIP LP LLP-ST DAVID'S NORTH AUSTIN MEDICAL CENTER            </t>
  </si>
  <si>
    <t xml:space="preserve">TENET HOSPITALS LIMITED-THE HOSPITALS OF PROVIDENCE MEMORIAL CAMPUS       </t>
  </si>
  <si>
    <t>020992601</t>
  </si>
  <si>
    <t>1083612121</t>
  </si>
  <si>
    <t xml:space="preserve">STONEWALL MEMORIAL HOSPITAL DISTRICT-STONEWALL MEMORIAL HOSPITAL                       </t>
  </si>
  <si>
    <t>020988401</t>
  </si>
  <si>
    <t>1023011657</t>
  </si>
  <si>
    <t xml:space="preserve">SWEENY COMMUNITY HOSPITAL                         </t>
  </si>
  <si>
    <t>316076401</t>
  </si>
  <si>
    <t>1518253194</t>
  </si>
  <si>
    <t xml:space="preserve">SWISHER MEMORIAL HEALTHCARE SYSTEM-SWISHER MEMORIAL HOSPITAL                         </t>
  </si>
  <si>
    <t>130606006</t>
  </si>
  <si>
    <t>1124076401</t>
  </si>
  <si>
    <t>196829901</t>
  </si>
  <si>
    <t>1972709970</t>
  </si>
  <si>
    <t xml:space="preserve">TENET HOSPITALS LIMITED-THE HOSPITALS OF PROVIDENCE EAST CAMPUS           </t>
  </si>
  <si>
    <t>369162801</t>
  </si>
  <si>
    <t>1538522412</t>
  </si>
  <si>
    <t xml:space="preserve">TENET HOSPITALS LIMITED-THE HOSPITALS OF PROVIDENCE TRANSMOUNTAIN CAMPUS  </t>
  </si>
  <si>
    <t>130618504</t>
  </si>
  <si>
    <t>1811916901</t>
  </si>
  <si>
    <t xml:space="preserve">TERRY MEMORIAL HOSPITAL DISTRICT-BROWNFIELD REGIONAL MEDICAL CENTER                </t>
  </si>
  <si>
    <t>130614405</t>
  </si>
  <si>
    <t>1174533343</t>
  </si>
  <si>
    <t xml:space="preserve">TEXAS HEALTH ARLINGTON MEMORIAL HOSPITAL-                                                  </t>
  </si>
  <si>
    <t>316296801</t>
  </si>
  <si>
    <t>1215296884</t>
  </si>
  <si>
    <t xml:space="preserve">TEXAS HEALTH HARRIS METHODIST HOSPITAL ALLIANCE-                                                  </t>
  </si>
  <si>
    <t>127304703</t>
  </si>
  <si>
    <t>1508899204</t>
  </si>
  <si>
    <t xml:space="preserve">TEXAS HEALTH HARRIS METHODIST HOSPITAL AZLE-                                                  </t>
  </si>
  <si>
    <t>131036903</t>
  </si>
  <si>
    <t>1396778064</t>
  </si>
  <si>
    <t xml:space="preserve">TEXAS HEALTH HARRIS METHODIST HOSPITAL CLEBURNE-                                                  </t>
  </si>
  <si>
    <t>112677302</t>
  </si>
  <si>
    <t>1336172105</t>
  </si>
  <si>
    <t xml:space="preserve">TEXAS HEALTH HARRIS METHODIST HOSPITAL FORT WORTH-                                                  </t>
  </si>
  <si>
    <t>120726804</t>
  </si>
  <si>
    <t>1417980202</t>
  </si>
  <si>
    <t xml:space="preserve">TEXAS HEALTH HARRIS METHODIST HOSPITAL SOUTHWEST F-                                                  </t>
  </si>
  <si>
    <t>121794503</t>
  </si>
  <si>
    <t>1922031541</t>
  </si>
  <si>
    <t xml:space="preserve">TEXAS HEALTH HARRIS METHODIST HOSPITAL STEPHENVILL-                                                  </t>
  </si>
  <si>
    <t>314080801</t>
  </si>
  <si>
    <t>1033120423</t>
  </si>
  <si>
    <t xml:space="preserve">TEXAS HEALTH HUGULEY INC-TEXAS HEALTH HUGULEY FORT WORTH SOUTH             </t>
  </si>
  <si>
    <t>020908201</t>
  </si>
  <si>
    <t>1396779948</t>
  </si>
  <si>
    <t xml:space="preserve">TEXAS HEALTH PRESBYTERIAN HOSPITAL DALLAS-TEXAS PRESBYTERIAN HOSPITAL OF DALLAS             </t>
  </si>
  <si>
    <t>020967802</t>
  </si>
  <si>
    <t>1003883158</t>
  </si>
  <si>
    <t xml:space="preserve">TEXAS HEALTH PRESBYTERIAN HOSPITAL DENTON-                                                  </t>
  </si>
  <si>
    <t>094140302</t>
  </si>
  <si>
    <t>1457382798</t>
  </si>
  <si>
    <t xml:space="preserve">TEXAS HEALTH PRESBYTERIAN HOSPITAL KAUFMAN-                                                  </t>
  </si>
  <si>
    <t>131030203</t>
  </si>
  <si>
    <t>1801831748</t>
  </si>
  <si>
    <t xml:space="preserve">NACOGDOCHES COUNTY HOSPITAL DISTRICT-MEMORIAL HOSPITAL                                 </t>
  </si>
  <si>
    <t>094205403</t>
  </si>
  <si>
    <t>1730278417</t>
  </si>
  <si>
    <t xml:space="preserve">TEXAS HEALTH SPECIALTY HOSPITAL FORT WORTH-                                                  </t>
  </si>
  <si>
    <t>173574801</t>
  </si>
  <si>
    <t>1245201656</t>
  </si>
  <si>
    <t>TEXAS INSTITUTE FOR SURGERY LLP-TEXAS INSTITUTE FOR SURGERY AT TEXAS HEALTH PRESBY</t>
  </si>
  <si>
    <t>178795401</t>
  </si>
  <si>
    <t>1043328198</t>
  </si>
  <si>
    <t xml:space="preserve">THE HOSPITAL AT WESTLAKE MEDICAL CENTER           </t>
  </si>
  <si>
    <t>163925401</t>
  </si>
  <si>
    <t>1861467573</t>
  </si>
  <si>
    <t xml:space="preserve">THE MEDICAL CENTER OF SOUTHEAST TEXAS LP-                                                  </t>
  </si>
  <si>
    <t>137949705</t>
  </si>
  <si>
    <t>1548387418</t>
  </si>
  <si>
    <t xml:space="preserve">THE METHODIST HOSPITAL                            </t>
  </si>
  <si>
    <t>088189803</t>
  </si>
  <si>
    <t>1356418974</t>
  </si>
  <si>
    <t xml:space="preserve">THROCKMORTON COUNTY MEMORIAL HOSPITAL-                                                  </t>
  </si>
  <si>
    <t>094208803</t>
  </si>
  <si>
    <t>1144203662</t>
  </si>
  <si>
    <t xml:space="preserve">TOPS SPECIALTY HOSPITAL, LTD-                                                  </t>
  </si>
  <si>
    <t>131043506</t>
  </si>
  <si>
    <t>1831160423</t>
  </si>
  <si>
    <t xml:space="preserve">SCENIC MOUNTAIN MEDICAL CENTER                    </t>
  </si>
  <si>
    <t>136381405</t>
  </si>
  <si>
    <t>1447259627</t>
  </si>
  <si>
    <t xml:space="preserve">TYLER COUNTY HOSPITAL                             </t>
  </si>
  <si>
    <t>137999206</t>
  </si>
  <si>
    <t>1821087164</t>
  </si>
  <si>
    <t xml:space="preserve">UNIVERSITY MEDICAL CENTER                         </t>
  </si>
  <si>
    <t>119877204</t>
  </si>
  <si>
    <t>1104830900</t>
  </si>
  <si>
    <t xml:space="preserve">VAL VERDE HOSPITAL CORPORATION-VAL VERDE REGIONAL MEDICAL CENTER                 </t>
  </si>
  <si>
    <t>294543801</t>
  </si>
  <si>
    <t>1184911877</t>
  </si>
  <si>
    <t xml:space="preserve">VHS BROWNSVILLE HOSPITAL COMPANY LLC-VALLEY BAPTIST MEDICAL CENTER BROWNSVILLE         </t>
  </si>
  <si>
    <t xml:space="preserve">TENET HOSPITALS LIMITED-THE HOSPITALS OF PROVIDENCE SIERRA CAMPUS         </t>
  </si>
  <si>
    <t>135235306</t>
  </si>
  <si>
    <t>1740273994</t>
  </si>
  <si>
    <t xml:space="preserve">ECTOR COUNTY HOSPITAL DISTRICT-MEDICAL CENTER HOSPITAL                           </t>
  </si>
  <si>
    <t>189791001</t>
  </si>
  <si>
    <t>1144225699</t>
  </si>
  <si>
    <t xml:space="preserve">WALKER COUNTY HOSPITAL CORPORATION-HUNTSVILLE MEMORIAL HOSPITAL                      </t>
  </si>
  <si>
    <t>385345901</t>
  </si>
  <si>
    <t>1417471467</t>
  </si>
  <si>
    <t xml:space="preserve">WEATHERFORD HEALTH SERVICES, LLC-                                                  </t>
  </si>
  <si>
    <t>135151206</t>
  </si>
  <si>
    <t>1871599829</t>
  </si>
  <si>
    <t xml:space="preserve">WILSON COUNTY MEMORIAL HOSPITAL DISTRICT-CONNALLY MEMORIAL MEDICAL CENTER                  </t>
  </si>
  <si>
    <t>148698701</t>
  </si>
  <si>
    <t>1295781227</t>
  </si>
  <si>
    <t xml:space="preserve">WINNIE COMMUNITY HOSPITAL LLC                     </t>
  </si>
  <si>
    <t>126667806</t>
  </si>
  <si>
    <t>1104842475</t>
  </si>
  <si>
    <t xml:space="preserve">W J MANGOLD MEMORIAL HOSPITAL                     </t>
  </si>
  <si>
    <t>094164302</t>
  </si>
  <si>
    <t>1487607792</t>
  </si>
  <si>
    <t xml:space="preserve">WOODLAND HEIGHTS MEDICAL CENTER                   </t>
  </si>
  <si>
    <t>112673204</t>
  </si>
  <si>
    <t>1881697878</t>
  </si>
  <si>
    <t xml:space="preserve">YOAKUM COMMUNITY HOSPITAL                         </t>
  </si>
  <si>
    <t>021302701</t>
  </si>
  <si>
    <t>1700937869</t>
  </si>
  <si>
    <t xml:space="preserve">ALTERNATIVES CENTRE FOR BEHA                      </t>
  </si>
  <si>
    <t>El Paso</t>
  </si>
  <si>
    <t>341779201</t>
  </si>
  <si>
    <t>1649504853</t>
  </si>
  <si>
    <t xml:space="preserve">DAY STARS INC-                                                  </t>
  </si>
  <si>
    <t>282960802</t>
  </si>
  <si>
    <t>1609008838</t>
  </si>
  <si>
    <t xml:space="preserve">ENLIGHTENED BEHAVIORAL HEALTH SYSTEMS LLC-                                                  </t>
  </si>
  <si>
    <t>343621401</t>
  </si>
  <si>
    <t>1467588319</t>
  </si>
  <si>
    <t xml:space="preserve">ER AMERICAN HEALTHCARE SERVICES, LLC-                                                  </t>
  </si>
  <si>
    <t>155006302</t>
  </si>
  <si>
    <t>1063522498</t>
  </si>
  <si>
    <t xml:space="preserve">HILL COUNTRY COUNSELING-HILL COUNTRY CONSELING                            </t>
  </si>
  <si>
    <t>Travis</t>
  </si>
  <si>
    <t>136141205</t>
  </si>
  <si>
    <t>1821011248</t>
  </si>
  <si>
    <t xml:space="preserve">BEXAR COUNTY HOSPITAL DISTRICT-UNIVERSITY HEALTH SYSTEM                          </t>
  </si>
  <si>
    <t>021367001</t>
  </si>
  <si>
    <t>1770887846</t>
  </si>
  <si>
    <t xml:space="preserve">POST OAKS CARE CENTER                             </t>
  </si>
  <si>
    <t>339420701</t>
  </si>
  <si>
    <t>1306146733</t>
  </si>
  <si>
    <t xml:space="preserve">AUDUBON BEHAVIORAL HEALTHCARE OF LONGVIEW LLC-OCEANS BEHAVIORAL HOSPITAL OF LONGVIEW            </t>
  </si>
  <si>
    <t>348183001</t>
  </si>
  <si>
    <t>1144625153</t>
  </si>
  <si>
    <t xml:space="preserve">AUSTIN BEHAVIORAL HOSPITAL LLC-CROSS CREEK HOSPITAL                              </t>
  </si>
  <si>
    <t>336658501</t>
  </si>
  <si>
    <t>1396184180</t>
  </si>
  <si>
    <t xml:space="preserve">BEHAVIORAL HEALTH CENTER OF THE PERMIAN BASIN LLC-OCEANS BEHAVIORAL HOSPITAL OF PERMIAN BASIN       </t>
  </si>
  <si>
    <t>217547301</t>
  </si>
  <si>
    <t>1093021719</t>
  </si>
  <si>
    <t xml:space="preserve">BEHAVIORAL HEALTH MANAGEMENT, LLC-                                                  </t>
  </si>
  <si>
    <t>314300001</t>
  </si>
  <si>
    <t>1134401466</t>
  </si>
  <si>
    <t xml:space="preserve">CARROLLTON SPRINGS LLC                            </t>
  </si>
  <si>
    <t xml:space="preserve">TEXAS HEALTH HARRIS METHODIST HOSPITAL HURST-EULES-                                                  </t>
  </si>
  <si>
    <t>136491104</t>
  </si>
  <si>
    <t>1912906298</t>
  </si>
  <si>
    <t xml:space="preserve">SOUTHWEST GENERAL HOSPITAL LP-SOUTHWEST GENERAL HOSPITAL                        </t>
  </si>
  <si>
    <t>315472601</t>
  </si>
  <si>
    <t>1962786608</t>
  </si>
  <si>
    <t xml:space="preserve">C &amp; I HOLDINGS LLC-LONE STAR BEHAVORIAL HEALTH                       </t>
  </si>
  <si>
    <t>021203701</t>
  </si>
  <si>
    <t>1730187568</t>
  </si>
  <si>
    <t xml:space="preserve">CYPRESS CREEK HOSPITAL INC                        </t>
  </si>
  <si>
    <t>333289201</t>
  </si>
  <si>
    <t>1457791105</t>
  </si>
  <si>
    <t xml:space="preserve">DALLAS BEHAVIORAL HEALTHCARE HOSPITAL LLC-                                                  </t>
  </si>
  <si>
    <t xml:space="preserve">SHANNON MEDICAL CENTER-SHANNON W TX MEM HOSP                             </t>
  </si>
  <si>
    <t>021214401</t>
  </si>
  <si>
    <t>1235212895</t>
  </si>
  <si>
    <t xml:space="preserve">DEVEREUX FOUNDATION-DEVEREUX-TEXAS TREATMENT                          </t>
  </si>
  <si>
    <t>359590201</t>
  </si>
  <si>
    <t>1649646415</t>
  </si>
  <si>
    <t xml:space="preserve">GARLAND BEHAVIORAL HOSPITAL                       </t>
  </si>
  <si>
    <t>345305201</t>
  </si>
  <si>
    <t>1275956807</t>
  </si>
  <si>
    <t xml:space="preserve">GEORGETOWN BEHAVIORAL HEALTH INSTITUTE, LLC-GEORGETOWN BEHAVIORAL HEALTH INSTITUTE LLC        </t>
  </si>
  <si>
    <t>112746602</t>
  </si>
  <si>
    <t>1922078815</t>
  </si>
  <si>
    <t xml:space="preserve">GLEN OAKS HOSPITAL INC-GLEN OAKS HOSPITAL                                </t>
  </si>
  <si>
    <t>021224301</t>
  </si>
  <si>
    <t>1831140698</t>
  </si>
  <si>
    <t xml:space="preserve">GREEN OAKS HOSPITAL SUBSIDIA                      </t>
  </si>
  <si>
    <t>355497401</t>
  </si>
  <si>
    <t>1780025148</t>
  </si>
  <si>
    <t xml:space="preserve">HAVEN BEHAVIORAL SERVICES OF FRISCO LLC-HAVEN BEHAVIORAL HOSPITAL OF FRISCO               </t>
  </si>
  <si>
    <t>184076101</t>
  </si>
  <si>
    <t>1205999232</t>
  </si>
  <si>
    <t xml:space="preserve">HICKORY TRAIL HOSPITAL LP                         </t>
  </si>
  <si>
    <t>021215104</t>
  </si>
  <si>
    <t>1689692402</t>
  </si>
  <si>
    <t xml:space="preserve">HMIH CEDAR CREST LLC-CEDAR CREST HOSPITAL                              </t>
  </si>
  <si>
    <t>192996002</t>
  </si>
  <si>
    <t>1962614834</t>
  </si>
  <si>
    <t xml:space="preserve">HORIZON HEALTH AUSTIN INC-AUSTIN LAKES HOSPITAL                             </t>
  </si>
  <si>
    <t>348990801</t>
  </si>
  <si>
    <t>1689098790</t>
  </si>
  <si>
    <t xml:space="preserve">HOUSTON BEHAVIORAL HEALTHCARE HOSPITAL, LLC-                                                  </t>
  </si>
  <si>
    <t>136492909</t>
  </si>
  <si>
    <t>1992708705</t>
  </si>
  <si>
    <t xml:space="preserve">NORTHWEST HEALTHCARE SYSTEM INC-NORTHWEST TEXAS-PSYC UNIT                         </t>
  </si>
  <si>
    <t>339487601</t>
  </si>
  <si>
    <t>1366880627</t>
  </si>
  <si>
    <t xml:space="preserve">MESA SPRINGS, LLC-                                                  </t>
  </si>
  <si>
    <t>021189801</t>
  </si>
  <si>
    <t>1023015120</t>
  </si>
  <si>
    <t xml:space="preserve">MILLWOOD HOSPITAL                                 </t>
  </si>
  <si>
    <t>1891789772</t>
  </si>
  <si>
    <t xml:space="preserve">SAN JACINTO METHODIST HOSPITAL-HOUSTON METHODIST SAN JACINTO HOSPITAL            </t>
  </si>
  <si>
    <t>138411709</t>
  </si>
  <si>
    <t>1720088123</t>
  </si>
  <si>
    <t xml:space="preserve">GUADALUPE COUNTY HOSPITAL BOARD-GUADALUPE REGIONAL MEDICAL CENTER                 </t>
  </si>
  <si>
    <t>333366801</t>
  </si>
  <si>
    <t>1750620456</t>
  </si>
  <si>
    <t xml:space="preserve">OCEANS BEHAVIORAL HOSPITAL OF ABILENE LLC-                                                  </t>
  </si>
  <si>
    <t>352075101</t>
  </si>
  <si>
    <t>1891193868</t>
  </si>
  <si>
    <t xml:space="preserve">OCEANS BEHAVIORAL HOSPITAL OF KATY LLC-                                                  </t>
  </si>
  <si>
    <t>138913209</t>
  </si>
  <si>
    <t>1174526529</t>
  </si>
  <si>
    <t xml:space="preserve">TITUS COUNTY MEM HOSP DIST-TITUS REGIONAL MEDICAL CENTER                     </t>
  </si>
  <si>
    <t>341027602</t>
  </si>
  <si>
    <t>1689004939</t>
  </si>
  <si>
    <t xml:space="preserve">OCEANS BEHAVORIAL HOSPITAL OF LUFKIN LLC-OCEANS BEHAVORIAL HOSPITAL OF LUFKIN              </t>
  </si>
  <si>
    <t>159156201</t>
  </si>
  <si>
    <t>1598744856</t>
  </si>
  <si>
    <t xml:space="preserve">VHS SAN ANTONIO PARTNERS LLC-BAPTIST MEDICAL CENTER                            </t>
  </si>
  <si>
    <t>210433301</t>
  </si>
  <si>
    <t>1427048743</t>
  </si>
  <si>
    <t xml:space="preserve">RED RIVER HOSPITAL LLC-RED RIVER HOSPITAL                                </t>
  </si>
  <si>
    <t>112745802</t>
  </si>
  <si>
    <t>1518937218</t>
  </si>
  <si>
    <t xml:space="preserve">RIVER CREST HOSPITAL                              </t>
  </si>
  <si>
    <t>339869503</t>
  </si>
  <si>
    <t>1184056954</t>
  </si>
  <si>
    <t xml:space="preserve">ROCK SPRINGS, LLC-                                                  </t>
  </si>
  <si>
    <t>349059101</t>
  </si>
  <si>
    <t>1871917971</t>
  </si>
  <si>
    <t xml:space="preserve">SAN ANTONIO BEHAVIORAL HEALTHCARE HOSPITAL, LLC-                                                  </t>
  </si>
  <si>
    <t>094382101</t>
  </si>
  <si>
    <t>1538264866</t>
  </si>
  <si>
    <t xml:space="preserve">SETON SHOAL CREEK HOSPITAL                        </t>
  </si>
  <si>
    <t>175965601</t>
  </si>
  <si>
    <t>1861598633</t>
  </si>
  <si>
    <t xml:space="preserve">SHC KPH LP-KINGWOOD PINES HOSPITAL                           </t>
  </si>
  <si>
    <t>160630301</t>
  </si>
  <si>
    <t>1942208616</t>
  </si>
  <si>
    <t xml:space="preserve">ST LUKES COMMUNITY HEALTH SERVICES-ST LUKES THE WOODLANDS HOSPITAL                   </t>
  </si>
  <si>
    <t>160709501</t>
  </si>
  <si>
    <t>1053317362</t>
  </si>
  <si>
    <t xml:space="preserve">DAY SURGERY AT RENAISSANCE LLC-DOCTORS HOSPITAL AT RENAISSANCE LTD               </t>
  </si>
  <si>
    <t>352273201</t>
  </si>
  <si>
    <t>1376954263</t>
  </si>
  <si>
    <t xml:space="preserve">SRP BEHAVIORAL HOSPITAL OF PLANO LLC-WELLBRIDGE HEALTHCARE OF PLANO                    </t>
  </si>
  <si>
    <t>351415002</t>
  </si>
  <si>
    <t>1447672910</t>
  </si>
  <si>
    <t xml:space="preserve">SRP OCEANS HOSPITAL OF FORTWORTH LLC-WELLBRIDGE HEALTHCARE OF FORT WORTH               </t>
  </si>
  <si>
    <t>362439701</t>
  </si>
  <si>
    <t>1184014433</t>
  </si>
  <si>
    <t xml:space="preserve">SRP OCEANS HOSPITAL OF SAN MARCOS LLC-WELLBRIDGE HEALTHCARE OF SAN MARCOS               </t>
  </si>
  <si>
    <t>371439601</t>
  </si>
  <si>
    <t>1154782548</t>
  </si>
  <si>
    <t xml:space="preserve">STRATEGIC BH-BROWNSVILLE, LLC-PALMS BEHAVIORAL HEALTH                           </t>
  </si>
  <si>
    <t>361635101</t>
  </si>
  <si>
    <t>1003282039</t>
  </si>
  <si>
    <t xml:space="preserve">SUN HOUSTON, LLC-                                                  </t>
  </si>
  <si>
    <t>163111101</t>
  </si>
  <si>
    <t>1063411767</t>
  </si>
  <si>
    <t xml:space="preserve">ESSENT PRMC LP-PARIS REGIONAL MEDICAL CENTER                     </t>
  </si>
  <si>
    <t>021240902</t>
  </si>
  <si>
    <t>1043280951</t>
  </si>
  <si>
    <t xml:space="preserve">TEXAS LAUREL RIDGE HOSPITAL LP-LAUREL RIDGE TREATMENT CENTER                     </t>
  </si>
  <si>
    <t>333086201</t>
  </si>
  <si>
    <t>1578809505</t>
  </si>
  <si>
    <t xml:space="preserve">TEXAS OAKS PSYCHIATRIC HOSPITAL LP-AUSTIN OAKS HOSPITAL                              </t>
  </si>
  <si>
    <t>177658501</t>
  </si>
  <si>
    <t>1851346407</t>
  </si>
  <si>
    <t xml:space="preserve">UHP LP                                            </t>
  </si>
  <si>
    <t>191968002</t>
  </si>
  <si>
    <t>1386779304</t>
  </si>
  <si>
    <t xml:space="preserve">UNIVERSITY BEHAVIORAL HEALTH OF EL PASO LLC       </t>
  </si>
  <si>
    <t xml:space="preserve">UNIVERSITY OF TEXAS SOUTHWESTERN MEDICAL CENTER AT-UT SOUTHWESTERN UNIVERSITY HOSPITAL  ZALE LIPSHY  </t>
  </si>
  <si>
    <t xml:space="preserve">UHS OF TEXOMA INC-REBA MCENTIRE CENTER FOR REHABILITATION           </t>
  </si>
  <si>
    <t>121829905</t>
  </si>
  <si>
    <t>1598764359</t>
  </si>
  <si>
    <t xml:space="preserve">WEST OAK HOSPITAL INC-TEXAS WEST OAKS HOSPITAL                          </t>
  </si>
  <si>
    <t>344854001</t>
  </si>
  <si>
    <t>1215354899</t>
  </si>
  <si>
    <t xml:space="preserve">WESTPARK SPRINGS LLC-                                                  </t>
  </si>
  <si>
    <t>1053778860</t>
  </si>
  <si>
    <t xml:space="preserve">VIBRA SPECIALTY HOSPITAL OF DALLAS LLC-VIBRA HOSPITAL OF RICHARDSON                      </t>
  </si>
  <si>
    <t xml:space="preserve">SHERMAN GRAYSON HOSPITAL LLC-SHERMAN GRAYSON HEALTH SYSTEM                     </t>
  </si>
  <si>
    <t>283280001</t>
  </si>
  <si>
    <t>1871898478</t>
  </si>
  <si>
    <t xml:space="preserve">MAYHILL BEHAVIORAL HEALTH LLC-                                                  </t>
  </si>
  <si>
    <t>Tarrant</t>
  </si>
  <si>
    <t>288563403</t>
  </si>
  <si>
    <t>1285930891</t>
  </si>
  <si>
    <t xml:space="preserve">BAYLOR INSTITUTE FOR REHABILITATION AT FRISCO-                                                  </t>
  </si>
  <si>
    <t>292096901</t>
  </si>
  <si>
    <t>1154618742</t>
  </si>
  <si>
    <t xml:space="preserve">VHS HARLINGEN HOSPITAL COMPANY LLC-                                                  </t>
  </si>
  <si>
    <t>112721903</t>
  </si>
  <si>
    <t>1538465901</t>
  </si>
  <si>
    <t xml:space="preserve">BIR JV LLP-BAYLOR INSTITUTE FOR REHABILITATION               </t>
  </si>
  <si>
    <t>308032701</t>
  </si>
  <si>
    <t>1386902138</t>
  </si>
  <si>
    <t xml:space="preserve">PRIME HEALTHCARE SERVICES PAMPA LLC-PAMPA REGIONAL MEDICAL CENTER                     </t>
  </si>
  <si>
    <t>190809701</t>
  </si>
  <si>
    <t>1609091693</t>
  </si>
  <si>
    <t xml:space="preserve">CENTRAL TEXAS REHABILITATION HOSPITAL LLC-CENTRAL TEXAS REHABILITATION HOSPITAL             </t>
  </si>
  <si>
    <t>094353202</t>
  </si>
  <si>
    <t>1467453902</t>
  </si>
  <si>
    <t xml:space="preserve">CHRISTUS HEALTH ARK LA TEX-CHRISTUS ST MICHAEL REHABILITATION HOSPITAL       </t>
  </si>
  <si>
    <t>396546901</t>
  </si>
  <si>
    <t>BIR JV LLP-BAYLOR SCOTT AND WHITE INSTITUTE FOR REHABILITATIO</t>
  </si>
  <si>
    <t>354076701</t>
  </si>
  <si>
    <t>1861882532</t>
  </si>
  <si>
    <t xml:space="preserve">CLEAR LAKE INSTITUTE FOR REHABILITATION, LLC-PAM REHABILITATION HOSPITAL OF CLEAR LAKE         </t>
  </si>
  <si>
    <t>179322602</t>
  </si>
  <si>
    <t>1972540417</t>
  </si>
  <si>
    <t xml:space="preserve">CLEAR LAKE REHABILITATION HOSPITAL LLC-KINDRED REHABILIT HOSPITAL CLEAR LAKE             </t>
  </si>
  <si>
    <t>094349003</t>
  </si>
  <si>
    <t>1689648339</t>
  </si>
  <si>
    <t>CMS REHAB OF WF LP-ENCOMPASS HEALTH REHABILITATION HOSPITAL OF WICHIT</t>
  </si>
  <si>
    <t>344945603</t>
  </si>
  <si>
    <t>1821439183</t>
  </si>
  <si>
    <t xml:space="preserve">CORPUS CHRISTI REHABILITATION HOSPITAL LLC        </t>
  </si>
  <si>
    <t>1952784985</t>
  </si>
  <si>
    <t xml:space="preserve">COVENANT REHABILITATION HOSPITAL OF LUBBOCK LLC-TRUSTPOINT REHABILITATION HOSPITAL OF LUBBOCK     </t>
  </si>
  <si>
    <t>365612601</t>
  </si>
  <si>
    <t>1114340080</t>
  </si>
  <si>
    <t xml:space="preserve">ASPIRE HOSPITAL LLC                               </t>
  </si>
  <si>
    <t>312476002</t>
  </si>
  <si>
    <t>1396902540</t>
  </si>
  <si>
    <t xml:space="preserve">GLOBALREHAB FORT WORTH, LP-                                                  </t>
  </si>
  <si>
    <t>349912101</t>
  </si>
  <si>
    <t>1568695146</t>
  </si>
  <si>
    <t xml:space="preserve">GLOBALREHAB SAN ANTONIO LP-SELECT REHABILITATION HOSPITAL OF SAN ANTONIO     </t>
  </si>
  <si>
    <t>377705401</t>
  </si>
  <si>
    <t>199329702</t>
  </si>
  <si>
    <t>1699749341</t>
  </si>
  <si>
    <t>HEALTH SOUTH CITY VIEW REHABILITATION HOSPITAL-ENCOMPASS HEALTH REHABILITATION HOSPITAL OF CITY V</t>
  </si>
  <si>
    <t>094347402</t>
  </si>
  <si>
    <t>1144294893</t>
  </si>
  <si>
    <t xml:space="preserve">HEALTHSOUTH PLANO REHABILITATION HOSPITAL LLC-HEALTHSOUTH PLANO REHABILITATION HOSPITAL         </t>
  </si>
  <si>
    <t>309446801</t>
  </si>
  <si>
    <t>1548546088</t>
  </si>
  <si>
    <t xml:space="preserve">HEALTHSOUTH REHAB  HOSPITAL OF SOUTH AUSTIN LLC-HEALTHSOUTH REHABILITATION  HOSPITAL OF AUSTIN    </t>
  </si>
  <si>
    <t>288662403</t>
  </si>
  <si>
    <t>1427374222</t>
  </si>
  <si>
    <t xml:space="preserve">HEALTHSOUTH REHAB HOSPITAL OF THE MID-CITIES LLC-RELIANT REHABILITATION HOSPITAL MID CITIES        </t>
  </si>
  <si>
    <t>021173202</t>
  </si>
  <si>
    <t>1821062050</t>
  </si>
  <si>
    <t xml:space="preserve">HEALTHSOUTH REHABILIATION HOSPITAL OF ARLINGTON   </t>
  </si>
  <si>
    <t>094351601</t>
  </si>
  <si>
    <t>1821061532</t>
  </si>
  <si>
    <t>HEALTHSOUTH REHABILITATION-ENCOMPASS HEALTH  REHABILITATION HOSPITAL OF MIDLA</t>
  </si>
  <si>
    <t>209804801</t>
  </si>
  <si>
    <t>1477731156</t>
  </si>
  <si>
    <t>HEALTHSOUTH REHABILITATION HOSPITAL NORTH HOUSTON-ENCOMPASS HEALTH REHABILITATION HOSPITAL VISION PA</t>
  </si>
  <si>
    <t>313188001</t>
  </si>
  <si>
    <t>1659539567</t>
  </si>
  <si>
    <t xml:space="preserve">HEALTHSOUTH REHABILITATION HOSPITAL OF ABILENE LLC-HEALTHSOUTH REHABILITATION HOSPITAL OF ABILENE    </t>
  </si>
  <si>
    <t>301006801</t>
  </si>
  <si>
    <t>1275813610</t>
  </si>
  <si>
    <t xml:space="preserve">HEALTHSOUTH REHABILITATION HOSPITAL OF CYPRESS LLC-                                                  </t>
  </si>
  <si>
    <t>314562501</t>
  </si>
  <si>
    <t>1982920773</t>
  </si>
  <si>
    <t xml:space="preserve">HEALTHSOUTH REHABILITATION HOSPITAL OF DALLAS LLC-HEALTHSOUTH REHABILITATION HOSPITAL OF DALLAS     </t>
  </si>
  <si>
    <t>337018101</t>
  </si>
  <si>
    <t>1366871600</t>
  </si>
  <si>
    <t xml:space="preserve">HEALTH SOUTH REHABILITATION HOSPITAL OF HUMBLE-                                                  </t>
  </si>
  <si>
    <t>1750655833</t>
  </si>
  <si>
    <t>199238002</t>
  </si>
  <si>
    <t>1720279342</t>
  </si>
  <si>
    <t xml:space="preserve">HEALTHSOUTH REHABILITATION HOSPITAL OF RICHARDSON </t>
  </si>
  <si>
    <t>209190201</t>
  </si>
  <si>
    <t>1245422567</t>
  </si>
  <si>
    <t xml:space="preserve">HEALTHSOUTH REHABILITATION HOSPITAL OF ROUND ROCK </t>
  </si>
  <si>
    <t>219907701</t>
  </si>
  <si>
    <t>1518287721</t>
  </si>
  <si>
    <t xml:space="preserve">HEALTHSOUTH REHABILITATION HOSPITAL OF SUGAR LAND-HEALTHSOUTH SUGAR LAND REHABILITATION HOSPITAL    </t>
  </si>
  <si>
    <t>315341301</t>
  </si>
  <si>
    <t>1376829812</t>
  </si>
  <si>
    <t xml:space="preserve">HEALTHSOUTH REHABILITATION HOSPITAL OF VINTAGE PAR-HEALTHSOUTH REHABILITATION HOSPITAL THE VINTAGE   </t>
  </si>
  <si>
    <t>094352403</t>
  </si>
  <si>
    <t>1194798801</t>
  </si>
  <si>
    <t xml:space="preserve">HEALTHSOUTH REHABILITATION  HOSPITAL THE WOODLANDS-ENCOMPASS HEALTH REHABILITATION HOSPITAL OF THE W </t>
  </si>
  <si>
    <t>021175701</t>
  </si>
  <si>
    <t>1649243353</t>
  </si>
  <si>
    <t>HEALTHSOUTH REHABILITATION OF TEXARKANA INC-ENCOMPASS HEALTH REHABILITATION HOSPITAL OF TEXARK</t>
  </si>
  <si>
    <t>021168201</t>
  </si>
  <si>
    <t>1548233265</t>
  </si>
  <si>
    <t>HEALTHSOUTH REHAB INSTITUTUE OF SAN ANTONIO RIOSA-ENCOMPASS HEALTH REHABILITATION HOSPITAL OF SAN AN</t>
  </si>
  <si>
    <t>382091201</t>
  </si>
  <si>
    <t>1144756578</t>
  </si>
  <si>
    <t>HEALTHSOUTH REHABILITATION HOSPITAL OF PEARLAND LL-HEALTHSOUTH REHABILITATION OF HOSPITAL OF PEARLAND</t>
  </si>
  <si>
    <t>350658601</t>
  </si>
  <si>
    <t>1710389929</t>
  </si>
  <si>
    <t xml:space="preserve">LAREDO REHABILITATION HOSPITAL LLC-                                                  </t>
  </si>
  <si>
    <t>395486901</t>
  </si>
  <si>
    <t>1346729159</t>
  </si>
  <si>
    <t>BAYLOR SCOTT &amp; WHITE MEDICAL CENTERS - CAPITOL ARE-BAYLOR SCOTT &amp; WHITE MEDICAL CENTER - PFLUGERVILLE</t>
  </si>
  <si>
    <t>220238402</t>
  </si>
  <si>
    <t>1043457583</t>
  </si>
  <si>
    <t xml:space="preserve">MEMORIAL HERMANN REHABILITATION HOSPITAL KATY-                                                  </t>
  </si>
  <si>
    <t>391576104</t>
  </si>
  <si>
    <t>1114435260</t>
  </si>
  <si>
    <t>Rural Private</t>
  </si>
  <si>
    <t>1285699835</t>
  </si>
  <si>
    <t>291429301</t>
  </si>
  <si>
    <t>1801191853</t>
  </si>
  <si>
    <t xml:space="preserve">NEW BRAUNFELS REG REHAB HOSP INC-                                                  </t>
  </si>
  <si>
    <t>133252009</t>
  </si>
  <si>
    <t>1992285282</t>
  </si>
  <si>
    <t>MRSA Central</t>
  </si>
  <si>
    <t>367514201</t>
  </si>
  <si>
    <t>1831550680</t>
  </si>
  <si>
    <t xml:space="preserve">PAM SQUARED AT BEAUMONT, LLC-                                                  </t>
  </si>
  <si>
    <t>388635001</t>
  </si>
  <si>
    <t>1013085083</t>
  </si>
  <si>
    <t>325177904</t>
  </si>
  <si>
    <t>1043552177</t>
  </si>
  <si>
    <t xml:space="preserve">POST ACUTE MEDICAL AT ALLEN LLC-PAM REHABILITATION HOSPITAL OF ALLEN              </t>
  </si>
  <si>
    <t>400811201</t>
  </si>
  <si>
    <t>1346724879</t>
  </si>
  <si>
    <t>212203801</t>
  </si>
  <si>
    <t>1770740359</t>
  </si>
  <si>
    <t xml:space="preserve">REHABILIATION INSTITUTE OF DENTON LLC-SELELCT REHABILITATIOIN HOSPITAL OF DENTON        </t>
  </si>
  <si>
    <t>389645801</t>
  </si>
  <si>
    <t>1174021695</t>
  </si>
  <si>
    <t xml:space="preserve">REHABILITATION HOSPITAL LLC-UT HEALTH EAST TEXAS REHABILITATION HOSPITAL      </t>
  </si>
  <si>
    <t>218868201</t>
  </si>
  <si>
    <t>1922321447</t>
  </si>
  <si>
    <t xml:space="preserve">REHABILITATION HOSPITAL OF MESQUITE LLC-MESQUITE REHABILITATION INSTITUTE                 </t>
  </si>
  <si>
    <t>399761101</t>
  </si>
  <si>
    <t>1790252674</t>
  </si>
  <si>
    <t>173995503</t>
  </si>
  <si>
    <t>1093712697</t>
  </si>
  <si>
    <t xml:space="preserve">SOUTH TEXAS REHABILITATION HOSPITAL LP-                                                  </t>
  </si>
  <si>
    <t>368423501</t>
  </si>
  <si>
    <t>1932573417</t>
  </si>
  <si>
    <t xml:space="preserve">ST JOSEPH HEALTHSOUTH REHABILITATION HOSPITAL LLC-CHI ST JOSEPH REHABILITATION HOSPITAL             </t>
  </si>
  <si>
    <t>Hidalgo</t>
  </si>
  <si>
    <t>391264401</t>
  </si>
  <si>
    <t>1740791748</t>
  </si>
  <si>
    <t>1114493830</t>
  </si>
  <si>
    <t>184505902</t>
  </si>
  <si>
    <t>1316911068</t>
  </si>
  <si>
    <t>TRINITY MOTHER FRANCES REHABILITATION HOSPITAL-CHRISTUS TRINITY MOTHER FRANCES REHABILITATION HOS</t>
  </si>
  <si>
    <t>322878502</t>
  </si>
  <si>
    <t>1417225434</t>
  </si>
  <si>
    <t xml:space="preserve">TRIUMPH REHABILIATION HOSPITAL OF NORTHEAST HOUSTO-KINDRED REHABILITATION HOSPITAL NORTHEAST HOUSTON </t>
  </si>
  <si>
    <t>398846101</t>
  </si>
  <si>
    <t>1619476926</t>
  </si>
  <si>
    <t>Lubbock</t>
  </si>
  <si>
    <t>395270701</t>
  </si>
  <si>
    <t>1427506385</t>
  </si>
  <si>
    <t>334224803</t>
  </si>
  <si>
    <t>1750713012</t>
  </si>
  <si>
    <t xml:space="preserve">VIBRA REHABILITATION HOSPITAL OF AMARILLO LLC-VIBRA REHABILITATION HOSPITAL OF AMARILLO         </t>
  </si>
  <si>
    <t>1740693316</t>
  </si>
  <si>
    <t xml:space="preserve">VIBRA REHABILITATION HOSPITAL OF EL PASO, LLC-HIGHLANDS REHABILITATION HOSPITAL                 </t>
  </si>
  <si>
    <t>386625301</t>
  </si>
  <si>
    <t>1003340639</t>
  </si>
  <si>
    <t>347731701</t>
  </si>
  <si>
    <t>1861818809</t>
  </si>
  <si>
    <t xml:space="preserve">WARM SPRINGS REHABILITATION HOSPITAL OF KYLE LLC-                                                  </t>
  </si>
  <si>
    <t>350452401</t>
  </si>
  <si>
    <t>1073952339</t>
  </si>
  <si>
    <t xml:space="preserve">WARM SPRINGS REHABILITATION HOSPITAL OF VICTORIA L-PAM REHABILITATION HOSPITAL OF VICTORIA           </t>
  </si>
  <si>
    <t>350453201</t>
  </si>
  <si>
    <t>1538551791</t>
  </si>
  <si>
    <t xml:space="preserve">WESLACO REGIONAL REHABILITATION HOSPITAL, LLC-                                                  </t>
  </si>
  <si>
    <t>Rural Public</t>
  </si>
  <si>
    <t>169553801</t>
  </si>
  <si>
    <t>Children's</t>
  </si>
  <si>
    <t>Nueces</t>
  </si>
  <si>
    <t>020943901</t>
  </si>
  <si>
    <t>Jefferson</t>
  </si>
  <si>
    <t>094113001</t>
  </si>
  <si>
    <t>094118902</t>
  </si>
  <si>
    <t>Non-Urban Public</t>
  </si>
  <si>
    <t>Urban Public</t>
  </si>
  <si>
    <t>121775403</t>
  </si>
  <si>
    <t>121789503</t>
  </si>
  <si>
    <t>121816602</t>
  </si>
  <si>
    <t>127295703</t>
  </si>
  <si>
    <t>130601104</t>
  </si>
  <si>
    <t>133245406</t>
  </si>
  <si>
    <t>136326908</t>
  </si>
  <si>
    <t>137226005</t>
  </si>
  <si>
    <t>137245009</t>
  </si>
  <si>
    <t>137962006</t>
  </si>
  <si>
    <t>175289101</t>
  </si>
  <si>
    <t>194997601</t>
  </si>
  <si>
    <t>197976701</t>
  </si>
  <si>
    <t>220351501</t>
  </si>
  <si>
    <t>347495902</t>
  </si>
  <si>
    <t>358006001</t>
  </si>
  <si>
    <t xml:space="preserve">357697701 </t>
  </si>
  <si>
    <t>YOAKUM COMMUNITY HOSPITAL</t>
  </si>
  <si>
    <t>WOODLAND HEIGHTS MEDICAL CENTER</t>
  </si>
  <si>
    <t>WINNIE COMMUNITY HOSPITAL LLC</t>
  </si>
  <si>
    <t>W J MANGOLD MEMORIAL HOSPITAL</t>
  </si>
  <si>
    <t>USMD HOSPITAL AT FORT WORTH LP</t>
  </si>
  <si>
    <t>198248001</t>
  </si>
  <si>
    <t>1568656502</t>
  </si>
  <si>
    <t>USMD HOSPITAL AT ARLINGTON LP</t>
  </si>
  <si>
    <t>094212002</t>
  </si>
  <si>
    <t>1538117452</t>
  </si>
  <si>
    <t>State-owned</t>
  </si>
  <si>
    <t>1417010653</t>
  </si>
  <si>
    <t>094092602</t>
  </si>
  <si>
    <t>1548226988</t>
  </si>
  <si>
    <t>127278304</t>
  </si>
  <si>
    <t>1417941295</t>
  </si>
  <si>
    <t>UNIVERSITY MEDICAL CENTER</t>
  </si>
  <si>
    <t>UNITED REGIONAL HEALTHCARE</t>
  </si>
  <si>
    <t>1851390967</t>
  </si>
  <si>
    <t>TYLER COUNTY HOSPITAL</t>
  </si>
  <si>
    <t>THE METHODIST HOSPITAL</t>
  </si>
  <si>
    <t>TEXAS SPINE AND JOINT HOSPITAL LTD</t>
  </si>
  <si>
    <t>Childrens</t>
  </si>
  <si>
    <t>TEXAS HEALTH HARRIS METHODIST HOSPITAL HURST EULES</t>
  </si>
  <si>
    <t>1104845015</t>
  </si>
  <si>
    <t>371495801</t>
  </si>
  <si>
    <t>1720474919</t>
  </si>
  <si>
    <t>TEXAS CHILDRENS HOSPITAL</t>
  </si>
  <si>
    <t>1700801909</t>
  </si>
  <si>
    <t>SWEENY COMMUNITY HOSPITAL</t>
  </si>
  <si>
    <t>STEPHENS MEMORIAL HOSPITAL</t>
  </si>
  <si>
    <t>337991901</t>
  </si>
  <si>
    <t>1285065623</t>
  </si>
  <si>
    <t>STARR COUNTY MEMORIAL HOSPITAL</t>
  </si>
  <si>
    <t>126842708</t>
  </si>
  <si>
    <t>1649224825</t>
  </si>
  <si>
    <t>ST MARKS MEDICAL CENTER</t>
  </si>
  <si>
    <t>ST LUKES HOSPITAL AT THE VINTAGE</t>
  </si>
  <si>
    <t>339153401</t>
  </si>
  <si>
    <t>1710314141</t>
  </si>
  <si>
    <t>SOUTH TEXAS HEALTH SYSTEM</t>
  </si>
  <si>
    <t>1770573586</t>
  </si>
  <si>
    <t>181706601</t>
  </si>
  <si>
    <t>1154361475</t>
  </si>
  <si>
    <t>1215969787</t>
  </si>
  <si>
    <t>1013957836</t>
  </si>
  <si>
    <t>SHANNON MEDICAL CENTER</t>
  </si>
  <si>
    <t>1992707228</t>
  </si>
  <si>
    <t>SHAMROCK GENERAL HOSPITAL</t>
  </si>
  <si>
    <t>286326801</t>
  </si>
  <si>
    <t>1154612638</t>
  </si>
  <si>
    <t>SCENIC MOUNTAIN MEDICAL CENTER</t>
  </si>
  <si>
    <t>SAN ANGELO COMMUNITY MEDICAL CENTER</t>
  </si>
  <si>
    <t>SAINT JOSEPH REGIONAL HEALTH CENTER</t>
  </si>
  <si>
    <t>ROLLING PLAINS MEMORIAL HOSPITAL</t>
  </si>
  <si>
    <t>183086102</t>
  </si>
  <si>
    <t>1306933692</t>
  </si>
  <si>
    <t>REFUGIO COUNTY MEMORIAL HOSPITAL DISTRICT</t>
  </si>
  <si>
    <t>REEVES COUNTY HOSPITAL DISTRICT</t>
  </si>
  <si>
    <t>PROVIDENCE HOSPITAL OF NORTH HOUSTON LLC</t>
  </si>
  <si>
    <t>370663201</t>
  </si>
  <si>
    <t>1467836841</t>
  </si>
  <si>
    <t>PROMISE HOSPITAL OF WICHITA FALLS INC</t>
  </si>
  <si>
    <t>339884401</t>
  </si>
  <si>
    <t>1346671849</t>
  </si>
  <si>
    <t>PECOS COUNTY MEMORIAL HOSPITAL</t>
  </si>
  <si>
    <t>PARMER COUNTY COMMUNITY HOSPITAL</t>
  </si>
  <si>
    <t>PARKVIEW REGIONAL HOSPITAL</t>
  </si>
  <si>
    <t>PARKLAND MEMORIAL HOSPITAL</t>
  </si>
  <si>
    <t>1932123247</t>
  </si>
  <si>
    <t>PALO PINTO GENERAL HOSPITAL</t>
  </si>
  <si>
    <t>1164510673</t>
  </si>
  <si>
    <t>PALACIOS COMMUNITY MEDICAL CENTER</t>
  </si>
  <si>
    <t>OCHILTREE GENERAL HOSPITAL</t>
  </si>
  <si>
    <t>1467442418</t>
  </si>
  <si>
    <t>1750819025</t>
  </si>
  <si>
    <t>NIX HOSPITALS SYSTEM LLC</t>
  </si>
  <si>
    <t>297342201</t>
  </si>
  <si>
    <t>1801168190</t>
  </si>
  <si>
    <t>NEW LIFECARE HOSPITALS OF NORTH TEXAS LLC</t>
  </si>
  <si>
    <t>331172201</t>
  </si>
  <si>
    <t>1023451077</t>
  </si>
  <si>
    <t>NAVARRO REGIONAL HOSPITAL</t>
  </si>
  <si>
    <t>NACOGDOCHES MEDICAL CENTER</t>
  </si>
  <si>
    <t>MOTHER FRANCES HOSPITAL WINNSBORO</t>
  </si>
  <si>
    <t>MOTHER FRANCES HOSPITAL JACKSONVILLE</t>
  </si>
  <si>
    <t>METHODIST HOSPITAL</t>
  </si>
  <si>
    <t>MEMORIAL MEDICAL CENTER SAN AUGUSTINE</t>
  </si>
  <si>
    <t>MEMORIAL MEDICAL CENTER</t>
  </si>
  <si>
    <t>MEMORIAL HERMANN SPECIALTY HOSPITAL KINGWOOD LLC</t>
  </si>
  <si>
    <t>337433201</t>
  </si>
  <si>
    <t>1710985098</t>
  </si>
  <si>
    <t>MCCAMEY HOSPITAL</t>
  </si>
  <si>
    <t>MARTIN COUNTY HOSPITAL DISTRICT</t>
  </si>
  <si>
    <t>MADISON ST JOSEPH HEALTH CENTER</t>
  </si>
  <si>
    <t>LITTLE RIVER HEALTHCARE CAMERON HOSPITAL</t>
  </si>
  <si>
    <t>342027501</t>
  </si>
  <si>
    <t>1619303641</t>
  </si>
  <si>
    <t>LIMESTONE MEDICAL CENTER</t>
  </si>
  <si>
    <t>LAREDO MEDICAL CENTER</t>
  </si>
  <si>
    <t>LAMB HEALTHCARE CENTER</t>
  </si>
  <si>
    <t>LAKE GRANBURY MEDICAL CENTER</t>
  </si>
  <si>
    <t>KNAPP MEDICAL CENTER</t>
  </si>
  <si>
    <t>HENDRICK MEDICAL CENTER</t>
  </si>
  <si>
    <t>HEMPHILL COUNTY HOSPITAL</t>
  </si>
  <si>
    <t>HEALTHSOUTH REHABILITATION HOSPITAL OF ROUND ROCK</t>
  </si>
  <si>
    <t>HEALTHSOUTH REHABILITATION HOSPITAL OF RICHARDSON</t>
  </si>
  <si>
    <t>HEALTHSOUTH REHABILIATION HOSPITAL OF ARLINGTON</t>
  </si>
  <si>
    <t>HARRIS COUNTY HOSPITAL DISTRICT</t>
  </si>
  <si>
    <t>HARDEMAN COUNTY MEMORIAL HOSPITAL</t>
  </si>
  <si>
    <t>094131202</t>
  </si>
  <si>
    <t>1396739710</t>
  </si>
  <si>
    <t>HAMILTON HOSPITAL</t>
  </si>
  <si>
    <t>GRIMES ST JOSEPH HEALTH CENTER</t>
  </si>
  <si>
    <t>1962455832</t>
  </si>
  <si>
    <t>094095902</t>
  </si>
  <si>
    <t>1689663007</t>
  </si>
  <si>
    <t>FIRST TEXAS HOSPITAL CARROLLTON LLC</t>
  </si>
  <si>
    <t>354160901</t>
  </si>
  <si>
    <t>1336533595</t>
  </si>
  <si>
    <t>FALLS COMMUNITY HOSPITAL AND CLINIC</t>
  </si>
  <si>
    <t>148322401</t>
  </si>
  <si>
    <t>1366427130</t>
  </si>
  <si>
    <t>EL CAMPO MEMORIAL HOSPITAL</t>
  </si>
  <si>
    <t>DRISCOLL CHILDRENS HOSPITAL</t>
  </si>
  <si>
    <t>1851343909</t>
  </si>
  <si>
    <t>CUERO COMMUNITY HOSPITAL</t>
  </si>
  <si>
    <t>CROSBYTON CLINIC HOSPITAL</t>
  </si>
  <si>
    <t>1518348747</t>
  </si>
  <si>
    <t>CORYELL COUNTY MEMORIAL HOSPITAL AUTHORITY</t>
  </si>
  <si>
    <t>CORPUS CHRISTI REHABILITATION HOSPITAL LLC</t>
  </si>
  <si>
    <t>CORNERSTONE REGIONAL HOSPITAL</t>
  </si>
  <si>
    <t>COON MEMORIAL HOSPITAL</t>
  </si>
  <si>
    <t>CONCHO COUNTY HOSPITAL</t>
  </si>
  <si>
    <t>281406304</t>
  </si>
  <si>
    <t>1346544616</t>
  </si>
  <si>
    <t>COLLEGE STATION MEDICAL CENTER</t>
  </si>
  <si>
    <t>020860501</t>
  </si>
  <si>
    <t>1467403477</t>
  </si>
  <si>
    <t>CLAY COUNTY MEMORIAL HOSPITAL</t>
  </si>
  <si>
    <t>1689641680</t>
  </si>
  <si>
    <t>CEDAR PARK REGIONAL MEDICAL CENTER</t>
  </si>
  <si>
    <t>BROWNWOOD REGIONAL MEDICAL CENTER</t>
  </si>
  <si>
    <t>BIG BEND REGIONAL MEDICAL CENTER</t>
  </si>
  <si>
    <t>BAYLOR UNIVERSITY MEDICAL CENTER</t>
  </si>
  <si>
    <t>BAYLOR MEDICAL CENTER AT WAXAHACHIE</t>
  </si>
  <si>
    <t>BAYLOR HEART AND VASCULAR CENTER</t>
  </si>
  <si>
    <t>BALLINGER MEMORIAL HOSPITAL</t>
  </si>
  <si>
    <t>ASPIRE HOSPITAL LLC</t>
  </si>
  <si>
    <t>ARISE HEALTHCARE SYSTEM LLC</t>
  </si>
  <si>
    <t>334284201</t>
  </si>
  <si>
    <t>1295173664</t>
  </si>
  <si>
    <t>ANDREWS COUNTY HOSPITAL DISTRICT</t>
  </si>
  <si>
    <t>1821009242</t>
  </si>
  <si>
    <t>ABILENE REGIONAL MEDICAL CENTER</t>
  </si>
  <si>
    <t>ASPIRE HOSPITAL, LLC</t>
  </si>
  <si>
    <t>1144566316</t>
  </si>
  <si>
    <t>325449201</t>
  </si>
  <si>
    <t>1548269590</t>
  </si>
  <si>
    <t>154632701</t>
  </si>
  <si>
    <t>CHILLICOTHE HOSPITAL DISTRICT</t>
  </si>
  <si>
    <t>COCHRAN MEMORIAL HOSPITAL</t>
  </si>
  <si>
    <t>DALLAS MEDICAL CENTER</t>
  </si>
  <si>
    <t>1952732653</t>
  </si>
  <si>
    <t>343799801</t>
  </si>
  <si>
    <t>ELECTRA MEMORIAL HOSPITAL</t>
  </si>
  <si>
    <t>HASKELL MEMORIAL HOSPITAL</t>
  </si>
  <si>
    <t>HOUSTON HOSPITAL FOR SPECIALIZED SURGERY</t>
  </si>
  <si>
    <t>HUNT REGIONAL MEDICAL CENTER</t>
  </si>
  <si>
    <t>LAVACA MEDICAL CENTER</t>
  </si>
  <si>
    <t>METHODIST MCKINNEY HOSPITAL LLC</t>
  </si>
  <si>
    <t>MUENSTER MEMORIAL HOSPITAL</t>
  </si>
  <si>
    <t>NORTH CENTRAL SURGICAL CENTER LLP</t>
  </si>
  <si>
    <t>1659374585</t>
  </si>
  <si>
    <t>343467201</t>
  </si>
  <si>
    <t>PINE CREEK MEDICAL CENTER, LLC</t>
  </si>
  <si>
    <t>1881697316</t>
  </si>
  <si>
    <t>121806703</t>
  </si>
  <si>
    <t>SHRINERS HOSPITAL FOR CHILDREN-</t>
  </si>
  <si>
    <t>TROPHY CLUB MEDICAL CENTER LP</t>
  </si>
  <si>
    <t>VAL VERDE REGIONAL MEDICAL CENTER</t>
  </si>
  <si>
    <t>VHS HARLINGEN HOSPITAL COMPANY LLC-</t>
  </si>
  <si>
    <t>378081901</t>
  </si>
  <si>
    <t>1669821161</t>
  </si>
  <si>
    <t>211454803</t>
  </si>
  <si>
    <t>1548495740</t>
  </si>
  <si>
    <t>338014903</t>
  </si>
  <si>
    <t>1568885549</t>
  </si>
  <si>
    <t>Master NPI</t>
  </si>
  <si>
    <t>SAINT JOSEPH MEDICAL CENTER</t>
  </si>
  <si>
    <t>TIRR MEMORIAL HERMANN</t>
  </si>
  <si>
    <t>SAINT LUKE'S AT VINTAGE</t>
  </si>
  <si>
    <t>PROVIDENCE HOSPITAL OF NORTH HOUSTON</t>
  </si>
  <si>
    <t>COMANCHE COUNTY MEDICAL CENTER COMPANY-COMANCHE COUNTY MEDICAL CENTER</t>
  </si>
  <si>
    <t>CHRISTUS CONTINUING CARE</t>
  </si>
  <si>
    <t>REAGAN HOSPITAL DISTRICT-REAGAN MEMORIAL HOSPITAL</t>
  </si>
  <si>
    <t>SETON FAMILY OF HOSPITALS-SETON SMITHVILLE REGIONAL HOSPITAL</t>
  </si>
  <si>
    <t>ROCK PRAIRIE BEHAVIORAL HEALTH</t>
  </si>
  <si>
    <t>SCOTT AND WHITE HOSPITAL TAYLOR-BAYLOR SCOTT AND WHITE MEDICAL CENTER TAYLOR</t>
  </si>
  <si>
    <t>SCOTT &amp; WHITE HOSPITAL-MARBLE FALLS-BAYLOR SCOTT &amp; WHITE MEDICAL CENTER-MARBLE FALLS</t>
  </si>
  <si>
    <t>SETON FAMILY OF HOSPITALS-ASCENSION SETON EDGAR B DAVIS</t>
  </si>
  <si>
    <t>POST ACUTE MEDICAL AT LULING LLC-WARM SPRINGS SPECIALTY HOSPITAL OF LULING LLC</t>
  </si>
  <si>
    <t>SETON FAMILY OF HOSPITALS-SETON HIGHLAND LAKES</t>
  </si>
  <si>
    <t>CHG HOSPITAL AUSTIN LLC-CORNERSTONE SPECIALTY HOSPITALS AUSTIN</t>
  </si>
  <si>
    <t>WARM SPRINGS REHABILITATION HOSPITAL OF KYLE LLC-</t>
  </si>
  <si>
    <t>ADVENTIST HEALTH SYSTEM SUNBELT INC-CENTRAL TEXASMEDICAL CENTER</t>
  </si>
  <si>
    <t>NEURO INSTITUTE OF AUSTIN LP-TEXAS NEUROREHAB CENTER</t>
  </si>
  <si>
    <t>SETON FAMILY OF HOSPITALS-SETON SOUTHWEST HOSPITAL</t>
  </si>
  <si>
    <t>ST DAVIDS COMMUNITY HOSPITAL-ST DAVIDS MEDICAL CENTER</t>
  </si>
  <si>
    <t>ST DAVIDS HEALTHCARE PARTNERSHIP LP LLP-SOUTH AUSTIN HOSPITAL</t>
  </si>
  <si>
    <t>ST DAVIDS HEALTHCARE PARTNERSHIP LP LLP-ROUND ROCK MEDICAL CENTER</t>
  </si>
  <si>
    <t>ST DAVID'S HEALTHCARE PARTNERSHIP LP LLP-ST DAVID'S NORTH AUSTIN MEDICAL CENTER</t>
  </si>
  <si>
    <t>SETON FAMILY OF HOSPITALS-SETON MEDICAL CENTER HAYS</t>
  </si>
  <si>
    <t>CENTRAL TEXAS REHABILITATION HOSPITAL LLC-CENTRAL TEXAS REHABILITATION HOSPITAL</t>
  </si>
  <si>
    <t>SETON FAMILY OF HOSPITALS-SETON MEDICAL CENTER WILLIAMSON</t>
  </si>
  <si>
    <t>HEALTHSOUTH REHABILITATION HOSPITAL OF AUSTIN</t>
  </si>
  <si>
    <t>094345801</t>
  </si>
  <si>
    <t>1568435279</t>
  </si>
  <si>
    <t>HEALTHSOUTH REHAB HOSPITAL OF SOUTH AUSTIN LLC-HEALTHSOUTH REHABILITATION HOSPITAL OF AUSTIN</t>
  </si>
  <si>
    <t>PAM REHABILITATION HOSPITAL OF ROUND ROCK LLC-PAM REHABILITATION HOSPITAL OF ROUND ROCK</t>
  </si>
  <si>
    <t>SCOTT AND WHITE HOSPITAL ROUND ROCK-BAYLOR SCOTT &amp; WHITE MEDICAL CENTER - ROUND ROCK</t>
  </si>
  <si>
    <t>AUSTIN CENTER FOR OUTPATIENT SURGERY LP-NORTHWEST HILLS SURGICAL HOSPITAL</t>
  </si>
  <si>
    <t>VIBRA REHABILITATION HOSPITAL OF LAKE TRAVIS</t>
  </si>
  <si>
    <t>1194137364</t>
  </si>
  <si>
    <t>SETON FAMILY OF HOSPITALS-SETON MEDICAL CENTER AUSTIN</t>
  </si>
  <si>
    <t>ESWCT CEDAR PARK, LLC-BAYLOR SCOTT &amp; WHITE EMERGENCY MEDICAL CTR AT CEDA</t>
  </si>
  <si>
    <t>SETON FAMILY OF HOSPITALS-ASCENSION SETON NORTHWEST</t>
  </si>
  <si>
    <t>THE HOSPITAL AT WESTLAKE MEDICAL CENTER</t>
  </si>
  <si>
    <t>HORIZON HEALTH AUSTIN INC-AUSTIN LAKES HOSPITAL</t>
  </si>
  <si>
    <t>Institution for Mental Disease</t>
  </si>
  <si>
    <t>TEXAS OAKS PSYCHIATRIC HOSPITAL LP-AUSTIN OAKS HOSPITAL</t>
  </si>
  <si>
    <t>SETON SHOAL CREEK HOSPITAL</t>
  </si>
  <si>
    <t>BRENTWOOD ACQUISITION SHREVEPORT INC-UNIVERSAL HEALTH SERVICES INC</t>
  </si>
  <si>
    <t>1417979204</t>
  </si>
  <si>
    <t>GEORGETOWN BEHAVIORAL HEALTH INSTITUTE, LLC-GEORGETOWN BEHAVIORAL HEALTH INSTITUTE LLC</t>
  </si>
  <si>
    <t>ROCK SPRINGS, LLC-</t>
  </si>
  <si>
    <t>SRP OCEANS HOSPITAL OF SAN MARCOS LLC-WELLBRIDGE HEALTHCARE OF SAN MARCOS</t>
  </si>
  <si>
    <t>AUSTIN BEHAVIORAL HOSPITAL LLC-CROSS CREEK HOSPITAL</t>
  </si>
  <si>
    <t>HILL COUNTRY COUNSELING-HILL COUNTRY CONSELING</t>
  </si>
  <si>
    <t>SETON HEALTHCARE-DELL CHILDRENS MEDICAL CENTER</t>
  </si>
  <si>
    <t>TARRANT COUNTY HOSPITAL DISTRICT-JPS HEALTH NETWORK</t>
  </si>
  <si>
    <t>DECATUR HOSPITAL AUTHORITY-WISE HEALTH SYSTEM</t>
  </si>
  <si>
    <t>Decatur Hospital Authority</t>
  </si>
  <si>
    <t>1123076401</t>
  </si>
  <si>
    <t>Texas Rehabilitation Hospital of Arlington</t>
  </si>
  <si>
    <t>1962809541</t>
  </si>
  <si>
    <t>BAYLOR MEDICAL CENTER AT CARROLLTON-BAYLOR SCOTT &amp; WHITE MEDICAL CENTER -CARROLLTON</t>
  </si>
  <si>
    <t>KINDRED HOSPITALS LIMITED PARTNERSHIP-KINDRED HOSPITAL - MANSFIELD</t>
  </si>
  <si>
    <t>FLOWER MOUND HOSPITAL PARTNERS LLC-TEXAS HEALTH PRESBYTERIAN HOSPITAL FLOWER MOUND</t>
  </si>
  <si>
    <t>NORTH TEXAS - MCA, LLC-MEDICAL CENTER OF ALLIANCE</t>
  </si>
  <si>
    <t>FT WORTH SURGICARE PARTNERS, LTD-BAYLOR SURGICAL HOSPITAL AT FT WORTH</t>
  </si>
  <si>
    <t>REHABILIATION INSTITUTE OF DENTON LLC-SELELCT REHABILITATIOIN HOSPITAL OF DENTON</t>
  </si>
  <si>
    <t>TEXAS HEALTH SPECIALTY HOSPITAL FORT WORTH-</t>
  </si>
  <si>
    <t>TEXAS GENERAL HOSPITAL VZRMC LP</t>
  </si>
  <si>
    <t>METHODIST HOSPITAL OF DALLAS-METHODIST MANSFIELD MEDICAL CENTER</t>
  </si>
  <si>
    <t>EBD BEMC BURLESON, LLC-BAYLOR SCOTT AND WHITE EMERGENCY HOSPITAL</t>
  </si>
  <si>
    <t>COLUMBIA PLAZA MED CTR OF FT WORTH SUBSIDIARY LP-PLAZA MEDICAL CENTER OF FORT WORTH</t>
  </si>
  <si>
    <t>SOUTHLAKE SPECIALTY HOSPITAL LLC-TEXAS HEALTH HARRIS METHODIST HOSPITAL SOUTHLAKE</t>
  </si>
  <si>
    <t>KINDRED HOSPITALS LIMITED PARTNERSHIP-KINDRED HOSPITAL-FORT WORTH</t>
  </si>
  <si>
    <t>WEATHERFORD REHABILITATION HOSPITAL LLC</t>
  </si>
  <si>
    <t>1558758490</t>
  </si>
  <si>
    <t>COLUMBIA NORTH HILLS HOSPITAL-COLUMBIA NORTH HILLS HOSPITA</t>
  </si>
  <si>
    <t>TEXAS HEALTH HARRIS METHODIST HOSPITAL AZLE-</t>
  </si>
  <si>
    <t>HEALTHSOUTH REHAB HOSPITAL OF THE MID-CITIES LLC-RELIANT REHABILITATION HOSPITAL MID CITIES</t>
  </si>
  <si>
    <t>TEXAS HEALTH HARRIS METHODIST HOSPITAL SOUTHWEST F-</t>
  </si>
  <si>
    <t>WEATHERFORD HEALTH SERVICES, LLC-</t>
  </si>
  <si>
    <t>AMH CATH LABS, LLC-TEXAS HEALTH HEART &amp; VASCULAR HOSPITAL ARLINGTON</t>
  </si>
  <si>
    <t>GLOBALREHAB FORT WORTH, LP-</t>
  </si>
  <si>
    <t>TEXAS HEALTH HARRIS METHODIST HOSPITAL CLEBURNE-</t>
  </si>
  <si>
    <t>TEXAS HEALTH HARRIS METHODIST HOSPITAL FORT WORTH-</t>
  </si>
  <si>
    <t>COLUMBIA MEDICAL CENTER OF DENTON SUBSIDIARY LP-DENTON REGIONAL MEDICAL CENTER</t>
  </si>
  <si>
    <t>MEDICAL CENTER OF LEWISVILLE SUBSIDIARY LP-MEDICAL CENTER OF LEWISVILLE</t>
  </si>
  <si>
    <t>CORINTH INVESTOR HOLDINGS LLC-</t>
  </si>
  <si>
    <t>TEXAS HEALTH HARRIS METHODIST HOSPITAL ALLIANCE-</t>
  </si>
  <si>
    <t>THHBP MANAGEMENT COMPANY LLC-BAYLOR SCOTT AND WHITE THE HEART HOSPITAL DENTON</t>
  </si>
  <si>
    <t>TRANSITIONAL HOSPITALS CORPORATION OF TEXAS LLC-KINDRED HOSPITAL - TARRANT COUNTY</t>
  </si>
  <si>
    <t>1174692156</t>
  </si>
  <si>
    <t>TEXAS HEALTH ARLINGTON MEMORIAL HOSPITAL-</t>
  </si>
  <si>
    <t>COLUMBIA MEDICAL CENTER OF ARLINGTON SUBSIDIARY LP-MEDICAL CENTER OF ARLINGTON</t>
  </si>
  <si>
    <t>BAYLOR MED CTR AT GRAPEVINE-BAYLOR SCOTT AND WHITE MEDICAL CENTER-GRAPEVINE</t>
  </si>
  <si>
    <t>TEXAS HEALTH HUGULEY INC-TEXAS HEALTH HUGULEY FORT WORTH SOUTH</t>
  </si>
  <si>
    <t>TEXAS HEALTH PRESBYTERIAN HOSPITAL DENTON-</t>
  </si>
  <si>
    <t>UHP LP</t>
  </si>
  <si>
    <t>HAVEN BEHAVIORAL SERVICES OF FRISCO LLC-HAVEN BEHAVIORAL HOSPITAL OF FRISCO</t>
  </si>
  <si>
    <t>SRP OCEANS HOSPITAL OF FORTWORTH LLC-WELLBRIDGE HEALTHCARE OF FORT WORTH</t>
  </si>
  <si>
    <t>MESA SPRINGS, LLC-</t>
  </si>
  <si>
    <t>MAYHILL BEHAVIORAL HEALTH LLC-</t>
  </si>
  <si>
    <t>1316242910</t>
  </si>
  <si>
    <t>CARROLLTON SPRINGS LLC</t>
  </si>
  <si>
    <t>MILLWOOD HOSPITAL</t>
  </si>
  <si>
    <t>COOK CHILDREN'S MEDICAL CENTER-</t>
  </si>
  <si>
    <t>CHRISTUS SPOHN HEALTH SYSTEM CORPORATION-CHRISTUS SPOHN HOSPITAL CORPUS CHRISTI</t>
  </si>
  <si>
    <t>KARNES COUNTY HOSPITAL DISTRICT-OTTO KAISER MEMORIAL HOSPITAL</t>
  </si>
  <si>
    <t>CHRISTUS SPOHN HEALTH SYSTEM CORPORATION-CHRISTUS SPOHN HOSPITAL BEEVILLE</t>
  </si>
  <si>
    <t>CHRISTUS SPOHN HEALTH SYSTEM CORPORATION-CHRISTUS SPOHN HOSPITAL KLEBERG</t>
  </si>
  <si>
    <t>CHRISTUS SPOHN HEALTH SYSTEM CORPORATION-</t>
  </si>
  <si>
    <t>Dubuis Hospital of Corpus Christi</t>
  </si>
  <si>
    <t>1982792552</t>
  </si>
  <si>
    <t>DETAR HOSPITAL-DETAR HOSPITAL NAVARRO</t>
  </si>
  <si>
    <t>POST ACUTE MEDICAL AT VICTORIA LLC-PAM SPECIALTY HOSPITAL OF VICTORIA NORTH</t>
  </si>
  <si>
    <t>BAY AREA HEALTHCARE GROUP, LTD-CORPUS CHRISTI MEDICAL CENTER</t>
  </si>
  <si>
    <t>POST ACUTE SPECIALTY HOSPITAL OF VICTORIA LLC-PAM SPECIALTY HOSPITAL OF VICTORIA SOUTH</t>
  </si>
  <si>
    <t>POST ACUTE SPECIALTY HOSPITAL OF CORPUS CHRISTI LL</t>
  </si>
  <si>
    <t>329971101</t>
  </si>
  <si>
    <t>1366874620</t>
  </si>
  <si>
    <t>WARM SPRINGS REHABILITATION HOSPITAL OF VICTORIA L-PAM REHABILITATION HOSPITAL OF VICTORIA</t>
  </si>
  <si>
    <t>CBSH,LLC-</t>
  </si>
  <si>
    <t>POST ACUTE MEDICAL REHABILITATION HOSPITAL OF CORP-PAM REHABILITATION HOSPITAL OF CORPUS CHRISTI</t>
  </si>
  <si>
    <t>CITIZENS MEDICAL CENTER COUNTY OF VICTORIA-CITIZENS MEDICAL CENTER</t>
  </si>
  <si>
    <t>ECTOR COUNTY HOSPITAL DISTRICT-MEDICAL CENTER HOSPITAL</t>
  </si>
  <si>
    <t>HANSFORD COUNTY HOSPITAL DISTRICT-HANSFORD COUNTY HOSPITAL</t>
  </si>
  <si>
    <t>GRAHAM HOSPITAL DISTRICT-</t>
  </si>
  <si>
    <t>ELECTRA HOSPITAL DISTRICT-ELECTRA MEMORIAL HOSPITAL</t>
  </si>
  <si>
    <t>LILLIAN M HUDSPETH MEMORIAL ER PHYS-LILLIAN M HUDSPETH MEMORIAL HOSPITAL</t>
  </si>
  <si>
    <t>MEMORIAL HOSPITAL</t>
  </si>
  <si>
    <t>JACK COUNTY HOSPITAL DISTRICT-FAITH COMMUNITY HOSPITAL</t>
  </si>
  <si>
    <t>COUNTY OF YOAKUM-YOAKUM COUNTY HOSPITAL</t>
  </si>
  <si>
    <t>PECOS COUNTY MEMORIAL HOSPITAL-</t>
  </si>
  <si>
    <t>UVALDE COUNTY HOSPITAL AUTHORITY-UVALDE MEMORIAL HOSPITAL</t>
  </si>
  <si>
    <t>WINKLER COUNTY HOSPITAL DISTRICT-WINKLER COUNTY MEMORIAL HOSPITAL</t>
  </si>
  <si>
    <t>COUNTY OF WARD-WARD MEMORIAL HOSPITAL</t>
  </si>
  <si>
    <t>MOORE COUNTY HOSPITAL-</t>
  </si>
  <si>
    <t>EASTLAND MEMORIAL HOSPITAL DISTRICT-EASTLAND MEMORIAL HOSPITAL</t>
  </si>
  <si>
    <t>FISHER COUNTY HOSPITAL-FISHER COUNTY HOSPITAL DISTRICT</t>
  </si>
  <si>
    <t>SCURRY COUNTY HOSPITAL DISTRICT-D.M. COGDELL MEMORIAL HOSPITAL</t>
  </si>
  <si>
    <t>KNOX COUNTY HOSPITAL DISTRICT-KNOX COUNTY HOSPITAL</t>
  </si>
  <si>
    <t>ANSON HOSPITAL DISTRICT-</t>
  </si>
  <si>
    <t>NORTH WHEELER COUNTY HOSTPIAL DISTRICT-PARKVIEW HOSPITAL</t>
  </si>
  <si>
    <t>HAMLIN HOSPITAL DISTRICT-HAMLIN MEMORIAL HOSPITAL</t>
  </si>
  <si>
    <t>THROCKMORTON COUNTY MEMORIAL HOSPITAL-</t>
  </si>
  <si>
    <t>CHILDRESS COUNTY HOSPITAL DISTRICT-CHILDRESS REGIONAL MEDICAL CENTER</t>
  </si>
  <si>
    <t>WILBARGER COUNTY HOSPITAL DISTRICT-WILBARGER GENERAL HOSPITAL</t>
  </si>
  <si>
    <t>CRANE COUNTY HOSPITAL DISTRICT-CRANE MEMORIAL HOSPITAL</t>
  </si>
  <si>
    <t>RANKIN COUNTY HOSPITAL DISTRICT</t>
  </si>
  <si>
    <t>NORTH RUNNELS COUNTY HOSPITAL-</t>
  </si>
  <si>
    <t>BAYLOR COUNTY HOSPITAL DISTRICT-SEYMOUR HOSPITAL</t>
  </si>
  <si>
    <t>MITCHELL COUNTY HOSPITAL DISTRICT-MITCHELL COUNTY HOSPITAL</t>
  </si>
  <si>
    <t>DAWSON COUNTY HOSPITAL DISTRICT-MEDICAL ARTS HOSPITAL</t>
  </si>
  <si>
    <t>VAL VERDE HOSPITAL CORPORATION-VAL VERDE REGIONAL MEDICAL CENTER</t>
  </si>
  <si>
    <t>GENERAL HOSPITAL-IRAAN GENERAL HOSPITAL</t>
  </si>
  <si>
    <t>STONEWALL MEMORIAL HOSPITAL DISTRICT-STONEWALL MEMORIAL HOSPITAL</t>
  </si>
  <si>
    <t>CASTRO COUNTY HOSPITAL DISTRICT-PLAINS MEMORIAL HOSPITAL</t>
  </si>
  <si>
    <t>SID PETERSON MEMORIAL HOSPITAL-PETERSON REGIONAL MEDICAL CENTER</t>
  </si>
  <si>
    <t>Jones County Regional Healthcare System</t>
  </si>
  <si>
    <t>PREFERRED HOSPITAL LEASING MULESHOE INC-MULESHOE AREA MEDICAL CENTER</t>
  </si>
  <si>
    <t>HEART OF TEXAS HEALTHCARE SYSTEM-</t>
  </si>
  <si>
    <t>PREFERRED HOSPITAL LEASING INC-COLLINGSWORTH GENERAL HOSPITAL</t>
  </si>
  <si>
    <t>FRIO HOSPITAL-FRIO REGIONAL SWING BED</t>
  </si>
  <si>
    <t>PREFERRED HOSPITAL LEASING COLEMAN INC-COLEMAN COUNTY MEDICAL CENTER COMPANY</t>
  </si>
  <si>
    <t>PRIME HEALTHCARE SERVICES PAMPA LLC-PAMPA REGIONAL MEDICAL CENTER</t>
  </si>
  <si>
    <t>DIMMIT REGIONAL HOSPITAL-</t>
  </si>
  <si>
    <t>PREFERRED HOSPITAL LEASING ELDORADO INC-SCHLEICHER COUNTY MEDICAL CENTER</t>
  </si>
  <si>
    <t>1285191452</t>
  </si>
  <si>
    <t>PREFERRED HOSPITAL LEASING JUNCTION INC-KIMBLE HOSPITAL</t>
  </si>
  <si>
    <t>PREFERRED HOSPITAL LEASING VAN HORN INC-CULBERSON HOSPITAL</t>
  </si>
  <si>
    <t>CONTINUECARE HOSPITAL AT HENDRICK MEDICAL CENTER-CONTINUE CARE HOSPITAL AT HENDRICK MEDICAL CENTER</t>
  </si>
  <si>
    <t>HEALTHSOUTH REHABILITATION-ENCOMPASS HEALTH REHABILITATION HOSPITAL OF MIDLA</t>
  </si>
  <si>
    <t>ODESSA REGIONAL HOSPITAL LP-ODESSA REGIONAL MEDICAL CENTER</t>
  </si>
  <si>
    <t>KPC PROMISE HOSPITAL OF WICHITA FALLS, LLC-KPC PROMISE HOSPITAL OF WICHITA FALLS</t>
  </si>
  <si>
    <t>KELL WEST REGIONAL HOSPITAL LLC-KELL WEST REGIONAL HOSPITAL</t>
  </si>
  <si>
    <t>HEALTHSOUTH REHABILITATION HOSPITAL OF ABILENE LLC-HEALTHSOUTH REHABILITATION HOSPITAL OF ABILENE</t>
  </si>
  <si>
    <t>CONTINUECARE HOSPITAL OF MIDLAND INC-</t>
  </si>
  <si>
    <t>HealthSouth Rehabilitation Hospital of Midland</t>
  </si>
  <si>
    <t>1033152004</t>
  </si>
  <si>
    <t>MIDLAND COUNTY HOSPITAL DISTRCT-MIDLAND MEMORIAL HOSPITAL</t>
  </si>
  <si>
    <t>WILBARGER COUNTY HOSPITAL DISTRICT-</t>
  </si>
  <si>
    <t>1962658302</t>
  </si>
  <si>
    <t>OCEANS BEHAVIORAL HOSPITAL OF ABILENE LLC-</t>
  </si>
  <si>
    <t>RIVER CREST HOSPITAL</t>
  </si>
  <si>
    <t>RED RIVER HOSPITAL LLC-RED RIVER HOSPITAL</t>
  </si>
  <si>
    <t>BEHAVIORAL HEALTH CENTER OF THE PERMIAN BASIN LLC-OCEANS BEHAVIORAL HOSPITAL OF PERMIAN BASIN</t>
  </si>
  <si>
    <t>UNIVERSITY OF TEXAS HEALTH SCIENCE CENTER AT TYLER-UT HEALTH CENTER-TYLER</t>
  </si>
  <si>
    <t>GAINESVILLE COMMUNITY HOSPITAL, INC.-NORTH TEXAS MEDICAL CENTER</t>
  </si>
  <si>
    <t>NACOGDOCHES COUNTY HOSPITAL DISTRICT-MEMORIAL HOSPITAL</t>
  </si>
  <si>
    <t>FANNIN COUNTY HOSPITAL AUTHORITY-TMC BONHAM HOSPITAL</t>
  </si>
  <si>
    <t>MUENSTER HOSPITAL DISTRICT-MUENSTER MEMORIAL HOSPITAL</t>
  </si>
  <si>
    <t>NOCONA HOSPITAL DISTRICT-NOCONA GENERAL HOSPITAL</t>
  </si>
  <si>
    <t>TITUS COUNTY MEM HOSP DIST-TITUS REGIONAL MEDICAL CENTER</t>
  </si>
  <si>
    <t>PREFERRED HOSPITAL LEASING HEMPHILL INC-SABINE COUNTY HOSPITAL</t>
  </si>
  <si>
    <t>JACKSONVILLE HOSPITAL LLC-UT HEALTH EAST TEXAS JACKSONVILLE HOSPITAL</t>
  </si>
  <si>
    <t>CARTHAGE HOSPITAL LLC-UT HEALTH EAST TEXAS CARTHAGE HOSPITAL</t>
  </si>
  <si>
    <t>QUITMAN HOSPITAL LLC-UT HEALTH EAST TEXAS</t>
  </si>
  <si>
    <t>MEMORIAL MEDICAL CENTER OF EAST TEXAS-MEMORIAL MED CTR OF EAST TX</t>
  </si>
  <si>
    <t>HENDERSON HOSPITAL LLC-UT HEALTH EAST TEXAS HENDERSON HOSPITAL</t>
  </si>
  <si>
    <t>PITTSBURG HOSPITAL LLC-UT HEALTH EAST TEXAS PITTSBURG HOSPITAL</t>
  </si>
  <si>
    <t>PALESTINE PRINCIPAL HEALTHCARE LIMITED PARTNERSHIP-PALESTINE REGIONAL MEDICAL CENTER</t>
  </si>
  <si>
    <t>CROCKETT MEDICAL CENTER LLC-CROCKETT MEDICAL CENTER</t>
  </si>
  <si>
    <t>ESSENT PRMC LP-PARIS REGIONAL MEDICAL CENTER</t>
  </si>
  <si>
    <t>SELECT SPECIALTY HOSPITAL LONGVIEW INC-SELECT SPECIALTY HOSPITAL LONGVIEW</t>
  </si>
  <si>
    <t>UHS OF TEXOMA INC-TEXOMA MEDICAL CENTER</t>
  </si>
  <si>
    <t>The Good Shepherd Hospital, Inc.</t>
  </si>
  <si>
    <t>MOTHER FRANCES HOSPITAL REGIONAL HEALTHCARE CENTER-MOTHER FRANCES HOSPITAL</t>
  </si>
  <si>
    <t>East Texas Medical Center Specialty Hospital</t>
  </si>
  <si>
    <t>1619092780</t>
  </si>
  <si>
    <t>LONGVIEW MEDICAL CENTER LP-LONGVIEW REGIONAL MEDICAL CENTER</t>
  </si>
  <si>
    <t>CHRISTUS HEALTH ARK LA TEX-CHRISTUS ST MICHAEL REHABILITATION HOSPITAL</t>
  </si>
  <si>
    <t>ATHENS HOSPITAL LLC-UT HEALTH EAST TEXAS ATHENS HOSPITAL</t>
  </si>
  <si>
    <t>TYLER REGIONAL HOSPITAL LLC-UT HEALTH EAST TEXAS TYLER REGIONAL HOSPITAL</t>
  </si>
  <si>
    <t>CHRISTUS HEALTH ARK LATEX-</t>
  </si>
  <si>
    <t>HERITAGE PARK SURGICAL HOSPITAL, LLC-BAYLOR SCOTT &amp; WHITE SURGICAL HOSPITAL AT SHERMAN</t>
  </si>
  <si>
    <t>PAM SQUARED AT TEXARKANA, LLC-</t>
  </si>
  <si>
    <t>REHABILITATION HOSPITAL LLC-UT HEALTH EAST TEXAS REHABILITATION HOSPITAL</t>
  </si>
  <si>
    <t>CHRISTUS GOOD SHEPHERD MEDICAL CENTER-CHRISTUS GOOD SHEPHERD MEDICAL CENTER MARSHALL</t>
  </si>
  <si>
    <t>BRIM HEALTHCARE OF TEXAS LLC-WADLEY REGIONAL MEDICAL CENTER</t>
  </si>
  <si>
    <t>PAM SPECIALTY HOSPITAL OF LUFKIN, LLC-</t>
  </si>
  <si>
    <t>SHERMAN GRAYSON HOSPITAL LLC-WILSON N JONES REGIONAL MEMORIAL CENTER</t>
  </si>
  <si>
    <t>OCEANS BEHAVORIAL HOSPITAL OF LUFKIN LLC-OCEANS BEHAVORIAL HOSPITAL OF LUFKIN</t>
  </si>
  <si>
    <t>AUDUBON BEHAVIORAL HEALTHCARE OF LONGVIEW LLC-OCEANS BEHAVIORAL HOSPITAL OF LONGVIEW</t>
  </si>
  <si>
    <t>GOODALL WITCHER HOSPITAL FOUNDATION</t>
  </si>
  <si>
    <t>GONZALES HEALTHCARE SYSTEMS-MEMORIAL HOSPITAL</t>
  </si>
  <si>
    <t>CORYELL COUNTY MEMORIAL HOSPITAL AUTHORITY-</t>
  </si>
  <si>
    <t>SOMERVELL COUNTY HOSPITAL DISTRICT-GLEN ROSE MEDICAL CENTER</t>
  </si>
  <si>
    <t>HAMILTON COUNTY HOSPITAL DISTRICT-HAMILTON GENERAL HOSPITAL</t>
  </si>
  <si>
    <t>FAIRFIELD HOSPITAL DISTRICT-FREESTONE MEDICAL CENTER</t>
  </si>
  <si>
    <t>JACKSON COUNTY HOSPITAL DISTRICT-JACKSON HEALTHCARE CENTER</t>
  </si>
  <si>
    <t>TEXAS HEALTH HARRIS METHODIST HOSPITAL STEPHENVILL-</t>
  </si>
  <si>
    <t>METROPLEX ADVENTIST HOSPITAL INC-ROLLINS BROOK COMMUNITY HOSPITAL</t>
  </si>
  <si>
    <t>BURLESON ST JOSEPH HEALTH CENTER-BURLESON ST. JOSEPH HEALTH CENTER</t>
  </si>
  <si>
    <t>COLUMBUS COMMUNITY HOSPITAL-</t>
  </si>
  <si>
    <t>HILL COUNTRY MEMORIAL HOSPITAL-HILL COUNTRY MEMORIAL HOSP</t>
  </si>
  <si>
    <t>SCOTT AND WHITE HOSPITAL - LLANO-BAYLOR SCOTT AND WHITE MEDICAL CENTER - LLANO</t>
  </si>
  <si>
    <t>Rockdale Blackhawk LLC</t>
  </si>
  <si>
    <t>CAHRMC LLC-RICE MEDICAL CENTER</t>
  </si>
  <si>
    <t>SCOTT &amp; WHITE HOSPITAL BRENHAM-BAYLOR SCOTT AND WHITE MEDICAL CENTER BRENHAM</t>
  </si>
  <si>
    <t>NHCI OF HILLSBORO INC-HILL REGIONAL HOSPITAL</t>
  </si>
  <si>
    <t>ST JOSEPH HEALTHSOUTH REHABILITATION HOSPITAL LLC-CHI ST JOSEPH REHABILITATION HOSPITAL</t>
  </si>
  <si>
    <t>HILLCREST BAPTIST MEDICAL CENTER-BAYLOR SCOTT AND WHITE MEDICAL CENTER HILLCREST</t>
  </si>
  <si>
    <t>HH KILLEEN HEALTH SYSTEM LLC-SETON MEDICAL CENTER HARKER HEIGHTS</t>
  </si>
  <si>
    <t>BRAZOS VALLEY PHYSICIANS ORGANIZATION MSO LLC-THE PHYSICIANS CENTRE HOSPITAL</t>
  </si>
  <si>
    <t>METROPLEX ADVENTIST HOSPITAL INC-METROPLEX HOSPITAL</t>
  </si>
  <si>
    <t>SCOTT AND WHITE MEMORIAL HOSPITAL-SCOTT AND WHITE MEDICAL CENTER TEMPLE</t>
  </si>
  <si>
    <t>PROVIDENCE HEALTH SERVICES OF WACO-PROVIDENCE HEALTHCARE NETWORK</t>
  </si>
  <si>
    <t>1053963009</t>
  </si>
  <si>
    <t>SCOTT &amp; WHITE CONTINUING CARE HOSPITAL-BAYLOR SCOTT &amp; WHITE CONTINUING CARE HOSPITAL</t>
  </si>
  <si>
    <t>HMIH CEDAR CREST LLC-CEDAR CREST HOSPITAL</t>
  </si>
  <si>
    <t>STRATEGIC BH-ROCK PRAIRIE BEHAVIORAL HEALTH</t>
  </si>
  <si>
    <t>LYNN COUNTY HOSPITAL-LYNN COUNTY HOSPITAL DISTRICT</t>
  </si>
  <si>
    <t>TERRY MEMORIAL HOSPITAL DISTRICT-BROWNFIELD REGIONAL MEDICAL CENTER</t>
  </si>
  <si>
    <t>DEAF SMITH COUNTY HOSPITAL DISTRICT-HEREFORD REGIONAL MEDICAL CENTER</t>
  </si>
  <si>
    <t>SWISHER MEMORIAL HEALTHCARE SYSTEM-SWISHER MEMORIAL HOSPITAL</t>
  </si>
  <si>
    <t>GPCH LLC-GOLDEN PLAINS COMMUNITY HOSPITAL</t>
  </si>
  <si>
    <t>METHODIST HOSPITAL LEVELLAND-COVENANT HOSPITAL LEVELLAND</t>
  </si>
  <si>
    <t>METHODIST HOSPITAL PLAINVIEW-COVENANT HOSPITAL PLAINVIEW</t>
  </si>
  <si>
    <t>COVENANT HEALTH SYSTEM-COVENANT MEDICAL CENTER</t>
  </si>
  <si>
    <t>COVENANT REHABILITATION HOSPITAL OF LUBBOCK LLC-TRUSTPOINT REHABILITATION HOSPITAL OF LUBBOCK</t>
  </si>
  <si>
    <t>LUBBOCK HEART HOSPITAL LLC-LUBBOCK HEART HOSPITAL</t>
  </si>
  <si>
    <t>PHYSICIANS SURGICAL HOSPITALS LLC-QUAIL CREEK SURGICAL HOSPITAL</t>
  </si>
  <si>
    <t>PLUM CREEK SPECIALTY HOSPITAL</t>
  </si>
  <si>
    <t>352444901</t>
  </si>
  <si>
    <t>1851785521</t>
  </si>
  <si>
    <t>VIBRA REHABILITATION HOSPITAL OF AMARILLO LLC-VIBRA REHABILITATION HOSPITAL OF AMARILLO</t>
  </si>
  <si>
    <t>NORTHWEST TEXAS HEALTH CARE SYSTEM INC-NORTHWEST TEXAS HOSPITAL</t>
  </si>
  <si>
    <t>BSA HOSPITAL LLC-BAPTIST ST ANTHONYS HEALTH SYSTEM</t>
  </si>
  <si>
    <t>LUBBOCK HERITAGE HOSPITAL LLC-GRACE MEDICAL CENTER</t>
  </si>
  <si>
    <t>VIBRA HOSPITAL OF AMARILLO LLC-VIBRA HOSPITAL OF AMARILLO</t>
  </si>
  <si>
    <t>COVENANT LONG TERM CARE LP-COVENANT SPECIALTY HOSPITAL</t>
  </si>
  <si>
    <t>LUBBOCK REGIONAL MHMR CENTER</t>
  </si>
  <si>
    <t>METHODISTS CHILDRENS HOSPITAL-COVENANT CHILDRENS HOSPITAL</t>
  </si>
  <si>
    <t>BAYSIDE COMMUNITY HOSPITAL-</t>
  </si>
  <si>
    <t>LIBERTY COUNTY HOSPITAL DISTRICT NO 1-LIBERTY DAYTON REGIONAL MEDICAL CENTER</t>
  </si>
  <si>
    <t>OPREX SURGERY BAYTOWN LP-ALTAS BAYTOWN HOSPICE</t>
  </si>
  <si>
    <t>MEMORIAL HOSP OF POLK COUNTY-CHI ST LUKES HEALTH MEMORIAL LIVINGSTON</t>
  </si>
  <si>
    <t>CHRISTUS JASPER MEMORIAL HOSPITAL-</t>
  </si>
  <si>
    <t>EMERGENCY HOSPITAL SYSTEMS LLC-CLEVELAND EMERGENCY HOSPITAL</t>
  </si>
  <si>
    <t>LHCG CXXI, LLC-CHRISTUS DUBUIS HOSPITAL OF BEAUMONT</t>
  </si>
  <si>
    <t>THE MEDICAL CENTER OF SOUTHEAST TEXAS LP-</t>
  </si>
  <si>
    <t>PAM SQUARED AT BEAUMONT, LLC-</t>
  </si>
  <si>
    <t>CHRISTUS HEALTH SOUTHEAST TEXAS-CHRISTUS HOSPITAL</t>
  </si>
  <si>
    <t>MID JEFFERSON EXTENDED CARE HOSPITAL-</t>
  </si>
  <si>
    <t>WALKER COUNTY HOSPITAL CORPORATION-HUNTSVILLE MEMORIAL HOSPITAL</t>
  </si>
  <si>
    <t>BAPTIST HOSPITALS OF SOUTHEAST TEXAS-MEMORIAL HERMANN BAPTIST BEAUMONT HOSPITAL</t>
  </si>
  <si>
    <t>FORT DUNCAN REGIONAL MEDICAL CENTER LP-FORT DUNCAN REGIONAL MEDICAL CENTER</t>
  </si>
  <si>
    <t>HARLINGEN MEDICAL CENTER LP-</t>
  </si>
  <si>
    <t>CHG HOSPITAL MCALLEN LLC-SOLARA SPECIALTY HOSPITALS MCALLEN</t>
  </si>
  <si>
    <t>LAREDO REHABILITATION HOSPITAL LLC-</t>
  </si>
  <si>
    <t>NEW LIFECARE HOSPITALS OF SOUTH TEXAS LLC</t>
  </si>
  <si>
    <t>330847001</t>
  </si>
  <si>
    <t>1679916530</t>
  </si>
  <si>
    <t>COLUMBIA RIO GRANDE HEALTHCARE LP-RIO GRANDE REGIONAL HOSPITAL</t>
  </si>
  <si>
    <t>SOLARA HOSPITAL HARLINGEN-SOLARA SPECIALTY HOSPITALS HARLINGEN BROWNSVILLE</t>
  </si>
  <si>
    <t>WESLACO REGIONAL REHABILITATION HOSPITAL, LLC-</t>
  </si>
  <si>
    <t>LAREDO REGIONAL MEDICAL CENTER LP-DOCTORS HOSPITAL OF LAREDO</t>
  </si>
  <si>
    <t>LAREDO SPECIALTY HOSPITAL</t>
  </si>
  <si>
    <t>MISSION HOSPITAL INC-MISSION REGIONAL MEDICAL CENTER</t>
  </si>
  <si>
    <t>VHS BROWNSVILLE HOSPITAL COMPANY LLC-VALLEY BAPTIST MEDICAL CENTER BROWNSVILLE</t>
  </si>
  <si>
    <t>SOUTH TEXAS REHABILITATION HOSPITAL LP-</t>
  </si>
  <si>
    <t>DAY SURGERY AT RENAISSANCE LLC-DOCTORS HOSPITAL AT RENAISSANCE LTD</t>
  </si>
  <si>
    <t>COLUMBIA VALLEY HEALTHCARE SYSTEMS LP-VALLEY REGIONAL MEDICAL CENTER</t>
  </si>
  <si>
    <t>HEALTH AND HUMAN SERVICES COMMISSION-SOUTH TEXAS HOSPITAL</t>
  </si>
  <si>
    <t>021219301</t>
  </si>
  <si>
    <t>1558434894</t>
  </si>
  <si>
    <t>STRATEGIC BH-BROWNSVILLE, LLC-PALMS BEHAVIORAL HEALTH</t>
  </si>
  <si>
    <t>MATAGORDA COUNTY HOSPITAL DISTRICT-MATAGORDA REGIONAL MEDICAL CENTER</t>
  </si>
  <si>
    <t>BELLVILLE ST JOSEPH HEALTH CENTER-</t>
  </si>
  <si>
    <t>EL CAMPO MEMORIAL HOSPITAL-</t>
  </si>
  <si>
    <t>MEMORIAL HERMANN HOSPITAL SYSTEM-MHHS HERMANN HOSPITAL</t>
  </si>
  <si>
    <t>COMMUNITY HOSPITAL OF BRAZOSPORT-BRAZOSPORT REGIONAL HEALTH SYSTEM</t>
  </si>
  <si>
    <t>CLEAR LAKE REHABILITATION HOSPITAL LLC-KINDRED REHABILIT HOSPITAL CLEAR LAKE</t>
  </si>
  <si>
    <t>CHCA CONROE LP-HCA HOUSTON HEALTHCARE CONROE</t>
  </si>
  <si>
    <t>HOUSTON METHODIST ST JOHN HOSPITAL-HOUSTON METHODIST CLEAR LAKE HOSPITAL</t>
  </si>
  <si>
    <t>KINDRED HOSPITALS LIMITED PARTNERSHIP-KINDRED HOSPTIAL HOUSTON MEDICAL CENTER</t>
  </si>
  <si>
    <t>ST LUKES COMMUNITY HEALTH SERVICES-ST LUKES THE WOODLANDS HOSPITAL</t>
  </si>
  <si>
    <t>MEMORIAL HERMANN HOSPITAL SYSTEM-MHHS KATY HOSPITAL</t>
  </si>
  <si>
    <t>SAN JACINTO METHODIST HOSPITAL-HOUSTON METHODIST SAN JACINTO HOSPITAL</t>
  </si>
  <si>
    <t>DOCTORS HOSPITAL 1997 LP-UNITED MEMORIAL MEDICAL CENTER</t>
  </si>
  <si>
    <t>VISTA COMMUNITY MEDICAL CENTER HOSPITAL LLP-SURGERY SPECIALTY HOSPITAL OF AMERICA SE HOUSTON</t>
  </si>
  <si>
    <t>METHODIST WILLOWBROOK-HOUSTON METHODIST WILLOWBROOK HOSPITAL</t>
  </si>
  <si>
    <t>CLEAR LAKE INSTITUTE FOR REHABILITATION, LLC-PAM REHABILITATION HOSPITAL OF CLEAR LAKE</t>
  </si>
  <si>
    <t>FIRST TEXAS HOSPITAL CY-FAIR, LLC-FIRST TEXAS HOSPITAL</t>
  </si>
  <si>
    <t>KINGWOOD PLAZA HOSPITAL-HCA HOUSTON HEALTHCARE KINGWOOD</t>
  </si>
  <si>
    <t>Tomball Regional Medical Center</t>
  </si>
  <si>
    <t>HOUSTON NORTHWEST OPERATING COMPANY LLC-HOUSTON NORTHWEST MEDICAL CENTER</t>
  </si>
  <si>
    <t>MEMORIAL HERMANN HOSPITAL SYSTEM-MHHS MEMORIAL CITY HOSPITAL</t>
  </si>
  <si>
    <t>MEMORIAL HERMANN HEALTH SYSTEM-MHHS THE WOODLANDS HOSPITAL</t>
  </si>
  <si>
    <t>TRIUMPH SOUTHWEST LP-KINDRED HOSPITAL SUGAR LAND</t>
  </si>
  <si>
    <t>MEMORIAL HERMANN HEALTH SYSTEM-TIRR MEMORIAL HERMANN</t>
  </si>
  <si>
    <t>AD HOSPITAL EAST LLC-</t>
  </si>
  <si>
    <t>ST. LUKE'S COMMUNITY DEVELOPMENT CORPORATION-SUGAR-ST. LUKE'S SUGAR LAND HOSPITAL</t>
  </si>
  <si>
    <t>Memorial Hermann Orthopedic &amp; Spine Hospital</t>
  </si>
  <si>
    <t>1659313146</t>
  </si>
  <si>
    <t>TRIUMPH HOSPITAL OF EAST HOUSTON LP-KINDRED HOSPITAL CLEAR LAKE</t>
  </si>
  <si>
    <t>CHCA PEARLAND, LP-HCA HOUSTON HEALTHCARE PEARLAND</t>
  </si>
  <si>
    <t>Houston Hospital for Specialized Surgery</t>
  </si>
  <si>
    <t>HEALTHSOUTH REHABILITATION HOSPITAL OF SUGAR LAND-HEALTHSOUTH SUGAR LAND REHABILITATION HOSPITAL</t>
  </si>
  <si>
    <t>METHODIST SUGAR LAND HOSPITAL-HOUSTON METHODIST SUGAR LAND HOSPITAL</t>
  </si>
  <si>
    <t>ER AMERICAN HEALTHCARE SERVICES, LLC-</t>
  </si>
  <si>
    <t>TRIUMPH REHABILIATION HOSPITAL OF NORTHEAST HOUSTO-KINDRED REHABILITATION HOSPITAL NORTHEAST HOUSTON</t>
  </si>
  <si>
    <t>ST LUKES PATIENTS MEDICAL CENTER-</t>
  </si>
  <si>
    <t>ATRIUM MEDICAL CENTER LP-</t>
  </si>
  <si>
    <t>HEALTHSOUTH REHABILITATION HOSPITAL OF VINTAGE PAR-HEALTHSOUTH REHABILITATION HOSPITAL THE VINTAGE</t>
  </si>
  <si>
    <t>HOUSTON METHODIST ST CATHERINE HOSPITAL-HOUSTON METHODIST CONTINUING CARE HOSPITAL</t>
  </si>
  <si>
    <t>MEMORIAL HERMANN HOSPITAL SYSTEM-MHHS NORTHEAST HOSPITAL</t>
  </si>
  <si>
    <t>MEMORIAL HERMANN HOSPITAL SYSTEM-MHHS SUGAR LAND HOSPITAL</t>
  </si>
  <si>
    <t>WEBSTER SURGICAL SPECIALTY HOSPITAL, LTD-HOUSTON PHYSICIANS HOSPITAL</t>
  </si>
  <si>
    <t>TRIUMPH HOSPITAL OF NORTH HOUSTON LP-KINDRED HOSPITAL TOMBALL</t>
  </si>
  <si>
    <t>HEALTHSOUTH REHABILITATION HOSPITAL OF CYPRESS LLC-</t>
  </si>
  <si>
    <t>CHCA WEST HOUSTON LP-HCA HOUSTON HEALTHCARE WEST</t>
  </si>
  <si>
    <t>Cornerstone Hospital Medical Center</t>
  </si>
  <si>
    <t>1235416801</t>
  </si>
  <si>
    <t>HEALTHSOUTH REHABILITATION HOSPITAL THE WOODLANDS-ENCOMPASS HEALTH REHABILITATION HOSPITAL OF THE W</t>
  </si>
  <si>
    <t>ST LUKES LAKESIDE HOSPITAL LLC-ST LUKES LAKESIDE HOSPITAL</t>
  </si>
  <si>
    <t>St Lukes Episcopal Hospital</t>
  </si>
  <si>
    <t>1184662847</t>
  </si>
  <si>
    <t>METHODIST HEALTH CENTERS-HOUSTON METHODIST THE WOODLANDS HOSPITAL</t>
  </si>
  <si>
    <t>PINE VALLEY SPECIALTY HOSPITAL OPERATOR, LLC-PINE VALLEY SPECIALTY HOSPITAL</t>
  </si>
  <si>
    <t>361849801</t>
  </si>
  <si>
    <t>1184089054</t>
  </si>
  <si>
    <t>CHCA BAYSHORE LP-HCA HOUSTON HEALTHCARE SOUTHEAST</t>
  </si>
  <si>
    <t>MH EMERUS FIRST COLONY, LLC-MEMORIAL HERMANN FIRST COLONY HOSPITAL</t>
  </si>
  <si>
    <t>1164665899</t>
  </si>
  <si>
    <t>St. Joseph Medical Center</t>
  </si>
  <si>
    <t>MH EMERUS TOMBALL, LLC-MEMORIAL HERMANN TOMBALL</t>
  </si>
  <si>
    <t>340639901</t>
  </si>
  <si>
    <t>1144651514</t>
  </si>
  <si>
    <t>TOPS SPECIALTY HOSPITAL, LTD-</t>
  </si>
  <si>
    <t>ORTHOPEDIC HOSPITAL LTD-TEXAS ORTHOPEDIC HOSPITAL</t>
  </si>
  <si>
    <t>ALL VALLEY SPEECH THERAPY PLLC-</t>
  </si>
  <si>
    <t>METHODIST HEALTH CENTERS-HOUSTON METHODIST WEST HOSPITAL</t>
  </si>
  <si>
    <t>Cornerstone Hospital of Houston - Bellaire</t>
  </si>
  <si>
    <t>1083668685</t>
  </si>
  <si>
    <t>CHG HOSPITAL CONROE LLC-CORNERSTONE SPECIALTY HOSPITALS CONROE</t>
  </si>
  <si>
    <t>HOUSTON PPH LLC-HCA HOUSTON HEALTHCARE MEDICAL CENTER</t>
  </si>
  <si>
    <t>CHCA CLEAR LAKE LP-HCA HOUSTON HEALTHCARE CLEAR LAKE</t>
  </si>
  <si>
    <t>MEMORIAL HERMANN REHABILITATION HOSPITAL KATY-</t>
  </si>
  <si>
    <t>THC HOUSTON LLC-KINDRED HOSPITAL HOUSTON NORTHWEST</t>
  </si>
  <si>
    <t>MEMORIAL HERMANN SUGAR LAND SURGICAL HOSPITAL LLP-SUGAR LAND SURGICAL HOSPITAL</t>
  </si>
  <si>
    <t>NEXUS SPECIALTY HOSPITAL - THE WOODLANDS LTD-NEXUS SPECIALTY HOSPITAL</t>
  </si>
  <si>
    <t>CHCA WOMANS HOSPITAL LP-THE WOMANS HOSPITAL OF TEXAS</t>
  </si>
  <si>
    <t>OAK BEND MEDICAL CENTER-OAKBEND MEDICAL CENTER</t>
  </si>
  <si>
    <t>C &amp; I HOLDINGS LLC-LONE STAR BEHAVORIAL HEALTH</t>
  </si>
  <si>
    <t>OCEANS BEHAVIORAL HOSPITAL OF KATY LLC-</t>
  </si>
  <si>
    <t>SHC KPH LP-KINGWOOD PINES HOSPITAL</t>
  </si>
  <si>
    <t>OCEANS BEHAVIORAL HOSPITAL OF PASADENA LLC-OCEANS BEHAVIORAL HOSPITAL OF PASADENA</t>
  </si>
  <si>
    <t>POST OAKS CARE CENTER</t>
  </si>
  <si>
    <t>WOODLAND SPINGS LLC-WOODLAND SPRINGS</t>
  </si>
  <si>
    <t>CYPRESS CREEK HOSPITAL INC</t>
  </si>
  <si>
    <t>HOUSTON BEHAVIORAL HEALTHCARE HOSPITAL, LLC-</t>
  </si>
  <si>
    <t>SACRED OAK MEDICAL CENTER, LLC-</t>
  </si>
  <si>
    <t>DAY STARS INC-</t>
  </si>
  <si>
    <t>APOLLO REHAB HOSPITAL LLC-SUGAR LAND REHAB HOSPITAL LLC</t>
  </si>
  <si>
    <t>WEST OAK HOSPITAL INC-TEXAS WEST OAKS HOSPITAL</t>
  </si>
  <si>
    <t>DEVEREUX FOUNDATION-DEVEREUX-TEXAS TREATMENT</t>
  </si>
  <si>
    <t>WESTPARK SPRINGS LLC-</t>
  </si>
  <si>
    <t>BEHAVIORAL HEALTH MANAGEMENT, LLC-</t>
  </si>
  <si>
    <t>INTRACARE HOSPITAL NORTH-INTRACARE NORTH HOSPITAL</t>
  </si>
  <si>
    <t>SUN HOUSTON, LLC-</t>
  </si>
  <si>
    <t>SHRINERS HOSPITALS FOR CHILDREN-</t>
  </si>
  <si>
    <t>HEALTHBRIDGE CHILDRENS HOSPITAL- HOUSTON LTD-HEALTHBRIDGE CHILDRENS HOSPITAL</t>
  </si>
  <si>
    <t>EL PASO COUNTY HOSPITAL DISTRICT-UNIVERSITY MEDICAL CENTER OF EL PASO</t>
  </si>
  <si>
    <t>TENET HOSPITALS LIMITED-THE HOSPITALS OF PROVIDENCE EAST CAMPUS</t>
  </si>
  <si>
    <t>EL PASO HEALTHCARE SYSTEM LTD-LAS PALMAS MEDICAL CENTER</t>
  </si>
  <si>
    <t>VIBRA REHABILITATION HOSPITAL OF EL PASO, LLC-HIGHLANDS REHABILITATION HOSPITAL</t>
  </si>
  <si>
    <t>TENET HOSPITALS LIMITED-THE HOSPITALS OF PROVIDENCE MEMORIAL CAMPUS</t>
  </si>
  <si>
    <t>EAST EL PASO PHYSICIANS MEDICAL CENTER LLC-FOUNDATION SURGICAL HOSPITAL OF EL PASO</t>
  </si>
  <si>
    <t>TENET HOSPITALS LIMITED-THE HOSPITALS OF PROVIDENCE TRANSMOUNTAIN CAMPUS</t>
  </si>
  <si>
    <t>EL PASO SPECIALTY HOSPITAL LTD-SURGICAL INSTITUTE OF EL PASO</t>
  </si>
  <si>
    <t>SIERRA MEDICAL CENTER-THE HOSPITAL OF PROVIDENCE SIERRA CAMPUS</t>
  </si>
  <si>
    <t>IHS HOSPITAL AT EL PASO</t>
  </si>
  <si>
    <t>1215937966</t>
  </si>
  <si>
    <t>EL PASO LTAC HOSPITAL</t>
  </si>
  <si>
    <t>190248801</t>
  </si>
  <si>
    <t>1194890103</t>
  </si>
  <si>
    <t>SCCI HOSPITAL EL PASO LLC-KINDRED HOSPITAL EL PASO</t>
  </si>
  <si>
    <t>HCN EP HORIZON CITY LLC-THE HOSPITALS OF PROVIDENCE HORIZON CITY CAMPUS</t>
  </si>
  <si>
    <t>ALTERNATIVES CENTRE FOR BEHA</t>
  </si>
  <si>
    <t>UNIVERSITY BEHAVIORAL HEALTH OF EL PASO LLC</t>
  </si>
  <si>
    <t>EL PASO BEHAVIORAL HOSPITAL LLC-RIO VISTA BEHAVIORAL HEALTH</t>
  </si>
  <si>
    <t>Emergence Health Network</t>
  </si>
  <si>
    <t>1033240353</t>
  </si>
  <si>
    <t>EL PASO CHILDRENS HOSPITAL-</t>
  </si>
  <si>
    <t>UTSOUTHWESTERN UNIVERSITY HOSPITAL ZALE LIPSHY</t>
  </si>
  <si>
    <t>BAYLOR MEDICAL CENTER AT IRVING-</t>
  </si>
  <si>
    <t>HEALTHSOUTH REHABILITATION HOSPITAL OF DALLAS LLC-HEALTHSOUTH REHABILITATION HOSPITAL OF DALLAS</t>
  </si>
  <si>
    <t>TEXAS HEART HOSPITAL OF THE SOUTHWEST LLP-BAYLOR SCOTT &amp; WHITE THE HEART HOSPITAL PLANO</t>
  </si>
  <si>
    <t>EBD BEMC ROCKWALL, LLC-BAYLOR EMERGENCY MEDICAL CENTER</t>
  </si>
  <si>
    <t>METHODIST MCKINNEY HOSPITAL LLC-</t>
  </si>
  <si>
    <t>REHABILITATION HOSPITAL OF MESQUITE LLC-MESQUITE REHABILITATION INSTITUTE</t>
  </si>
  <si>
    <t>FRISCO MEDICAL CENTER-BAYLOR SCOTT &amp; WHITE MEDICAL CENTER - FRISCO</t>
  </si>
  <si>
    <t>COLUMBIA MEDICAL CENTER OF LAS COLINAS, INC-LAS COLINAS MEDICAL CENTER</t>
  </si>
  <si>
    <t>PROMISE HOSPITAL OF DALLAS INC</t>
  </si>
  <si>
    <t>340716501</t>
  </si>
  <si>
    <t>1902237431</t>
  </si>
  <si>
    <t>DALLAS MEDICAL CENTER LLC-</t>
  </si>
  <si>
    <t>LANCASTER REGIONAL HOSPITAL LP-CRESCENT MEDICAL CENTER LANCASTER</t>
  </si>
  <si>
    <t>MESQUITE SPECIALTY HOSPITAL LP</t>
  </si>
  <si>
    <t>KINDRED HOSPITALS LIMITED PARTNERSHIP-KINDRED HOSPITAL-WHITE ROCK</t>
  </si>
  <si>
    <t>BAYLOR SCOTT &amp; WHITE MEDICAL CENTER - CENTENNIAL-</t>
  </si>
  <si>
    <t>PRIME HEALTHCARE SERVICES MESQUITE LLC-DALLAS REGIONAL MEDICAL CENTER</t>
  </si>
  <si>
    <t>TEXAS HEALTH PRESBYTERIAN HOSPTAL PLANO-</t>
  </si>
  <si>
    <t>PRHC ENNIS LP-ENNIS REGIONAL MEDICAL CENTER</t>
  </si>
  <si>
    <t>KINDRED HOSPITALS LIMITED PARTNERSHIP-KINDRED HOSPITAL- DALLAS</t>
  </si>
  <si>
    <t>COLUMBIA MEDICAL CENTER OF PLANO LP-MEDICAL CENTER OF PLANO</t>
  </si>
  <si>
    <t>COLUMBIA HOSPITAL MEDICAL CITY DALLAS, SUBSIDIARY-COLUMBIA HOSPITAL AT MEDICAL C</t>
  </si>
  <si>
    <t>Plano Specialty Hospital</t>
  </si>
  <si>
    <t>353871201</t>
  </si>
  <si>
    <t>1689068355</t>
  </si>
  <si>
    <t>KPC PROMISE HOSPITAL OF DALLAS, LLC-KPC PROMISE HOSPITAL OF DALLAS</t>
  </si>
  <si>
    <t>IRVING COPPELL SURGICAL HOSPITAL LLP-IRVING-COPPELL SURGICAL HOSPITAL LLP</t>
  </si>
  <si>
    <t>BAYLOR REGIONAL MEDICAL CENTER AT PLANO-</t>
  </si>
  <si>
    <t>ROCKWALL REGIONAL HOSPITAL LLC-TEXAS HEALTH PRESBYTERIAN HOSPITAL ROCKWALL</t>
  </si>
  <si>
    <t>TEXAS HEALTH PRESBYTERIAN HOSPITAL ALLEN-</t>
  </si>
  <si>
    <t>BIR JV LLP-BAYLOR INSTITUTE FOR REHABILITATION</t>
  </si>
  <si>
    <t>METHODIST HOSPITALS OF DALLAS-METHODIST DALLAS MEDICAL CENTER</t>
  </si>
  <si>
    <t>Methodist Rehabilitation Hospital</t>
  </si>
  <si>
    <t>1487848941</t>
  </si>
  <si>
    <t>TEXAS HEALTH PRESBYTERIAN HOSPITAL KAUFMAN-</t>
  </si>
  <si>
    <t>COLUMBIA MEDICAL CENTER OF MCKINNEY SUBSIDIARY LP-MEDICAL CENTER OF MCKINNEY</t>
  </si>
  <si>
    <t>CR EMERGENCY ROOM LLC-BAYLOR SCOTT AND WHITE EMERGENCY HOSPITAL</t>
  </si>
  <si>
    <t>TEXAS HEALTH PRESBYTERIAN HOSPITAL DALLAS-TEXAS PRESBYTERIAN HOSPITAL OF DALLAS</t>
  </si>
  <si>
    <t>MSH PARTNERS LLC-BAYLOR MEDICAL CENTER AT UPTOWN</t>
  </si>
  <si>
    <t>HEALTH SOUTH REHABILITATION HOSPITAL OF HUMBLE-</t>
  </si>
  <si>
    <t>DALLAS LTACH LLC-KINDRED HOSPITAL DALLAS CENTRAL</t>
  </si>
  <si>
    <t>BAYLOR INSTITUTE FOR REHABILITATION AT FRISCO-</t>
  </si>
  <si>
    <t>METHODIST HOSPITAL OF DALLAS-METHODIST CHARLTON MEDICAL CENTER</t>
  </si>
  <si>
    <t>TEXAS REGIONAL MEDICAL CENTER LTD-TEXAS REGIONAL MEDICAL CENTER AT SUNNYVALE</t>
  </si>
  <si>
    <t>LAKE POINTE MEDICAL CENTER-BAYLOR SCOTT &amp; WHITE MEDICAL CENTER LAKE POINTE</t>
  </si>
  <si>
    <t>SELECT SPECIALITY HOSPITAL-DALLAS, INC-</t>
  </si>
  <si>
    <t>HEALTHSOUTH PLANO REHABILITATION HOSPITAL LLC-HEALTHSOUTH PLANO REHABILITATION HOSPITAL</t>
  </si>
  <si>
    <t>BAYLOR MEDICAL CENTERS AT GARLAND AND MCKINNEY-BAYLOR SCOTT AND WHITE MEDICAL CENTER - MCKINNEY</t>
  </si>
  <si>
    <t>PIPELINE EAST DALLAS LLC-CITY HOSPITAL AT WHITE ROCK</t>
  </si>
  <si>
    <t>SELECT SPECIALTY HOSPITAL DALLAS INC-DALLAS SPECIALTY HOSPITAL DALLAS INC</t>
  </si>
  <si>
    <t>VIBRA SPECIALTY HOSPITAL OF DALLAS LLC-VIBRA HOSPITAL OF RICHARDSON</t>
  </si>
  <si>
    <t>POST ACUTE MEDICAL AT ALLEN LLC-PAM REHABILITATION HOSPITAL OF ALLEN</t>
  </si>
  <si>
    <t>METHODIST HOSPITALS OF DALLAS-METHODIST RICHARDSON MEDICAL CENTER</t>
  </si>
  <si>
    <t>1023338142</t>
  </si>
  <si>
    <t>HUNT MEMORIAL HOSPITAL DISTRICT-HUNT REGIONAL MEDICAL CENTER</t>
  </si>
  <si>
    <t>GLEN OAKS HOSPITAL INC-GLEN OAKS HOSPITAL</t>
  </si>
  <si>
    <t>GREEN OAKS HOSPITAL SUBSIDIA</t>
  </si>
  <si>
    <t>INNOVATIONS COMMUNITY MENTAL HEALTH CENTER-</t>
  </si>
  <si>
    <t>GARLAND BEHAVIORAL HOSPITAL</t>
  </si>
  <si>
    <t>DALLAS BEHAVIORAL HEALTHCARE HOSPITAL LLC-</t>
  </si>
  <si>
    <t>SRP BEHAVIORAL HOSPITAL OF PLANO LLC-WELLBRIDGE HEALTHCARE OF PLANO</t>
  </si>
  <si>
    <t>HICKORY TRAIL HOSPITAL LP</t>
  </si>
  <si>
    <t>TEXAS SCOTTISH RITE HOSPITAL FOR CRIPPLED CHILDREN-</t>
  </si>
  <si>
    <t>CHILDRENS MEDICAL CENTER OF DALLAS-CHILDREN'S MEDICAL CENTER PLANO</t>
  </si>
  <si>
    <t>OCH HOLDINGS-OUR CHILDRENS HOUSE</t>
  </si>
  <si>
    <t>CHILDRENS MEDICAL CENTER OF DALLAS-CHILDRENS MEDICAL CENTER</t>
  </si>
  <si>
    <t>BEXAR COUNTY HOSPITAL DISTRICT-UNIVERSITY HEALTH SYSTEM</t>
  </si>
  <si>
    <t>WILSON COUNTY MEMORIAL HOSPITAL DISTRICT-CONNALLY MEMORIAL MEDICAL CENTER</t>
  </si>
  <si>
    <t>METHODIST HEALTHCARE SYSTEM OF SAN ANTONIO LTD LLP-METHODIST HOSPITAL SOUTH</t>
  </si>
  <si>
    <t>NEW SAN ANTONIO SPECIALTY HOSPITAL LLC-LIFE CARE HOSPITALS OF SAN ANTONIO</t>
  </si>
  <si>
    <t>329623801</t>
  </si>
  <si>
    <t>1942643804</t>
  </si>
  <si>
    <t>SOUTHWEST GENERAL HOSPITAL LP-SOUTHWEST GENERAL HOSPITAL</t>
  </si>
  <si>
    <t>METHODIST HEALTHCARE SYSTEM OF SAN ANTONIO LTD LLP-METHODIST AMBULATORY SURGERY</t>
  </si>
  <si>
    <t>NEW BRAUNFELS REG REHAB HOSP INC-</t>
  </si>
  <si>
    <t>POST ACUTE MEDICAL OF NEW BRAUNFELS LLC-WARM SPRINGS SPECIALTY HOSPITAL OF NEW BRAUNFELS</t>
  </si>
  <si>
    <t>EMERUS BHS SA THOUSAND OAKS LLC-BAPTIST EMERGENCY HOSPITAL SHAVANO PARK</t>
  </si>
  <si>
    <t>METHODIST HEALTHCARE SYSTEM OF SAN ANTONIO LTD LLP-METHODIST STONE OAK HOSPITAL</t>
  </si>
  <si>
    <t>WARM SPRINGS SPECIALTY HOSPITAL OF SAN ANTONIO LLC-PAM SPECIALTY HOSPITAL OF SAN ANTONIO</t>
  </si>
  <si>
    <t>ENLIGHTENED BEHAVIORAL HEALTH SYSTEMS LLC-</t>
  </si>
  <si>
    <t>VHS SAN ANTONIO PARTNERS LLC-BAPTIST MEDICAL CENTER</t>
  </si>
  <si>
    <t>CUMBERLAND SURGICAL HOSPITAL OF SAN ANTONIO LLC-</t>
  </si>
  <si>
    <t>GLOBALREHAB SAN ANTONIO LP-SELECT REHABILITATION HOSPITAL OF SAN ANTONIO</t>
  </si>
  <si>
    <t>KND DEVELOPMENT 68, LLC-KINDRED HOSPITAL - SAN ANTONIO CENTRAL</t>
  </si>
  <si>
    <t>KINDRED HOSPITALS LIMITED PARTNERSHIP-KINDRED HOSPITALS SAN ANTONIO</t>
  </si>
  <si>
    <t>RESOLUTE HOSPITAL COMPANY LLC-</t>
  </si>
  <si>
    <t>ORTHOPEDIC AND SPINE SURGICAL HOSPITAL OF S TX LP-SOUTH TEXAS SPINE AND SURGICAL HOSPITAL LP</t>
  </si>
  <si>
    <t>ACUITY HOSPITAL OF SOUTH TEXAS LLC</t>
  </si>
  <si>
    <t>203965301</t>
  </si>
  <si>
    <t>1235392192</t>
  </si>
  <si>
    <t>CHRISTUS SANTA ROSA HEALTH CARE CORPORATION-CHRISTUS SANTA ROSA HOSPITAL</t>
  </si>
  <si>
    <t>GUADALUPE COUNTY HOSPITAL BOARD-GUADALUPE REGIONAL MEDICAL CENTER</t>
  </si>
  <si>
    <t>SAN ANTONIO BEHAVIORAL HEALTHCARE HOSPITAL, LLC-</t>
  </si>
  <si>
    <t>TEXAS LAUREL RIDGE HOSPITAL LP-LAUREL RIDGE TREATMENT CENTER</t>
  </si>
  <si>
    <t>CHRISTUS SANTA ROSA HEALTH CARE CORPORATION-CHRISTUS SANTA ROSA CHILDRENS</t>
  </si>
  <si>
    <t>Total OP</t>
  </si>
  <si>
    <t>Non-OP</t>
  </si>
  <si>
    <t>OP</t>
  </si>
  <si>
    <t>Provider Name</t>
  </si>
  <si>
    <t>Hospital Class</t>
  </si>
  <si>
    <t>Urban</t>
  </si>
  <si>
    <t>409204101</t>
  </si>
  <si>
    <t>1902366305</t>
  </si>
  <si>
    <t>407926101</t>
  </si>
  <si>
    <t>1144781501</t>
  </si>
  <si>
    <t>408600101</t>
  </si>
  <si>
    <t>1245878990</t>
  </si>
  <si>
    <t>133257904</t>
  </si>
  <si>
    <t>1841354677</t>
  </si>
  <si>
    <t>1477507432</t>
  </si>
  <si>
    <t>121053605</t>
  </si>
  <si>
    <t>405102101</t>
  </si>
  <si>
    <t>Rural</t>
  </si>
  <si>
    <t>GEORGETOWN BEHAVIORAL HEALTH INSTITUTE, LLC</t>
  </si>
  <si>
    <t>GLEN OAKS HOSPITAL</t>
  </si>
  <si>
    <t>HAVEN BEHAVIORAL HOSPITAL OF FRISCO</t>
  </si>
  <si>
    <t>HOUSTON BEHAVIORAL HEALTHCARE HOSPITAL, LLC</t>
  </si>
  <si>
    <t>INTRACARE NORTH HOSPITAL</t>
  </si>
  <si>
    <t>MESA SPRINGS, LLC</t>
  </si>
  <si>
    <t>ROCK SPRINGS, LLC</t>
  </si>
  <si>
    <t>SAN ANTONIO BEHAVIORAL HEALTHCARE HOSPITAL, LLC</t>
  </si>
  <si>
    <t>SUN HOUSTON, LLC</t>
  </si>
  <si>
    <t>021194801</t>
  </si>
  <si>
    <t>1326052226</t>
  </si>
  <si>
    <t>137918204</t>
  </si>
  <si>
    <t>1881600682</t>
  </si>
  <si>
    <t>021195501</t>
  </si>
  <si>
    <t>1477669208</t>
  </si>
  <si>
    <t>021196301</t>
  </si>
  <si>
    <t>1245344472</t>
  </si>
  <si>
    <t>1821161167</t>
  </si>
  <si>
    <t>133331202</t>
  </si>
  <si>
    <t>1942218581</t>
  </si>
  <si>
    <t>138706004</t>
  </si>
  <si>
    <t>1972511921</t>
  </si>
  <si>
    <t>112751605</t>
  </si>
  <si>
    <t>1720094550</t>
  </si>
  <si>
    <t>137919003</t>
  </si>
  <si>
    <t>1992713119</t>
  </si>
  <si>
    <t>109966502</t>
  </si>
  <si>
    <t>1366450538</t>
  </si>
  <si>
    <t>127320302</t>
  </si>
  <si>
    <t>1407862170</t>
  </si>
  <si>
    <t>NA</t>
  </si>
  <si>
    <t>021187203</t>
  </si>
  <si>
    <t>Number of Hospitals</t>
  </si>
  <si>
    <t>395673201</t>
  </si>
  <si>
    <t>NOCONA GENERAL HOSPITAL</t>
  </si>
  <si>
    <t>SRP OCEANS HOSPITAL OF FORTWORTH LLC</t>
  </si>
  <si>
    <t>1326015595</t>
  </si>
  <si>
    <t>112742503</t>
  </si>
  <si>
    <t>OLNEY HAMILTON HOSPITAL DISTRICT</t>
  </si>
  <si>
    <t>IP ACR Gap</t>
  </si>
  <si>
    <t>412747401</t>
  </si>
  <si>
    <t>OP ACR Gap</t>
  </si>
  <si>
    <t>Memorial Medical Center</t>
  </si>
  <si>
    <t>Columbus Community Hospital</t>
  </si>
  <si>
    <t>Harris County Hospital District</t>
  </si>
  <si>
    <t>Shannon Medical Center</t>
  </si>
  <si>
    <t>Baylor All Saints Medical Center</t>
  </si>
  <si>
    <t>Lynn County Hospital District</t>
  </si>
  <si>
    <t>Hemphill County Hospital District</t>
  </si>
  <si>
    <t>Concho County Hospital</t>
  </si>
  <si>
    <t>Baylor University Medical Center</t>
  </si>
  <si>
    <t>Hendrick Medical Center</t>
  </si>
  <si>
    <t>Yoakum Community Hospital</t>
  </si>
  <si>
    <t>Knapp Medical Center</t>
  </si>
  <si>
    <t>Woodland Heights Medical Center</t>
  </si>
  <si>
    <t>Driscoll Children's Hospital</t>
  </si>
  <si>
    <t>Corpus Christi Medical Center</t>
  </si>
  <si>
    <t>Electra Memorial Hospital</t>
  </si>
  <si>
    <t>2021 Master TPI</t>
  </si>
  <si>
    <t>OCHSNER MEDICAL CENTER - BATON ROUGE, LLC</t>
  </si>
  <si>
    <t>UNIVERSITY OF TEXAS HEALTH SCIENCE CENTER AT HOUSTON DBA THE UNIVERSITY OF TX HARRIS</t>
  </si>
  <si>
    <t>HHSC (AUSTIN STATE HOSPITAL)</t>
  </si>
  <si>
    <t>HHSC (NORTH TEXAS STATE HOSPITAL WICHITA FALLS)</t>
  </si>
  <si>
    <t>HHSC (NORTH TEXAS STATE HOSPITAL VERNON)</t>
  </si>
  <si>
    <t>TEXAS CYPRESS CREEK HOSPITAL</t>
  </si>
  <si>
    <t>CEDAR CREST HOSPITAL</t>
  </si>
  <si>
    <t>HHSC (RIO GRANDE STATE CENTER)</t>
  </si>
  <si>
    <t>GREEN OAKS</t>
  </si>
  <si>
    <t>LAUREL RIDGE A BROWN SCHOOLS</t>
  </si>
  <si>
    <t>CLARITY CHILD GUIDANCE CENTER</t>
  </si>
  <si>
    <t>RIVER CREST HOSPITAL INC</t>
  </si>
  <si>
    <t>HHSC (EL PASO PSYCHIATRIC CENTER)</t>
  </si>
  <si>
    <t>WEST OAK HOSPITAL INC.</t>
  </si>
  <si>
    <t>HHSC (TERRELL STATE HOSPITAL)</t>
  </si>
  <si>
    <t>HHSC (SAN ANTONIO STATE HOSPITAL)</t>
  </si>
  <si>
    <t>KINGWOOD PINES HOSPITAL, INC</t>
  </si>
  <si>
    <t>UNIVERSITY BEHAVIORAL HEALTH OF DENTON</t>
  </si>
  <si>
    <t>AUSTIN LAKES HOSPITAL @ ST. DAVID'S</t>
  </si>
  <si>
    <t>HAVEN RED RIVER HOSPITAL LLC</t>
  </si>
  <si>
    <t>BEHAVIORAL HOSPITAL OF BELLAIRE</t>
  </si>
  <si>
    <t>C &amp; I HOLDINGS LLC</t>
  </si>
  <si>
    <t>TEXAS OAKS PSYCHIATRIC HOSPITAL LP</t>
  </si>
  <si>
    <t>CROSS CREEK HOSPITAL</t>
  </si>
  <si>
    <t>WESTPARK SPRINGS LLC</t>
  </si>
  <si>
    <t>DALLAS BEHAVIORAL HEALTHCARE HOSPITAL LLC</t>
  </si>
  <si>
    <t>OCEANS BEHAVORIAL HOSPITAL OF LUFKIN LLC</t>
  </si>
  <si>
    <t>OCEANS BEHAVIORAL HOSPITAL OF ABILENE LLC</t>
  </si>
  <si>
    <t>BEHAVIORAL HEALTH CENTER OF THE PERMIAN BASIN LLC</t>
  </si>
  <si>
    <t>AUDUBON BEHAVIORAL HEALTHCARE OF LONGVIEW LLC</t>
  </si>
  <si>
    <t>OCEANS BEHAVIORAL HOSPITAL OF KATY LLC</t>
  </si>
  <si>
    <t>SRP OCEANS HOSPITAL OF PLANO, LLC</t>
  </si>
  <si>
    <t>PALMS BEHAVIORAL HEALTH</t>
  </si>
  <si>
    <t>OCEANS BEHAVIORAL HOSPITAL OF SAN MARCOS</t>
  </si>
  <si>
    <t>Combined Rates Class &amp; SDA</t>
  </si>
  <si>
    <t>Grand Total</t>
  </si>
  <si>
    <t>Total UPL Gap</t>
  </si>
  <si>
    <t>Inpatient Rate Class</t>
  </si>
  <si>
    <t>HANSFORD COUNTY HOSPITAL DISTRICT</t>
  </si>
  <si>
    <t>UNITED REGIONAL HEALTH CARE SYSTEM</t>
  </si>
  <si>
    <t>Sum of Hdr MCO Pd Amt</t>
  </si>
  <si>
    <t>Non-State-Owned IMD</t>
  </si>
  <si>
    <t>State-Owned Non-IMD</t>
  </si>
  <si>
    <t>State-Owned IMD</t>
  </si>
  <si>
    <t>STAR</t>
  </si>
  <si>
    <t>STAR+PLUS</t>
  </si>
  <si>
    <t>Total</t>
  </si>
  <si>
    <t>Check: Scenario Tab</t>
  </si>
  <si>
    <t>Differences</t>
  </si>
  <si>
    <t>Program</t>
  </si>
  <si>
    <t xml:space="preserve">STAR      </t>
  </si>
  <si>
    <t xml:space="preserve">STAR+PLUS </t>
  </si>
  <si>
    <t xml:space="preserve">STAR </t>
  </si>
  <si>
    <t>Totals:</t>
  </si>
  <si>
    <t>Class</t>
  </si>
  <si>
    <t>Full ACR Gap</t>
  </si>
  <si>
    <t>Acronyms:</t>
  </si>
  <si>
    <t>TPI - Texas Provider Identifier</t>
  </si>
  <si>
    <t>NPI - National Provider Identifier</t>
  </si>
  <si>
    <t>UPL - Upper Payment Limit</t>
  </si>
  <si>
    <t>ACR - Average Commercial Reimbursement</t>
  </si>
  <si>
    <t>ACIA - Average Commercial Incentive Award</t>
  </si>
  <si>
    <t>UHRIP - Uniform Hospital Rate Increase Payment</t>
  </si>
  <si>
    <t>CHIRP - Comprehensive Hospital Increase Reimbursement Program</t>
  </si>
  <si>
    <t>OP - Outpatient</t>
  </si>
  <si>
    <t>IP - Inpatient</t>
  </si>
  <si>
    <t>Total CHIRP Payment</t>
  </si>
  <si>
    <t>SDA - Service Delivery Area</t>
  </si>
  <si>
    <t>Inpatient Medicaid Base Payments</t>
  </si>
  <si>
    <t>Inpatient Pass-Through Payments</t>
  </si>
  <si>
    <t>Outpatient Medicaid Base Payments</t>
  </si>
  <si>
    <t>TPI</t>
  </si>
  <si>
    <t>Baptist Hospitals of Southeast Texas</t>
  </si>
  <si>
    <t>Dimmit Regional Hospital</t>
  </si>
  <si>
    <t>Medical City Las Colinas</t>
  </si>
  <si>
    <t>Medical City Green Oaks</t>
  </si>
  <si>
    <t>Medical City Alliance</t>
  </si>
  <si>
    <t>Medical City Plano</t>
  </si>
  <si>
    <t>Medical City Dallas</t>
  </si>
  <si>
    <t>Medical City Weatherford</t>
  </si>
  <si>
    <t>Medical City Arlington</t>
  </si>
  <si>
    <t>Medical City Fort Worth</t>
  </si>
  <si>
    <t>Medical City North Hills</t>
  </si>
  <si>
    <t>Medical City Lewisville</t>
  </si>
  <si>
    <t>Medical City Denton</t>
  </si>
  <si>
    <t>Medical City McKinney</t>
  </si>
  <si>
    <t>Methodist Hospital South</t>
  </si>
  <si>
    <t>Methodist Stone Oak Hospital</t>
  </si>
  <si>
    <t>Round Rock Medical Center</t>
  </si>
  <si>
    <t>North Austin Medical Center</t>
  </si>
  <si>
    <t>St. David's Medical Center</t>
  </si>
  <si>
    <t>Lubbock County Hospital District</t>
  </si>
  <si>
    <t>Methodist Hospital</t>
  </si>
  <si>
    <t>Big Bend Regional Medical Center</t>
  </si>
  <si>
    <t>Palestine Principal Healthcare Limited Partnership</t>
  </si>
  <si>
    <t>Parkview Regional Hospital</t>
  </si>
  <si>
    <t>Lake Granbury Hospital</t>
  </si>
  <si>
    <t>Laredo Medical Center</t>
  </si>
  <si>
    <t>St. Mark's Medical Center</t>
  </si>
  <si>
    <t>Cedar Park Regional Medical Center</t>
  </si>
  <si>
    <t>Cook Children's Medical Center</t>
  </si>
  <si>
    <t>Detar Hospitals</t>
  </si>
  <si>
    <t>Longview RMC</t>
  </si>
  <si>
    <t>Navarro Regional Hospital</t>
  </si>
  <si>
    <t>Eastland Memorial Hospital District</t>
  </si>
  <si>
    <t>Ascension Providence</t>
  </si>
  <si>
    <t>Ascension Seton Medical Center Austin</t>
  </si>
  <si>
    <t>Ascension Seton Northwest</t>
  </si>
  <si>
    <t>Ascension Seton Highland Lakes</t>
  </si>
  <si>
    <t>Ascension Seton Shoal Creek</t>
  </si>
  <si>
    <t>Ascension Seton Southwest</t>
  </si>
  <si>
    <t>Ascension Seton Hays</t>
  </si>
  <si>
    <t>Dell Children's Medical Center</t>
  </si>
  <si>
    <t>Ascension Seton Williamson</t>
  </si>
  <si>
    <t>Ascension Seton Smithville</t>
  </si>
  <si>
    <t>Dell Seton Medical Center at University of Texas</t>
  </si>
  <si>
    <t>Mitchell County Hospital District</t>
  </si>
  <si>
    <t>Moore County Hospital District</t>
  </si>
  <si>
    <t>Covenant Medical Center</t>
  </si>
  <si>
    <t>Hunt Regional Medical Center</t>
  </si>
  <si>
    <t>Baylor Medical Center at Waxahachie</t>
  </si>
  <si>
    <t>Baylor Regional Medical Center at Grapevine</t>
  </si>
  <si>
    <t>Children's Bexar</t>
  </si>
  <si>
    <t>Children's Dallas</t>
  </si>
  <si>
    <t>Children's El Paso</t>
  </si>
  <si>
    <t>Children's Harris</t>
  </si>
  <si>
    <t>Children's Lubbock</t>
  </si>
  <si>
    <t>Children's Nueces</t>
  </si>
  <si>
    <t>Children's Tarrant</t>
  </si>
  <si>
    <t>Children's Travis</t>
  </si>
  <si>
    <t>Urban Harris</t>
  </si>
  <si>
    <t>Urban Dallas</t>
  </si>
  <si>
    <t>Urban Bexar</t>
  </si>
  <si>
    <t>State-Owned Non-IMD Harris</t>
  </si>
  <si>
    <t>Urban MRSA Central</t>
  </si>
  <si>
    <t>Urban Hidalgo</t>
  </si>
  <si>
    <t>Urban Tarrant</t>
  </si>
  <si>
    <t>Urban Lubbock</t>
  </si>
  <si>
    <t>Urban Nueces</t>
  </si>
  <si>
    <t>Urban El Paso</t>
  </si>
  <si>
    <t>Urban Travis</t>
  </si>
  <si>
    <t>Urban MRSA Northeast</t>
  </si>
  <si>
    <t>Urban MRSA West</t>
  </si>
  <si>
    <t>Urban Jefferson</t>
  </si>
  <si>
    <t>State-Owned Non-IMD Dallas</t>
  </si>
  <si>
    <t>State-Owned Non-IMD MRSA Northeast</t>
  </si>
  <si>
    <t>Rural Hidalgo</t>
  </si>
  <si>
    <t>Rural MRSA Northeast</t>
  </si>
  <si>
    <t>Rural MRSA West</t>
  </si>
  <si>
    <t>Rural Tarrant</t>
  </si>
  <si>
    <t>Non-State-Owned IMD Tarrant</t>
  </si>
  <si>
    <t>Non-State-Owned IMD Harris</t>
  </si>
  <si>
    <t>Non-State-Owned IMD El Paso</t>
  </si>
  <si>
    <t>Non-State-Owned IMD Dallas</t>
  </si>
  <si>
    <t>Non-State-Owned IMD Bexar</t>
  </si>
  <si>
    <t>State-Owned IMD MRSA West</t>
  </si>
  <si>
    <t>Rural Harris</t>
  </si>
  <si>
    <t>Rural Jefferson</t>
  </si>
  <si>
    <t>Rural Dallas</t>
  </si>
  <si>
    <t>Rural Nueces</t>
  </si>
  <si>
    <t>Rural Travis</t>
  </si>
  <si>
    <t>Rural Bexar</t>
  </si>
  <si>
    <t>Rural Lubbock</t>
  </si>
  <si>
    <t>Non-State-Owned IMD Travis</t>
  </si>
  <si>
    <t>Non-State-Owned IMD Hidalgo</t>
  </si>
  <si>
    <t>Rural MRSA Central</t>
  </si>
  <si>
    <t>Non-State-Owned IMD MRSA Central</t>
  </si>
  <si>
    <t>State-Owned IMD Harris</t>
  </si>
  <si>
    <t>Non-State-Owned IMD MRSA West</t>
  </si>
  <si>
    <t>State-Owned IMD El Paso</t>
  </si>
  <si>
    <t>State-Owned IMD Travis</t>
  </si>
  <si>
    <t>State-Owned IMD Dallas</t>
  </si>
  <si>
    <t>Non-State-Owned IMD Lubbock</t>
  </si>
  <si>
    <t>State-Owned IMD Bexar</t>
  </si>
  <si>
    <t>State-Owned Non-IMD Bexar</t>
  </si>
  <si>
    <t>State-Owned IMD Hidalgo</t>
  </si>
  <si>
    <t>State-Owned IMD MRSA Central</t>
  </si>
  <si>
    <t>State-Owned IMD MRSA Northeast</t>
  </si>
  <si>
    <t>Non-State-Owned IMD MRSA Northeast</t>
  </si>
  <si>
    <t>IP Medicare UPL Gap</t>
  </si>
  <si>
    <t>OP Medicare UPL Gap</t>
  </si>
  <si>
    <t>Total Medicare UPL Gap</t>
  </si>
  <si>
    <t>IP UHRIP Payment</t>
  </si>
  <si>
    <t>OP UHRIP Payment</t>
  </si>
  <si>
    <t>Total UHRIP Payment</t>
  </si>
  <si>
    <t>UHRIP Rate Increase based on IP Medicare Gap</t>
  </si>
  <si>
    <t>UHRIP Rate Increase based on OP Medicare Gap</t>
  </si>
  <si>
    <t>415580601</t>
  </si>
  <si>
    <t>Clarity Child Guidance Center
8535 Tom Slick Drive
San Antonio, TX 78229</t>
  </si>
  <si>
    <t>Non-state-owned IMD</t>
  </si>
  <si>
    <t>414962701</t>
  </si>
  <si>
    <t>Ascension Seton Bastrop</t>
  </si>
  <si>
    <t>El Paso Behavioral Health, LLC DBA Rio Vista Behavioral Health</t>
  </si>
  <si>
    <t>414763901</t>
  </si>
  <si>
    <t>1104381292</t>
  </si>
  <si>
    <t>Encompass Health Rehabilitation Hospital of Pearland</t>
  </si>
  <si>
    <t>413256501</t>
  </si>
  <si>
    <t>1154893675</t>
  </si>
  <si>
    <t>South Plains Rehabilitation Hospital, an affiliate of UMC and Encompass Health</t>
  </si>
  <si>
    <t>Pending</t>
  </si>
  <si>
    <t>1487271375</t>
  </si>
  <si>
    <t>Methodist Midlothian Medical Center</t>
  </si>
  <si>
    <t>420957901</t>
  </si>
  <si>
    <t>1184233785</t>
  </si>
  <si>
    <t>BAYLOR SCOTT &amp; WHITE MEDICAL CENTERS - CAPITOL AREA</t>
  </si>
  <si>
    <t>CHIRP Class</t>
  </si>
  <si>
    <t>Mission Hospital, Inc.</t>
  </si>
  <si>
    <t>Dallas Behavioral Healthcare Hospital</t>
  </si>
  <si>
    <t>Jack County Hospital District dba Faith Community Hospital</t>
  </si>
  <si>
    <t>Bosque County Hospital District dba Goodall-Witcher Hospital</t>
  </si>
  <si>
    <t>121776204</t>
  </si>
  <si>
    <t>171848801</t>
  </si>
  <si>
    <t>Scott &amp; White Hospital - Brenham</t>
  </si>
  <si>
    <t>Scott &amp; White Continuing Care Hospital</t>
  </si>
  <si>
    <t>Lake Pointe Operating Company, LLC</t>
  </si>
  <si>
    <t>Scott &amp; White Hospital - Taylor</t>
  </si>
  <si>
    <t>THHBP Management Company LLC</t>
  </si>
  <si>
    <t xml:space="preserve">GAINESVILLE COMMUNITY HOSPITAL, INC DBA NORTH TEXAS MEDICAL CENTER </t>
  </si>
  <si>
    <t xml:space="preserve">Fort Duncan Medical Center
</t>
  </si>
  <si>
    <t xml:space="preserve">Laredo Regional Medical Center LP
</t>
  </si>
  <si>
    <t xml:space="preserve">Northwest Texas Healthcare System
</t>
  </si>
  <si>
    <t xml:space="preserve">McAllen Hospital LP
</t>
  </si>
  <si>
    <t xml:space="preserve">UHS of Texoma
</t>
  </si>
  <si>
    <t xml:space="preserve">Cornerstone Regional Hospital 
</t>
  </si>
  <si>
    <t xml:space="preserve">Fannin County Hospital Authority
</t>
  </si>
  <si>
    <t>W.J. Mangold Memorial Hospital</t>
  </si>
  <si>
    <t>USMD Hospital at Arlington, L.P.</t>
  </si>
  <si>
    <t>Doctors Hospital at Renaissance, Ltd.</t>
  </si>
  <si>
    <t xml:space="preserve">Austin Lakes Hospital
</t>
  </si>
  <si>
    <t>191968001</t>
  </si>
  <si>
    <t>Parkview Hospital</t>
  </si>
  <si>
    <t xml:space="preserve">Hickory Trail
</t>
  </si>
  <si>
    <t>Children's Health Plano</t>
  </si>
  <si>
    <t>Citizens Medical Center County of Victoria</t>
  </si>
  <si>
    <t xml:space="preserve"> St. Luke's Community Health Services - The Woodlands 
</t>
  </si>
  <si>
    <t xml:space="preserve"> St. Luke's Lakeside Hospital 
</t>
  </si>
  <si>
    <t xml:space="preserve"> St. Luke's Hospital at The Vintage 
</t>
  </si>
  <si>
    <t xml:space="preserve"> St. Luke's Patients Medical Center 
</t>
  </si>
  <si>
    <t xml:space="preserve"> The Community Hospital of Brazosport 
</t>
  </si>
  <si>
    <t xml:space="preserve"> Memorial Medical Center of East Texas  
</t>
  </si>
  <si>
    <t xml:space="preserve"> Memorial Hospital - San Augustine  
</t>
  </si>
  <si>
    <t xml:space="preserve"> CHI St. Joseph Regional Health Center   
</t>
  </si>
  <si>
    <t xml:space="preserve"> CHI St. Joseph Health - Grimes 
</t>
  </si>
  <si>
    <t xml:space="preserve"> CHI  St. Joseph Health -  Burleson 
</t>
  </si>
  <si>
    <t>HMIH Cedar Crest, LLC</t>
  </si>
  <si>
    <t>Red River Hospital</t>
  </si>
  <si>
    <t>Bexar County Hospital District d/b/a University Health</t>
  </si>
  <si>
    <t>Fisher County Hospital District</t>
  </si>
  <si>
    <t>Texas Health Huguley, Inc. dba Texas Health Huguley Hospital Fort Worth South</t>
  </si>
  <si>
    <t>Dallas County Hospital District</t>
  </si>
  <si>
    <t>Hardeman County Memorial Hospital</t>
  </si>
  <si>
    <t>Dawson County Hospital District dba Medical Arts Hospital</t>
  </si>
  <si>
    <t>Preferred Hospital Leasing Muleshoe, Inc. dba Muleshoe Area Medical Center</t>
  </si>
  <si>
    <t>Muenster Memorial Hospital</t>
  </si>
  <si>
    <t>Martin County Hospital District</t>
  </si>
  <si>
    <t>Bellville Medical Center</t>
  </si>
  <si>
    <t>Texas Children’s Hospital</t>
  </si>
  <si>
    <t>Somervell County Hospital District</t>
  </si>
  <si>
    <t>Uvalde County Hospital Authority</t>
  </si>
  <si>
    <t xml:space="preserve">Memorial Hermann - Texas Medical center
</t>
  </si>
  <si>
    <t>Preferred Hospital Leasing Junction, Inc. dba Kimble Hospital</t>
  </si>
  <si>
    <t>Encompass Health Rehabilitation Hospital of Humble</t>
  </si>
  <si>
    <t>220238401</t>
  </si>
  <si>
    <t>Comanche County Medical Center</t>
  </si>
  <si>
    <t>Falls Community Hospital and Clinic</t>
  </si>
  <si>
    <t>Preferred Hospital Leasing Hemphill, Inc. dba Sabine County Hospital</t>
  </si>
  <si>
    <t xml:space="preserve">Texas Health Harris Methodist Hospital Fort Worth
</t>
  </si>
  <si>
    <t xml:space="preserve">Texas Health Harris Methodist Hospital Azle
</t>
  </si>
  <si>
    <t xml:space="preserve">Texas Health Harris Methodist Hospital Southwest Fort Worth
</t>
  </si>
  <si>
    <t xml:space="preserve">Texas Health Harris Methodist Hospital Hurst-Euless-Bedford
</t>
  </si>
  <si>
    <t xml:space="preserve">Texas Health Harris Methodist Hospital Cleburne
</t>
  </si>
  <si>
    <t xml:space="preserve">Texas Health Harris Methodist Hospital Stephenville
</t>
  </si>
  <si>
    <t xml:space="preserve">Texas Health Presbyterian Hospital Dallas
</t>
  </si>
  <si>
    <t xml:space="preserve">Texas Health Presbyterian Hospital Kaufman
</t>
  </si>
  <si>
    <t xml:space="preserve">Texas Health Presbyterian Hospital Plano
</t>
  </si>
  <si>
    <t xml:space="preserve">Texas Health Presbyterian Hospital Allen
</t>
  </si>
  <si>
    <t xml:space="preserve">Texas Health Arlington Memorial Hospital
</t>
  </si>
  <si>
    <t xml:space="preserve">Texas Health Presbyterian Hospital Denton
</t>
  </si>
  <si>
    <t xml:space="preserve">Texas Health Harris Methodist Hospital Alliance
</t>
  </si>
  <si>
    <t xml:space="preserve">Texas Health Heart Hospital
</t>
  </si>
  <si>
    <t xml:space="preserve">Texas Health Rockwall
</t>
  </si>
  <si>
    <t xml:space="preserve">Texas Health Southlake
</t>
  </si>
  <si>
    <t xml:space="preserve">Texas Health Center Diagnostic and Surgery
</t>
  </si>
  <si>
    <t xml:space="preserve">Texas Health Flower Mound
</t>
  </si>
  <si>
    <t>HCA Houston Clear Lake</t>
  </si>
  <si>
    <t>HCA Houston Conroe</t>
  </si>
  <si>
    <t>HCA Houston Southeast</t>
  </si>
  <si>
    <t>HCA Houston Medical Center</t>
  </si>
  <si>
    <t>HCA Houston Northwest</t>
  </si>
  <si>
    <t>Texas Orthopedic Hospital</t>
  </si>
  <si>
    <t>Encompass Health Rehabilitation Hospital of Abilene</t>
  </si>
  <si>
    <t>Encompass Health Rehabilitation Hospital of Arlington</t>
  </si>
  <si>
    <t>Encompass Health Rehabilitation Hospital of Austin</t>
  </si>
  <si>
    <t>CHI St. Joseph Health Rehabilitation Hospital, an affiliate of Encompass Health</t>
  </si>
  <si>
    <t>Encompass Health Rehabilitation Hospital of City View</t>
  </si>
  <si>
    <t>Encompass Health Rehabilitation Hospital of Cypress</t>
  </si>
  <si>
    <t>HCA Houston West</t>
  </si>
  <si>
    <t>Encompass Health Rehabilitation Hospital of Dallas</t>
  </si>
  <si>
    <t>Encompass Health Rehabilitation Hospital of the Mid-Cities</t>
  </si>
  <si>
    <t>Swisher Memorial Healthcare System</t>
  </si>
  <si>
    <t>Encompass Health Rehabilitation Hospital of Midland Odessa</t>
  </si>
  <si>
    <t xml:space="preserve">The Hospitals of Providence Memorial Campus
</t>
  </si>
  <si>
    <t>HCA Houston Tomball</t>
  </si>
  <si>
    <t>Refugio County Memorial Hospital District</t>
  </si>
  <si>
    <t>Encompass Health Rehabilitation Hospital of Plano</t>
  </si>
  <si>
    <t>HCA Houston Kingwood</t>
  </si>
  <si>
    <t>Encompass Health Rehabilitation Hospital of Richardson</t>
  </si>
  <si>
    <t>Encompass Health Rehabilitation Hospital of Round Rock</t>
  </si>
  <si>
    <t>Encompass Health Rehabilitation Hospital of San Antonio</t>
  </si>
  <si>
    <t>Valley Regional Medical Center</t>
  </si>
  <si>
    <t xml:space="preserve">The Hospitals of Providence East Campus
</t>
  </si>
  <si>
    <t>Wilson County Memorial Hospital District dba Connally Memorial Medical Center</t>
  </si>
  <si>
    <t xml:space="preserve">The Hospitals of Providence Transmountain Campus
</t>
  </si>
  <si>
    <t xml:space="preserve">Nacogdoches Medical Center
</t>
  </si>
  <si>
    <t xml:space="preserve">Resolute Hospital Company LLC
</t>
  </si>
  <si>
    <t xml:space="preserve">VHS San Antonio Partners LLC
</t>
  </si>
  <si>
    <t xml:space="preserve">Valley Baptist Medical Center - Harlingen
</t>
  </si>
  <si>
    <t xml:space="preserve">Valley Baptist Medical Center - Brownsville
</t>
  </si>
  <si>
    <t>HH Killeen Health System LLC-Seton Medical Center Harker Heights</t>
  </si>
  <si>
    <t>Medical Center Health System</t>
  </si>
  <si>
    <t xml:space="preserve">The Hospitals of Providence Sierra Campus
</t>
  </si>
  <si>
    <t>KNOX COUNTY HOSPITAL DISTRICT</t>
  </si>
  <si>
    <t>Encompass Health Rehabilitation Hospital of Sugar Land</t>
  </si>
  <si>
    <t>Encompass Health Rehabilitation Hospital of Texarkana</t>
  </si>
  <si>
    <t>1447883301</t>
  </si>
  <si>
    <t>Encompass Health Rehabilitation Hospital The Vintage</t>
  </si>
  <si>
    <t>Encompass Health Rehabilitation Hospital of The Woodlands</t>
  </si>
  <si>
    <t>Preferred Hospital Leasing Coleman, Inc. dba Coleman County Medical Center</t>
  </si>
  <si>
    <t>Jackson County Hospital District</t>
  </si>
  <si>
    <t>Christus Trinity Mother Frances Rehabilitation Hospital, a partner of Encompass Health</t>
  </si>
  <si>
    <t>OakBend Medical Center</t>
  </si>
  <si>
    <t>University of Texas Health Science Center at Tyler</t>
  </si>
  <si>
    <t>Encompass Health Rehabilitation Hospital of Vision Park</t>
  </si>
  <si>
    <t>Encompass Health Rehabilitation Hospital of Wichita Falls</t>
  </si>
  <si>
    <t>University of Texas Southwestern Medical Center - Clements University Hospital</t>
  </si>
  <si>
    <t>Childress County Hospital District</t>
  </si>
  <si>
    <t>Ascension Seton Edgar B Davis</t>
  </si>
  <si>
    <t>Rio Grande Regional Hospital</t>
  </si>
  <si>
    <t>Woman's Hospital of Texas</t>
  </si>
  <si>
    <t>Coryell County Memorial Hospital Authority</t>
  </si>
  <si>
    <t>163219202</t>
  </si>
  <si>
    <t>Lubbock Heart Hospital LLC</t>
  </si>
  <si>
    <t>Ochiltree Hospital District</t>
  </si>
  <si>
    <t>Baylor County Hospital District - Seymour Hospital</t>
  </si>
  <si>
    <t>Austin State Hospital</t>
  </si>
  <si>
    <t>Haskell County Hospital District dba Haskell Memorial Hospital</t>
  </si>
  <si>
    <t>Big Springs State Hospital</t>
  </si>
  <si>
    <t>Rusk State Hospital</t>
  </si>
  <si>
    <t>Reeves County Hospital District</t>
  </si>
  <si>
    <t>Ballinger Memorial Hospital District</t>
  </si>
  <si>
    <t>McCamey Hospital</t>
  </si>
  <si>
    <t>Reagan Hospital District</t>
  </si>
  <si>
    <t>Medina County Hospital District</t>
  </si>
  <si>
    <t/>
  </si>
  <si>
    <t>138349908</t>
  </si>
  <si>
    <t>376537201</t>
  </si>
  <si>
    <t>1598138919</t>
  </si>
  <si>
    <t>El Paso Psychiatric Center</t>
  </si>
  <si>
    <t>135034006</t>
  </si>
  <si>
    <t>Terrell State Hospital</t>
  </si>
  <si>
    <t>San Antonio State Hospital</t>
  </si>
  <si>
    <t>391576105</t>
  </si>
  <si>
    <t>IP ACIA Payment</t>
  </si>
  <si>
    <t>OP ACIA Payment</t>
  </si>
  <si>
    <t>IP ACIA Rate</t>
  </si>
  <si>
    <t>OP ACIA Rate</t>
  </si>
  <si>
    <t>IP UHRIP Rate</t>
  </si>
  <si>
    <t>OP UHRIP Rate</t>
  </si>
  <si>
    <t>Total ACIA Payment</t>
  </si>
  <si>
    <t>State Share</t>
  </si>
  <si>
    <t>% of ACR before Cutback</t>
  </si>
  <si>
    <t>Hospitals Receive</t>
  </si>
  <si>
    <t>MCO Retains</t>
  </si>
  <si>
    <t>Suggested Total IGT for Declaration of Intent after 8% (12 months)</t>
  </si>
  <si>
    <t>Suggested IGT for 2nd 6 months</t>
  </si>
  <si>
    <t>Class and SDA</t>
  </si>
  <si>
    <t>San Antonio Behavioral Healthcare Hospital</t>
  </si>
  <si>
    <t>Crockett Medical Center</t>
  </si>
  <si>
    <t>Mesa Springs</t>
  </si>
  <si>
    <t>Woodland Springs</t>
  </si>
  <si>
    <t>Georgetown Behavioral Health Institute, LLC</t>
  </si>
  <si>
    <t>MID COAST MEDICAL CENTER - CENTRAL</t>
  </si>
  <si>
    <t>Does the Hospital Have Positive IP ACR Room?</t>
  </si>
  <si>
    <t>Does the Hospital Have Positive OP ACR Room?</t>
  </si>
  <si>
    <t>1942795133</t>
  </si>
  <si>
    <t>Inpatient CHIRP Rate</t>
  </si>
  <si>
    <t>Outpatient CHIRP Rate</t>
  </si>
  <si>
    <t>Inpatient SDPs: Estimated UHRIP Payments</t>
  </si>
  <si>
    <t>IP ACIA payment is &gt; $0</t>
  </si>
  <si>
    <t>IGT Recommendations by SDA</t>
  </si>
  <si>
    <t>OP ACIA payment is &gt; $0</t>
  </si>
  <si>
    <t>Total ACIA payment is &gt; $0</t>
  </si>
  <si>
    <t>Inpatient Average Commercial Reimbursement UPL</t>
  </si>
  <si>
    <t>Outpatient Average Commercial Reimbursement UPL</t>
  </si>
  <si>
    <t>Hospital Receives</t>
  </si>
  <si>
    <t>STAR IP Total</t>
  </si>
  <si>
    <t>STAR OP Total</t>
  </si>
  <si>
    <t>Capitation Factors</t>
  </si>
  <si>
    <t>Risk Margin - STAR</t>
  </si>
  <si>
    <t>Risk Margin - STAR+PLUS</t>
  </si>
  <si>
    <t>Admin</t>
  </si>
  <si>
    <t>Premium Tax</t>
  </si>
  <si>
    <t>ACA Fee</t>
  </si>
  <si>
    <t>MCO Fees</t>
  </si>
  <si>
    <t>Total Hospital Receives Plus MCO Fees</t>
  </si>
  <si>
    <t>Baylor Scott &amp; White Emergency Hospital Burleson</t>
  </si>
  <si>
    <t>Hospitals of Providence</t>
  </si>
  <si>
    <t>Cutback</t>
  </si>
  <si>
    <t>Outpatient SDPs: Estimated UHRIP Payments</t>
  </si>
  <si>
    <t>Requested to participate in ACIA Component?</t>
  </si>
  <si>
    <t>Yes</t>
  </si>
  <si>
    <t>No</t>
  </si>
  <si>
    <t>Inpatient ACR Payment Level</t>
  </si>
  <si>
    <t>Outpatient ACR Payment Level</t>
  </si>
  <si>
    <t>Allowable % of IP ACIA</t>
  </si>
  <si>
    <t>Reduction</t>
  </si>
  <si>
    <t>Allowable IP ACIA Payment to Stay at 90% of ACR.</t>
  </si>
  <si>
    <t>Allowable OP ACIA Payment to Stay at 90% of ACR.</t>
  </si>
  <si>
    <t>Allowable % of OP ACIA</t>
  </si>
  <si>
    <t>Revised IP ACIA Rate</t>
  </si>
  <si>
    <t>Revised OP ACIA Rate</t>
  </si>
  <si>
    <t>Revised IP ACIA Payment to stay at 90% of ACR</t>
  </si>
  <si>
    <t>Revised OP ACIA Payment to stay at 90% of ACR</t>
  </si>
  <si>
    <t>Inpatient SDPs: Estimated Inpatient ACIA Payments before reduction</t>
  </si>
  <si>
    <t>Outpatient SDPs: Estimated Outpatient ACIA Payments before reduction</t>
  </si>
  <si>
    <t>ACIA Reduction Calculation to Stay at 90% of ACR</t>
  </si>
  <si>
    <t>IP ACIA Payment before reduction to stay at 90% of ACR</t>
  </si>
  <si>
    <t>OP ACIA Payment (before reduction to stay at 90% of ACR)</t>
  </si>
  <si>
    <t>Key:</t>
  </si>
  <si>
    <t>Fields that will autofill</t>
  </si>
  <si>
    <t>Master TPI list</t>
  </si>
  <si>
    <t>Enrollment</t>
  </si>
  <si>
    <t>Standard Dollar Amount File</t>
  </si>
  <si>
    <t>Actuarial Analysis</t>
  </si>
  <si>
    <t>IP Medicare UPL Test and IMD Medicare UPL Test</t>
  </si>
  <si>
    <t>OP Medicare UPL Test, or 0 for IMDs</t>
  </si>
  <si>
    <t>420957903</t>
  </si>
  <si>
    <t>Calculated in the ACR model tab using enrollment and UPL info; for IMDs, need Medicaid charges as well.</t>
  </si>
  <si>
    <t>Calculated in the ACR model tab using enrollment and UPL info.</t>
  </si>
  <si>
    <t>Frio Hospital Association dba Frio Regional Hospital</t>
  </si>
  <si>
    <t>Wise Health System</t>
  </si>
  <si>
    <t xml:space="preserve">Austin Behavioral Health </t>
  </si>
  <si>
    <t>Scurry County Hospital District DBA Cogdell Memorial Hospital</t>
  </si>
  <si>
    <t>NHCI of Hillsboro, Inc.  DBA Hill Regional Hospital</t>
  </si>
  <si>
    <t>Stephens Memorial Hospital</t>
  </si>
  <si>
    <t>South Limestone Hospital District DBA Limestone Medical Center</t>
  </si>
  <si>
    <t>UNIVERSITY OF TEXAS MEDICAL BRANCH (UNIVERSITY OF TEXAS MEDICAL BRANCH AT GALVESTON)</t>
  </si>
  <si>
    <t>Sherman/Grayson Hospital, LC
dba Wilson N Jones Regional Medical Center
500 N Highland Street
Sherman, TX 75092</t>
  </si>
  <si>
    <t>Rock Springs, LLC</t>
  </si>
  <si>
    <t>COUNTY OF YOAKUM, d/b/a, YOAKUM COUNTY HOSPITAL</t>
  </si>
  <si>
    <t>Baptist Neighborhood Hospital</t>
  </si>
  <si>
    <t>Liberty County Hospital District No 1, d/b/a/ Liberty Dayton Regional Medical Center</t>
  </si>
  <si>
    <t>Lamb Healthcare Center</t>
  </si>
  <si>
    <t>Memorial Hermann - MHHS</t>
  </si>
  <si>
    <t>Memorial Hermann - Memorial City</t>
  </si>
  <si>
    <t>Memorial Hermann - Sugar Land</t>
  </si>
  <si>
    <t>Memorial Hermann - Katy</t>
  </si>
  <si>
    <t>Memorial Hermann - Northeast</t>
  </si>
  <si>
    <t>Memorial Hermann - TIRR</t>
  </si>
  <si>
    <t>Memorial Hermann - Katy Rehabilitation</t>
  </si>
  <si>
    <t>Graham Regional Medical Center</t>
  </si>
  <si>
    <t>Dallam Hartley Counties Hospital District dba Coon Memorial Hospital</t>
  </si>
  <si>
    <t xml:space="preserve">Children's Health Dallas </t>
  </si>
  <si>
    <t>Heart of Texas Memorial Hospital</t>
  </si>
  <si>
    <t>Methodist Children's Hospital
dba Covenant Children's Hospital</t>
  </si>
  <si>
    <t>Methodist Hospital Levelland
dba Covenant Hospital Levelland</t>
  </si>
  <si>
    <t>Methodist Hospital Plainview
dba Covenant Hospital Plainview</t>
  </si>
  <si>
    <t xml:space="preserve">Bexar County Hospital District d/b/a University Health </t>
  </si>
  <si>
    <t>Oceans Behavioral Hospital of Abilene, LLC</t>
  </si>
  <si>
    <t>Oceans Behavioral Hospital of the Permian Basin</t>
  </si>
  <si>
    <t xml:space="preserve">El Paso Children's Hospital Corporation d/b/a El Paso Children's Hospital </t>
  </si>
  <si>
    <t>Harlingen Medical Center</t>
  </si>
  <si>
    <t>Terry County Memorial Hospital District, dba, Brownfield Regional Medical Center</t>
  </si>
  <si>
    <t>Pampa Regional Medical Center</t>
  </si>
  <si>
    <t>Tarrant County Hospital District d/b/a JPS Health Network</t>
  </si>
  <si>
    <t>Fairfield Hospital District dba Freestone Medical Center</t>
  </si>
  <si>
    <t>Methodist Health Centers d/b/a Houston Methodist Sugar Land Hospital</t>
  </si>
  <si>
    <t>Methodist Health Centers d/b/a Houston Methodist Willowbrook Hospital</t>
  </si>
  <si>
    <t>Methodist Health Centers d/b/a Houston Methodist West Hospital</t>
  </si>
  <si>
    <t>San Jacinto Methodist Hospital d/b/a Houston Methodist Baytown Hospital</t>
  </si>
  <si>
    <t>The Methodist Hospital d/b/a Houston Methodist Hospital</t>
  </si>
  <si>
    <t>Houston Methodist St John Hospital d/b/a Houston Methodist Clear Lake Hospital</t>
  </si>
  <si>
    <t>Methodist Health Centers d/b/a Houston Methodist The Woodlands Hospital</t>
  </si>
  <si>
    <t>Guadalupe County Hospital Board DBA Guadalupe Regional Medical Center</t>
  </si>
  <si>
    <t>Glen Oaks Hospital</t>
  </si>
  <si>
    <t>River Crest Hospital</t>
  </si>
  <si>
    <t>Cypress Creek Hospital Inc</t>
  </si>
  <si>
    <t>SHC KPH LP</t>
  </si>
  <si>
    <t>Laurel Ridge Treatment Center</t>
  </si>
  <si>
    <t>Millwood Hospital</t>
  </si>
  <si>
    <t>Austin Oaks Hospital</t>
  </si>
  <si>
    <t>Behavioral Health Bellaire</t>
  </si>
  <si>
    <t>Mayhill Hospital</t>
  </si>
  <si>
    <t>University Behavioral Health of Denton</t>
  </si>
  <si>
    <t>University BH of El Paso</t>
  </si>
  <si>
    <t>West Oak Hospital Inc.</t>
  </si>
  <si>
    <t>Matagorda County Hospital District</t>
  </si>
  <si>
    <t xml:space="preserve"> CHI St. Luke's Health Baylor College of Medicine Medical Center  
</t>
  </si>
  <si>
    <t>St. Luke's Sugar Land  Hospital</t>
  </si>
  <si>
    <t xml:space="preserve"> Memorial Hospital of Polk County 
</t>
  </si>
  <si>
    <t xml:space="preserve">CHI St. Joseph Health - Madison 
</t>
  </si>
  <si>
    <t xml:space="preserve">Baylor Heart &amp; Vascular Center LLP 
</t>
  </si>
  <si>
    <t>Titus County Hospital District d/b/a Titus Regional Medical Center</t>
  </si>
  <si>
    <t>CASTRO COUNTY HOSPITAL DISTRICT DBA PLAINS MEMORIAL HOSPITAL</t>
  </si>
  <si>
    <t xml:space="preserve">Baylor Medical Center at Irving
</t>
  </si>
  <si>
    <t xml:space="preserve">Baylor Medical Centers at Garland and McKinney
</t>
  </si>
  <si>
    <t xml:space="preserve">Baylor Regional Medical Center at Plano
</t>
  </si>
  <si>
    <t xml:space="preserve">Baylor Scott &amp; White Medical Center - Centennial
</t>
  </si>
  <si>
    <t xml:space="preserve">Scott &amp; White Hospital - College Station
</t>
  </si>
  <si>
    <t xml:space="preserve">Hillcrest Baptist Medical Center
</t>
  </si>
  <si>
    <t>Scott &amp; White Hospital -Marble Falls</t>
  </si>
  <si>
    <t>Baylor Scott &amp; White Medical Centers - Capitol Area</t>
  </si>
  <si>
    <t xml:space="preserve">Scott &amp; White Hospital - Round Rock
</t>
  </si>
  <si>
    <t xml:space="preserve">Scott and White Memorial Hospital
</t>
  </si>
  <si>
    <t xml:space="preserve">THHBP Management Company LLC </t>
  </si>
  <si>
    <t xml:space="preserve">Texas Heart Hospital of the Southwest LLP
</t>
  </si>
  <si>
    <t>HCA Houston Pearland</t>
  </si>
  <si>
    <t>Methodist Charlton Medical Center</t>
  </si>
  <si>
    <t>Methodist Dallas Medical Center</t>
  </si>
  <si>
    <t>Methodist Mansfield Medical Center</t>
  </si>
  <si>
    <t>Methodist Richardson Medical Center</t>
  </si>
  <si>
    <t>North Runnels County Hospital</t>
  </si>
  <si>
    <t>CAHRMC LLC dba Rice Medical Center</t>
  </si>
  <si>
    <t>St. Davids South Austin</t>
  </si>
  <si>
    <t>Las Palmas Del Sol</t>
  </si>
  <si>
    <t>Rolling Plains Memorial Hospital</t>
  </si>
  <si>
    <t>Encompass Health Rehabilitation Hospital of Katy</t>
  </si>
  <si>
    <t>Seminole Hospital District of Gaines County TX</t>
  </si>
  <si>
    <t>Haven Behavioral Hospital of Frisco</t>
  </si>
  <si>
    <t>Anson General Hospital</t>
  </si>
  <si>
    <t>Shannon Rehabilitation Hospital, an affiliate of Encompass Health</t>
  </si>
  <si>
    <t>Deaf Smith County Hospital District</t>
  </si>
  <si>
    <t>Encompass Health Rehabilitation Hospital of Waco</t>
  </si>
  <si>
    <t>Throckmorton County Memorial Hospital</t>
  </si>
  <si>
    <t>Temple Behavioral Healthcare Hospital Inc
dba Canyon Creek Behavioral Health</t>
  </si>
  <si>
    <t>SUN Houston LLC</t>
  </si>
  <si>
    <t>Kerrville State Hospital</t>
  </si>
  <si>
    <t>North Texas State Hospital/Wichita</t>
  </si>
  <si>
    <t>North Texas State Hospital/Vernon</t>
  </si>
  <si>
    <t>Rio Grande State School</t>
  </si>
  <si>
    <t>Texas Center for Infectious Diseases</t>
  </si>
  <si>
    <t>Waco Center for Youth</t>
  </si>
  <si>
    <t xml:space="preserve">Sunrise Canyon Hospital </t>
  </si>
  <si>
    <t>Paris Regional Medical Center</t>
  </si>
  <si>
    <t>Cuero Community Hospital</t>
  </si>
  <si>
    <t>Wilbarger County Hospital District</t>
  </si>
  <si>
    <t>GPCH, LLC dba Golden Plains Community Hospital</t>
  </si>
  <si>
    <t>Scenic Mountain Medical Center</t>
  </si>
  <si>
    <t>Odessa Regional Medical Center</t>
  </si>
  <si>
    <t>The Medical Center Of Southeast Texas</t>
  </si>
  <si>
    <t>Wadley Regional Medical Center</t>
  </si>
  <si>
    <t>Andrews County Hospital District</t>
  </si>
  <si>
    <t>Intracare Hospital North
Intracare North Hospital DBA</t>
  </si>
  <si>
    <t xml:space="preserve">Starr County Memorial Hospital
</t>
  </si>
  <si>
    <t>Westpark Springs LLC</t>
  </si>
  <si>
    <t>Ward Memorial Hospital</t>
  </si>
  <si>
    <t>Karnes County Hospital District</t>
  </si>
  <si>
    <t>Prime Healthcare Service - Mesquite, LLC (DBA Dallas Regional Medical Center)</t>
  </si>
  <si>
    <t>Pipeline East Dallas LLC dba White Rock Medical Center</t>
  </si>
  <si>
    <t>Sweeny Community Hospital</t>
  </si>
  <si>
    <t xml:space="preserve">CHRISTUS SPOHN HEALTH SYSTEM CORPORATION-CHRISTUS SPOHN HOSPITAL ALICE      
</t>
  </si>
  <si>
    <t xml:space="preserve">CHRISTUS SPOHN HEALTH SYSTEM CORPORATION-CHRISTUS SPOHN HOSPITAL KLEBERG                   
</t>
  </si>
  <si>
    <t xml:space="preserve">CHRISTUS SPOHN HEALTH SYSTEM CORPORATION-CHRISTUS SPOHN HOSPITAL CORPUS CHRISTI            
</t>
  </si>
  <si>
    <t xml:space="preserve">CHRISTUS SANTA ROSA HEALTH CARE CORPORATION-CHRISTUS SANTA ROSA HOSPITAL                      
</t>
  </si>
  <si>
    <t xml:space="preserve">CHRISTUS SANTA ROSA HEALTH CARE CORPORATION-CHRISTUS SANTA ROSA CHILDRENS                     
</t>
  </si>
  <si>
    <t xml:space="preserve">CHRISTUS HOPKINS HEALTH ALLIANCE-CHRISTUS MOTHER FRANCES HOSPITAL - SULPHUR SPRINGS
</t>
  </si>
  <si>
    <t xml:space="preserve">MOTHER FRANCES HOSPITAL JACKSONVILLE              
</t>
  </si>
  <si>
    <t xml:space="preserve">MOTHER FRANCES HOSPITAL WINNSBORO                 
</t>
  </si>
  <si>
    <t xml:space="preserve">MOTHER FRANCES HOSPITAL REGIONAL HEALTHCARE CENTER-MOTHER FRANCES HOSPITAL                           
</t>
  </si>
  <si>
    <t xml:space="preserve">CHRISTUS HEALTH ARK LATEX-CHRISTUS ST MICHAEL        
</t>
  </si>
  <si>
    <t xml:space="preserve">CHRISTUS HEALTH ARK LATEX-CHRISTUS ST MICHAEL REHABILITATION HOSPITAL       
</t>
  </si>
  <si>
    <t xml:space="preserve">CHRISTUS GOOD SHEPHERD MEDICAL CENTER-CHRISTUS GOOD SHEPHERD MEDICAL CENTER MARSHALL    
</t>
  </si>
  <si>
    <t xml:space="preserve">CHRISTUS JASPER MEMORIAL HOSPITAL-                                                  
</t>
  </si>
  <si>
    <t xml:space="preserve">CHRISTUS HEALTH SOUTHEAST TEXAS-CHRISTUS HOSPITAL                                 
</t>
  </si>
  <si>
    <t>Texas Vista Medical Center</t>
  </si>
  <si>
    <t xml:space="preserve">CHRISTUS Santa Rosa Hospital-San Marcos                                      
</t>
  </si>
  <si>
    <t>Houston Behavioral Healthcare Hospital</t>
  </si>
  <si>
    <t xml:space="preserve">Legal Name: Texas Scottish Rite Hospital for Crippled Children
DBA: Texas Scottish Rite Hospital for Children Scottish Rite for Children
</t>
  </si>
  <si>
    <t>Palo Pinto County Hospital District</t>
  </si>
  <si>
    <t>Lavaca Medical Center</t>
  </si>
  <si>
    <t xml:space="preserve">Hill Country Memorial Hospital
</t>
  </si>
  <si>
    <t>Lillian Hudspeth Memorial Hospital</t>
  </si>
  <si>
    <t>El Paso County Hospital District dba University Medical Center of El Paso</t>
  </si>
  <si>
    <t>Crane County Hospital District</t>
  </si>
  <si>
    <t>Val Verde Regional Medical Center</t>
  </si>
  <si>
    <t>Metroplex Adventist Hospital, Inc. dba AdventHealth Central Texas</t>
  </si>
  <si>
    <t>Metroplex Adventist Hospital, Inc. dba AdventHealth Rollins Brook</t>
  </si>
  <si>
    <t>Stonewall Memorial Hospital District</t>
  </si>
  <si>
    <t xml:space="preserve">Texas Health Frisco
</t>
  </si>
  <si>
    <t>PRHC Ennis LP</t>
  </si>
  <si>
    <t>MIDLAND COUNTY HOSPITAL DISTRCT - MIDLAND MEMORIAL HOSPITAL</t>
  </si>
  <si>
    <t>Methodist Southlake Medical Center</t>
  </si>
  <si>
    <t>Athens Hospital LLC - UT HEALTH EAST TEXAS ATHENS HOSPITAL</t>
  </si>
  <si>
    <t>Carthage Hospital LLC - UT HEALTH EAST TEXAS CARTHAGE HOSPITAL</t>
  </si>
  <si>
    <t>Henderson Hospital LLC - UT HEALTH EAST TEXAS HENDERSON HOSPITAL</t>
  </si>
  <si>
    <t>Jacksonville Hospital LLC - UT HEALTH EAST TEXAS JACKSONVILLE HOSPITAL</t>
  </si>
  <si>
    <t>Pittsburg Hospital LLC - UT HEALTH EAST TEXAS PITTSBURG HOSPITAL</t>
  </si>
  <si>
    <t>Quitman Hospital LLC - UT HEALTH EAST TEXAS QUITMAN HOSPITAL</t>
  </si>
  <si>
    <t>Rehabilitation Hospital LLC - UT HEALTH EAST TEXAS REHABILITATION HOSPITAL</t>
  </si>
  <si>
    <t>Tyler Regional Hospital LLC - UT HEALTH EAST TEXAS TYLER REGIONAL HOSPITAL</t>
  </si>
  <si>
    <t>BSA Hospital LLC - Baptist St Anthonys Hospital</t>
  </si>
  <si>
    <t>PHYSICIANS SURGICAL HOSPITAL LLC - Quail Creek Surgical Hospital</t>
  </si>
  <si>
    <t>Chambers County Public Hospital District No1 DBA Omni Point Health Hospital</t>
  </si>
  <si>
    <t>Huntsville Community Hospital, Inc., d/b/a Huntsville Memorial Hospital</t>
  </si>
  <si>
    <t>HAMILTON COUNTY HOSPITAL DISTRICT
DBA:  HAMILTON HEALTHCARE SYSTEM
DBA:  HAMILTON GENERAL HOSPITAL</t>
  </si>
  <si>
    <t>Nacogdoches County Hospital District</t>
  </si>
  <si>
    <t>GENERAL HOSPITAL</t>
  </si>
  <si>
    <t>Hendrick Medical Center Brownwood</t>
  </si>
  <si>
    <t>State-owned non-IMD</t>
  </si>
  <si>
    <t>State-owned IMD</t>
  </si>
  <si>
    <t>1881252203</t>
  </si>
  <si>
    <t>1306448899</t>
  </si>
  <si>
    <t>1205420916</t>
  </si>
  <si>
    <t>1427671064</t>
  </si>
  <si>
    <t>1568818417</t>
  </si>
  <si>
    <t>427092801</t>
  </si>
  <si>
    <t>431237301</t>
  </si>
  <si>
    <t>432310701</t>
  </si>
  <si>
    <t>421199701</t>
  </si>
  <si>
    <t>425740401</t>
  </si>
  <si>
    <t>2022 IP UPL Gap</t>
  </si>
  <si>
    <t>2022 OP UPL Gap</t>
  </si>
  <si>
    <t>CHIRP SFY2023 Payment Calculation Model</t>
  </si>
  <si>
    <t>Hospital Location</t>
  </si>
  <si>
    <t>All</t>
  </si>
  <si>
    <t>SFY23 Estimated Payments*</t>
  </si>
  <si>
    <t>12 Month CHIRP Increase</t>
  </si>
  <si>
    <t xml:space="preserve">CHRISTUS SANTA ROSA HEALTH CARE CORPORATION-CHRISTUS SANTA ROSA CHILDRENS 
</t>
  </si>
  <si>
    <t xml:space="preserve">  Total - STAR</t>
  </si>
  <si>
    <t xml:space="preserve">  Total - STAR+PLUS</t>
  </si>
  <si>
    <t xml:space="preserve">CHRISTUS SANTA ROSA HEALTH CARE CORPORATION-CHRISTUS SANTA ROSA HOSPITAL 
</t>
  </si>
  <si>
    <t>OP identified by Bill Codes starting with '13'</t>
  </si>
  <si>
    <t>Children's Health Dallas</t>
  </si>
  <si>
    <t>El Paso Children's Hospital Corporation d/b/a El Paso Children's Hospital</t>
  </si>
  <si>
    <t xml:space="preserve">CHI St. Luke's Health Baylor College of Medicine Medical Center 
</t>
  </si>
  <si>
    <t xml:space="preserve">St. Luke's Lakeside Hospital 
</t>
  </si>
  <si>
    <t xml:space="preserve">St. Luke's Patients Medical Center 
</t>
  </si>
  <si>
    <t>St. Luke's Sugar Land Hospital</t>
  </si>
  <si>
    <t xml:space="preserve">St. Luke's Hospital at The Vintage 
</t>
  </si>
  <si>
    <t xml:space="preserve">St. Luke's Community Health Services - The Woodlands 
</t>
  </si>
  <si>
    <t xml:space="preserve">The Community Hospital of Brazosport 
</t>
  </si>
  <si>
    <t xml:space="preserve">CHRISTUS JASPER MEMORIAL HOSPITAL- 
</t>
  </si>
  <si>
    <t xml:space="preserve">Memorial Hospital of Polk County 
</t>
  </si>
  <si>
    <t xml:space="preserve">CHRISTUS HEALTH SOUTHEAST TEXAS-CHRISTUS HOSPITAL 
</t>
  </si>
  <si>
    <t>Sunrise Canyon Hospital</t>
  </si>
  <si>
    <t xml:space="preserve">CHI St. Joseph Health - Grimes 
</t>
  </si>
  <si>
    <t>HAMILTON COUNTY HOSPITAL DISTRICT
DBA: HAMILTON HEALTHCARE SYSTEM
DBA: HAMILTON GENERAL HOSPITAL</t>
  </si>
  <si>
    <t xml:space="preserve">CHI St. Joseph Health - Burleson 
</t>
  </si>
  <si>
    <t>NHCI of Hillsboro, Inc. DBA Hill Regional Hospital</t>
  </si>
  <si>
    <t xml:space="preserve">CHI St. Joseph Regional Health Center 
</t>
  </si>
  <si>
    <t xml:space="preserve">Memorial Medical Center of East Texas 
</t>
  </si>
  <si>
    <t xml:space="preserve">Memorial Hospital - San Augustine 
</t>
  </si>
  <si>
    <t xml:space="preserve">MOTHER FRANCES HOSPITAL WINNSBORO 
</t>
  </si>
  <si>
    <t xml:space="preserve">MOTHER FRANCES HOSPITAL JACKSONVILLE 
</t>
  </si>
  <si>
    <t>GAINESVILLE COMMUNITY HOSPITAL, INC DBA NORTH TEXAS MEDICAL CENTER</t>
  </si>
  <si>
    <t xml:space="preserve">CHRISTUS GOOD SHEPHERD MEDICAL CENTER-CHRISTUS GOOD SHEPHERD MEDICAL CENTER MARSHALL 
</t>
  </si>
  <si>
    <t xml:space="preserve">CHRISTUS HEALTH ARK LATEX-CHRISTUS ST MICHAEL 
</t>
  </si>
  <si>
    <t xml:space="preserve">CHRISTUS HEALTH ARK LATEX-CHRISTUS ST MICHAEL REHABILITATION HOSPITAL 
</t>
  </si>
  <si>
    <t xml:space="preserve">MOTHER FRANCES HOSPITAL REGIONAL HEALTHCARE CENTER-MOTHER FRANCES HOSPITAL 
</t>
  </si>
  <si>
    <t xml:space="preserve">CHRISTUS SPOHN HEALTH SYSTEM CORPORATION-CHRISTUS SPOHN HOSPITAL ALICE 
</t>
  </si>
  <si>
    <t xml:space="preserve">CHRISTUS SPOHN HEALTH SYSTEM CORPORATION-CHRISTUS SPOHN HOSPITAL KLEBERG 
</t>
  </si>
  <si>
    <t xml:space="preserve">CHRISTUS SPOHN HEALTH SYSTEM CORPORATION-CHRISTUS SPOHN HOSPITAL CORPUS CHRISTI 
</t>
  </si>
  <si>
    <t>Austin Behavioral Health</t>
  </si>
  <si>
    <t xml:space="preserve">CHRISTUS Santa Rosa Hospital-San Marcos 
</t>
  </si>
  <si>
    <t>STAR+PLUS IP Total</t>
  </si>
  <si>
    <t>PGY 6 IP Encounters</t>
  </si>
  <si>
    <t>PGY 6 OP Encounters</t>
  </si>
  <si>
    <t>PGY 6 Encounters</t>
  </si>
  <si>
    <t>Comprehensive Hospital Increase Reimbursement Program for FY 2023 Preliminary Modeling</t>
  </si>
  <si>
    <t>Green Tabs are UPL Data</t>
  </si>
  <si>
    <t>Purple tabs are for IGT</t>
  </si>
  <si>
    <t>SFY23 IP Encounters STAR and STAR Plus</t>
  </si>
  <si>
    <t>SFY23 AA OP Encounters STAR and STAR Plus</t>
  </si>
  <si>
    <t>Total SFY23 AA Encounters</t>
  </si>
  <si>
    <t>PGY6 - Program Year 6 (of the Uniform Hospital Rate Increase Program)</t>
  </si>
  <si>
    <t>PGY6 AA Encounters - Program Year 6 Actuarial Analysis Encounters</t>
  </si>
  <si>
    <t>Change Log:</t>
  </si>
  <si>
    <t>Corrected UTSW classification</t>
  </si>
  <si>
    <t>Revised ACIA rate for providers that did not wish to participate in ACIA to 0%.</t>
  </si>
  <si>
    <t>ACIA update only changed values for Rural MRSA West. Providers that did not request to participate in ACIA lost $373,719 after fees, and those that requested to participate in ACIA gained $297,160.</t>
  </si>
  <si>
    <t>Total Non-OP (IP)</t>
  </si>
  <si>
    <t>CHIRP OP % Increase</t>
  </si>
  <si>
    <t>CHIRP IP % Increase</t>
  </si>
  <si>
    <t>STAR+PLUS OP  Total</t>
  </si>
  <si>
    <t>Removed Houston Methodist St. Catherine (voluntary withdrawal)</t>
  </si>
  <si>
    <t>Removed Sid Peterson (voluntary withdrawal)</t>
  </si>
  <si>
    <t>Updated self-submitted ACR data for Hendrick Abilene, Rusk State Hospital, Clarity Childrens, Haskell, Heart of Texas, and Kimble.</t>
  </si>
  <si>
    <t>STAR MCO Retains</t>
  </si>
  <si>
    <t>STAR+PLUS MCO Retains</t>
  </si>
  <si>
    <t>* 3/19-2/20 data trended to SFY23 with final trend factors</t>
  </si>
  <si>
    <t>DY/Program Yr</t>
  </si>
  <si>
    <t>Payment</t>
  </si>
  <si>
    <t>TPI/Facility</t>
  </si>
  <si>
    <t>Government Entity</t>
  </si>
  <si>
    <t>IGT Received</t>
  </si>
  <si>
    <t>Voucher #</t>
  </si>
  <si>
    <t>Location #</t>
  </si>
  <si>
    <t>IGT Refund Amount</t>
  </si>
  <si>
    <t>IGT Received (after Refunds)</t>
  </si>
  <si>
    <t>LPPF Government Entity</t>
  </si>
  <si>
    <t>Settlement Date</t>
  </si>
  <si>
    <t>AY</t>
  </si>
  <si>
    <t>FY</t>
  </si>
  <si>
    <t>CHIRP</t>
  </si>
  <si>
    <t>JE</t>
  </si>
  <si>
    <t>Non-LPPF</t>
  </si>
  <si>
    <t>Nueces LPPF</t>
  </si>
  <si>
    <t xml:space="preserve">Nueces LPPF  </t>
  </si>
  <si>
    <t>F0463156</t>
  </si>
  <si>
    <t>37199</t>
  </si>
  <si>
    <t>Nueces County Hospital District LPPF</t>
  </si>
  <si>
    <t xml:space="preserve">Dallas County Hospital DIST/ PARKLAND  </t>
  </si>
  <si>
    <t>37286</t>
  </si>
  <si>
    <t>Harris County Hospital District LPPF</t>
  </si>
  <si>
    <t xml:space="preserve">Harris County Hospital District  </t>
  </si>
  <si>
    <t>37288</t>
  </si>
  <si>
    <t xml:space="preserve">El Paso County Hospital District  </t>
  </si>
  <si>
    <t>37302</t>
  </si>
  <si>
    <t>Lubbock County Hospital District LPPF</t>
  </si>
  <si>
    <t xml:space="preserve">Lubbock County Hospital District  </t>
  </si>
  <si>
    <t>37303</t>
  </si>
  <si>
    <t xml:space="preserve">Matagorda County Hospital District  </t>
  </si>
  <si>
    <t>37348</t>
  </si>
  <si>
    <t>Cuero Regional Hospital</t>
  </si>
  <si>
    <t xml:space="preserve">Cuero Regional Hospital  </t>
  </si>
  <si>
    <t>37349</t>
  </si>
  <si>
    <t xml:space="preserve">Hunt Memorial Hospital District  </t>
  </si>
  <si>
    <t>37355</t>
  </si>
  <si>
    <t xml:space="preserve">Citizens Medical Center  </t>
  </si>
  <si>
    <t>37358</t>
  </si>
  <si>
    <t xml:space="preserve">Titus Regional Medical Center  </t>
  </si>
  <si>
    <t>37360</t>
  </si>
  <si>
    <t xml:space="preserve">Decatur Hospital Authority  </t>
  </si>
  <si>
    <t>37361</t>
  </si>
  <si>
    <t xml:space="preserve">Gainesville Hospital District  </t>
  </si>
  <si>
    <t>37364</t>
  </si>
  <si>
    <t xml:space="preserve">Guadalupe Regional
Medical Center  </t>
  </si>
  <si>
    <t>37366</t>
  </si>
  <si>
    <t>Ector County Hospital District</t>
  </si>
  <si>
    <t xml:space="preserve">Ector County Hospital District  </t>
  </si>
  <si>
    <t>37496</t>
  </si>
  <si>
    <t xml:space="preserve">Tarrant County Hospital District  </t>
  </si>
  <si>
    <t>37530</t>
  </si>
  <si>
    <t xml:space="preserve">
STARR COUNTY MEMORIAL HOSPITAL </t>
  </si>
  <si>
    <t>00002</t>
  </si>
  <si>
    <t>F0462969</t>
  </si>
  <si>
    <t>00003</t>
  </si>
  <si>
    <t>Hutchinson County Hospital District</t>
  </si>
  <si>
    <t xml:space="preserve">HUTCHINSON COUNTY HOSPITAL DISTRICT  </t>
  </si>
  <si>
    <t>00005</t>
  </si>
  <si>
    <t>00007</t>
  </si>
  <si>
    <t xml:space="preserve">PERMIAN REGIONAL MEDICAL CENTER  </t>
  </si>
  <si>
    <t>00016</t>
  </si>
  <si>
    <t xml:space="preserve">University Health System LPPF </t>
  </si>
  <si>
    <t xml:space="preserve">UNIVERSITYHEALTH SYSTEM LPPF  </t>
  </si>
  <si>
    <t>00018</t>
  </si>
  <si>
    <t>Bexar County HD LPPF / University Health System LPPF</t>
  </si>
  <si>
    <t xml:space="preserve">YOAKUM HOSPITAL DISTRICT  </t>
  </si>
  <si>
    <t>00019</t>
  </si>
  <si>
    <t xml:space="preserve">
MIDLAND COUNTY HOSPITAL DISTRICT </t>
  </si>
  <si>
    <t>00020</t>
  </si>
  <si>
    <t xml:space="preserve">HARRIS COUNTY HOSPITAL DISTRICT LPPF  </t>
  </si>
  <si>
    <t>00021</t>
  </si>
  <si>
    <t xml:space="preserve">
DAWSON COUNTY HOSPITAL DISTRICT </t>
  </si>
  <si>
    <t>00030</t>
  </si>
  <si>
    <t xml:space="preserve">Lockney General Hospital District W J Mangold Memorial Hospital </t>
  </si>
  <si>
    <t xml:space="preserve">LOCKNEY GENERAL HOSPITAL DISTRICT  </t>
  </si>
  <si>
    <t>00031</t>
  </si>
  <si>
    <t xml:space="preserve">DM Cogdell Mem Hosp. dba Scurry Cty HD  </t>
  </si>
  <si>
    <t>00033</t>
  </si>
  <si>
    <t>Yoakum County Hospital</t>
  </si>
  <si>
    <t>00038</t>
  </si>
  <si>
    <t>McCulloch County Hospital District</t>
  </si>
  <si>
    <t xml:space="preserve">MCCULLOCH COUNTY HOSPITAL DISTRICT  </t>
  </si>
  <si>
    <t>00039</t>
  </si>
  <si>
    <t xml:space="preserve">BELLVILLE HOSPITAL DISTRICT  </t>
  </si>
  <si>
    <t>00048</t>
  </si>
  <si>
    <t>CHILDRESS COUNTY HOSPITAL DISTRICT</t>
  </si>
  <si>
    <t xml:space="preserve">CHILDRESS COUNTY HOSPITAL DISTRICT  </t>
  </si>
  <si>
    <t>00050</t>
  </si>
  <si>
    <t xml:space="preserve">SWISHER MEMORIAL HOSPITAL DOME </t>
  </si>
  <si>
    <t>00052</t>
  </si>
  <si>
    <t>00053</t>
  </si>
  <si>
    <t xml:space="preserve">ROLLING PLAINS MEMORIAL HOSPITAL  </t>
  </si>
  <si>
    <t>00054</t>
  </si>
  <si>
    <t xml:space="preserve">RICE HOSPITAL DISTRICT  </t>
  </si>
  <si>
    <t>00055</t>
  </si>
  <si>
    <t>00056</t>
  </si>
  <si>
    <t>El Campo Memorial Hospital</t>
  </si>
  <si>
    <t xml:space="preserve">WEST WHARTON COUNTY HOSPITAL DISTRICT  </t>
  </si>
  <si>
    <t>00057</t>
  </si>
  <si>
    <t>Palacios Community Medical Center</t>
  </si>
  <si>
    <t xml:space="preserve">MULESHOE AREA HOSPITAL DISTRICT  </t>
  </si>
  <si>
    <t>00058</t>
  </si>
  <si>
    <t xml:space="preserve">Fairfield Hosptial District  </t>
  </si>
  <si>
    <t>00061</t>
  </si>
  <si>
    <t xml:space="preserve">Gonzales Healthcare Systems  </t>
  </si>
  <si>
    <t>00069</t>
  </si>
  <si>
    <t>Memorial Hosptial-Moore County</t>
  </si>
  <si>
    <t>00070</t>
  </si>
  <si>
    <t>Pecos County Memorial Hospital</t>
  </si>
  <si>
    <t xml:space="preserve">Pecos County  </t>
  </si>
  <si>
    <t>00073</t>
  </si>
  <si>
    <t>Cameron County Health Care Funding District LPPF</t>
  </si>
  <si>
    <t xml:space="preserve">CAMERON CNTY HLTH CARE FUNDING DIST LPPF  </t>
  </si>
  <si>
    <t>00075</t>
  </si>
  <si>
    <t>Cameron Cnty Hlth Care Funding Dist LPPF</t>
  </si>
  <si>
    <t xml:space="preserve">MITCHELLCOUNTY HOSPITAL DISTRICT  </t>
  </si>
  <si>
    <t>00081</t>
  </si>
  <si>
    <t>Nocona General Hospital</t>
  </si>
  <si>
    <t xml:space="preserve">NOCONA GENERAL HOSPITAL  </t>
  </si>
  <si>
    <t>00083</t>
  </si>
  <si>
    <t>Clay County Memorial Hospital</t>
  </si>
  <si>
    <t>00084</t>
  </si>
  <si>
    <t>Wilbarger General Hospital</t>
  </si>
  <si>
    <t>00085</t>
  </si>
  <si>
    <t xml:space="preserve">CONCHO COUNTY HOSPITAL DISTRICT  </t>
  </si>
  <si>
    <t>00092</t>
  </si>
  <si>
    <t xml:space="preserve">
CASTRO COUNTY HOSPITAL DISTRICT </t>
  </si>
  <si>
    <t>00094</t>
  </si>
  <si>
    <t xml:space="preserve">BALLINGER MEMORIAL HOSPITAL DISTRICT  </t>
  </si>
  <si>
    <t>00095</t>
  </si>
  <si>
    <t xml:space="preserve">OLNEY-HAMILTON HOSPITAL DISTRICT  </t>
  </si>
  <si>
    <t>00098</t>
  </si>
  <si>
    <t xml:space="preserve">THE UNIVERSITY OF TEXS MEDICAL BRANCH-GA  </t>
  </si>
  <si>
    <t>00099</t>
  </si>
  <si>
    <t>GRAHAM REGIONAL MEDICAL CENTER</t>
  </si>
  <si>
    <t>City of Graham</t>
  </si>
  <si>
    <t>F0462405</t>
  </si>
  <si>
    <t>00108</t>
  </si>
  <si>
    <t>Sweeny Hospital District</t>
  </si>
  <si>
    <t xml:space="preserve">SWEENY HOSPITAL DISTRICT  </t>
  </si>
  <si>
    <t>00109</t>
  </si>
  <si>
    <t xml:space="preserve">
SABINE COUNTY HOSPITAL DISTRICT </t>
  </si>
  <si>
    <t>00112</t>
  </si>
  <si>
    <t xml:space="preserve">KIMBLE COUNTY HOSPITAL DISTRICT  </t>
  </si>
  <si>
    <t>00114</t>
  </si>
  <si>
    <t xml:space="preserve">BAYLOR COUNTY HOSPITAL DISTRICT  </t>
  </si>
  <si>
    <t>00116</t>
  </si>
  <si>
    <t>00118</t>
  </si>
  <si>
    <t xml:space="preserve">MEDINA REGIONAL HOSPITAL DISTRICT  </t>
  </si>
  <si>
    <t>00119</t>
  </si>
  <si>
    <t>Frio Hospital District</t>
  </si>
  <si>
    <t>00122</t>
  </si>
  <si>
    <t xml:space="preserve">FRIO HOSPITAL DISTRICT  </t>
  </si>
  <si>
    <t xml:space="preserve">ELECTRA HOSPITAL DISTRICT  </t>
  </si>
  <si>
    <t>00124</t>
  </si>
  <si>
    <t xml:space="preserve">OAKBEND MEDICAL CENTER  </t>
  </si>
  <si>
    <t>00125</t>
  </si>
  <si>
    <t>00126</t>
  </si>
  <si>
    <t>Terry Memorial Hospital District</t>
  </si>
  <si>
    <t>00127</t>
  </si>
  <si>
    <t xml:space="preserve">Terry Memorial Hospital District </t>
  </si>
  <si>
    <t>Jack County Hospital District</t>
  </si>
  <si>
    <t>00131</t>
  </si>
  <si>
    <t xml:space="preserve">CORYELL COUNTY MEMORIAL HOSPITAL AUTH  </t>
  </si>
  <si>
    <t>00134</t>
  </si>
  <si>
    <t xml:space="preserve">Memorial Medical Center Operating County  </t>
  </si>
  <si>
    <t>00136</t>
  </si>
  <si>
    <t>Hamilton County Hospital District</t>
  </si>
  <si>
    <t>F0462783</t>
  </si>
  <si>
    <t>00137</t>
  </si>
  <si>
    <t>Deaf Smith County Hospital Dist</t>
  </si>
  <si>
    <t>00139</t>
  </si>
  <si>
    <t>00142</t>
  </si>
  <si>
    <t>00144</t>
  </si>
  <si>
    <t xml:space="preserve">CONNALLY MEMORIAL MEDICAL CENTER  </t>
  </si>
  <si>
    <t>00147</t>
  </si>
  <si>
    <t>Rankin County Hospital District</t>
  </si>
  <si>
    <t xml:space="preserve">RANKIN COUNTY HOSPITAL DISTRICT  </t>
  </si>
  <si>
    <t>00148</t>
  </si>
  <si>
    <t>HARDEMANCOUNTY HOSPITAL DISTRICT</t>
  </si>
  <si>
    <t>00149</t>
  </si>
  <si>
    <t xml:space="preserve">COLEMAN COUNTY MEDICAL CENTER  </t>
  </si>
  <si>
    <t>00150</t>
  </si>
  <si>
    <t>Dallam-Hartley Counties Hospital Distric</t>
  </si>
  <si>
    <t>00151</t>
  </si>
  <si>
    <t>Refugio County Memorial Hospital</t>
  </si>
  <si>
    <t>00155</t>
  </si>
  <si>
    <t xml:space="preserve">LIMESTONE MEDICAL CENTER  </t>
  </si>
  <si>
    <t>00158</t>
  </si>
  <si>
    <t xml:space="preserve">REEVES
COUNTYHOSPITAL DISTRICT  </t>
  </si>
  <si>
    <t>00159</t>
  </si>
  <si>
    <t xml:space="preserve">HEMPHILL COUNTY HOSPITAL DISTRICT  </t>
  </si>
  <si>
    <t>00160</t>
  </si>
  <si>
    <t xml:space="preserve">NORTH RUNNELS HOSPITAL  </t>
  </si>
  <si>
    <t>00161</t>
  </si>
  <si>
    <t>Sutton County Hospital District Lilliam M Hudspeth Memorial Hospital</t>
  </si>
  <si>
    <t xml:space="preserve">SUTTON COUNTY HOSPITAL DISTRICT  </t>
  </si>
  <si>
    <t>00162</t>
  </si>
  <si>
    <t>Knox County Hospital District</t>
  </si>
  <si>
    <t>00163</t>
  </si>
  <si>
    <t xml:space="preserve">MUENSTER HOSPITAL DISTRICT  </t>
  </si>
  <si>
    <t>00164</t>
  </si>
  <si>
    <t>COMANCHE COUNTY MEDICAL CENTER</t>
  </si>
  <si>
    <t>00165</t>
  </si>
  <si>
    <t xml:space="preserve">HANSFORD COUNTY HOSPITAL DISTRICT  </t>
  </si>
  <si>
    <t>00167</t>
  </si>
  <si>
    <t xml:space="preserve">KARNES COUNTY HOSPITAL DISTRICT  </t>
  </si>
  <si>
    <t>00168</t>
  </si>
  <si>
    <t>00169</t>
  </si>
  <si>
    <t>Crane Memorial Hospital</t>
  </si>
  <si>
    <t>00170</t>
  </si>
  <si>
    <t>General Hospital</t>
  </si>
  <si>
    <t xml:space="preserve">
IRAAN GENERAL HOSPITAL DISTRICT </t>
  </si>
  <si>
    <t>00171</t>
  </si>
  <si>
    <t xml:space="preserve">OCHILTREE COUNTY HOSPITAL DISTRICT  </t>
  </si>
  <si>
    <t>00173</t>
  </si>
  <si>
    <t>Seminole Hospital District</t>
  </si>
  <si>
    <t>00177</t>
  </si>
  <si>
    <t>PARKVIEW HOSPITAL</t>
  </si>
  <si>
    <t>North Wheeler County Hospital District</t>
  </si>
  <si>
    <t>00182</t>
  </si>
  <si>
    <t>WARD MEMORIAL HOSPITAL</t>
  </si>
  <si>
    <t>00183</t>
  </si>
  <si>
    <t xml:space="preserve">McCAMEY COUNTY HOSPITAL DISTRICT  </t>
  </si>
  <si>
    <t>00187</t>
  </si>
  <si>
    <t xml:space="preserve">FREDERICKSBURG HOSPITAL AUTHORITY  </t>
  </si>
  <si>
    <t>00246</t>
  </si>
  <si>
    <t xml:space="preserve">FALLS COUNTY  </t>
  </si>
  <si>
    <t>00248</t>
  </si>
  <si>
    <t>Fannin County Hospital Authority</t>
  </si>
  <si>
    <t>00252</t>
  </si>
  <si>
    <t xml:space="preserve">UT SOUTHWESTERN MEDICAL CENTER FAMILY PR  </t>
  </si>
  <si>
    <t>00272</t>
  </si>
  <si>
    <t>University Of Texas Health Science Center At Tyler</t>
  </si>
  <si>
    <t xml:space="preserve">UT Health Science Ctr at Tyler  </t>
  </si>
  <si>
    <t>00276</t>
  </si>
  <si>
    <t>00292</t>
  </si>
  <si>
    <t xml:space="preserve">Throckmorton County Memorial Hospital  </t>
  </si>
  <si>
    <t>00297</t>
  </si>
  <si>
    <t>Stephens Memorial Hospital District</t>
  </si>
  <si>
    <t>00312</t>
  </si>
  <si>
    <t xml:space="preserve">DIMMIT REGIONAL HOSPITAL DISTRICT  </t>
  </si>
  <si>
    <t>00316</t>
  </si>
  <si>
    <t xml:space="preserve">SOMERVELL COUNTY HOSPITAL DISTRICT  </t>
  </si>
  <si>
    <t>00330</t>
  </si>
  <si>
    <t>Tom Green County LPPF</t>
  </si>
  <si>
    <t xml:space="preserve">TOM GREEN COUNTY LPPF  </t>
  </si>
  <si>
    <t>00578</t>
  </si>
  <si>
    <t>Williamson County LPPF</t>
  </si>
  <si>
    <t xml:space="preserve">WILLIAMSON COUNTY LPPF  </t>
  </si>
  <si>
    <t>00691</t>
  </si>
  <si>
    <t>Smith County LPPF</t>
  </si>
  <si>
    <t xml:space="preserve">Smith County (LPPF)
Local Provider Parti  </t>
  </si>
  <si>
    <t>00947</t>
  </si>
  <si>
    <t xml:space="preserve">Bell County LPPF </t>
  </si>
  <si>
    <t xml:space="preserve">
BELL COUNTY LPPF FUND </t>
  </si>
  <si>
    <t>00949</t>
  </si>
  <si>
    <t>Bell County LPPF</t>
  </si>
  <si>
    <t xml:space="preserve">Bowie County LPPF </t>
  </si>
  <si>
    <t xml:space="preserve">BOWIE COUNTY - LPPF  </t>
  </si>
  <si>
    <t>00950</t>
  </si>
  <si>
    <t>Bowie County LPPF</t>
  </si>
  <si>
    <t>McLennan County LPPF</t>
  </si>
  <si>
    <t xml:space="preserve">Mclennan County LPPF  </t>
  </si>
  <si>
    <t>00951</t>
  </si>
  <si>
    <t>Gregg County LPPF</t>
  </si>
  <si>
    <t xml:space="preserve">Gregg County LPPF  </t>
  </si>
  <si>
    <t>00966</t>
  </si>
  <si>
    <t>City of Beaumont Texas LPPF</t>
  </si>
  <si>
    <t xml:space="preserve">CITY OF BEAUMONT TEXAS- LPPF </t>
  </si>
  <si>
    <t>00968</t>
  </si>
  <si>
    <t>City of Beaumont LPPF</t>
  </si>
  <si>
    <t>Brazos County Texas LPPF</t>
  </si>
  <si>
    <t xml:space="preserve">BRAZOS COUNTY TEXAS- LPPF  </t>
  </si>
  <si>
    <t>00971</t>
  </si>
  <si>
    <t>Brazos County LPPF</t>
  </si>
  <si>
    <t>Hays County Treasurer LPPF</t>
  </si>
  <si>
    <t xml:space="preserve">HAYS COUNTY TREASURER-LPPF </t>
  </si>
  <si>
    <t>00972</t>
  </si>
  <si>
    <t>Hays County LPPF</t>
  </si>
  <si>
    <t>Hidalgo County LPPF</t>
  </si>
  <si>
    <t xml:space="preserve">HIDALGO COUNTY LPPF </t>
  </si>
  <si>
    <t>00973</t>
  </si>
  <si>
    <t>El Paso County Hospital District LPPF</t>
  </si>
  <si>
    <t xml:space="preserve">El Paso County Hospital District LPPF </t>
  </si>
  <si>
    <t>00974</t>
  </si>
  <si>
    <t xml:space="preserve">Lubbock County Hospital District LPPF </t>
  </si>
  <si>
    <t>00976</t>
  </si>
  <si>
    <t>Travis County Healthcare District LPPF</t>
  </si>
  <si>
    <t>00977</t>
  </si>
  <si>
    <t xml:space="preserve">ANSON GENERAL HOSPITAL  </t>
  </si>
  <si>
    <t>00978</t>
  </si>
  <si>
    <t>Webb County LPPF</t>
  </si>
  <si>
    <t xml:space="preserve">WEBB COUNTY LPPF  </t>
  </si>
  <si>
    <t>00979</t>
  </si>
  <si>
    <t>Web County LPPF</t>
  </si>
  <si>
    <t>Grayson County LPPF</t>
  </si>
  <si>
    <t xml:space="preserve">GRAYSON COUNTY- LPPF  </t>
  </si>
  <si>
    <t>00981</t>
  </si>
  <si>
    <t>Dallas County Hospital District LPPF</t>
  </si>
  <si>
    <t xml:space="preserve">Dallas County Hospital Dist LPPF  </t>
  </si>
  <si>
    <t>00982</t>
  </si>
  <si>
    <t xml:space="preserve">DALLAS COUNTY HOSP DIST - LPPF  </t>
  </si>
  <si>
    <t>Tarrant County Hospital District LPPF</t>
  </si>
  <si>
    <t xml:space="preserve">TARRANT COUNTY HOSPITAL DISTRICT
-LPPF  </t>
  </si>
  <si>
    <t>00983</t>
  </si>
  <si>
    <t>Amarillo Hospital District LPPF</t>
  </si>
  <si>
    <t xml:space="preserve">AMARILLO HOSPITAL DISTRICT
-LPPF  </t>
  </si>
  <si>
    <t>00985</t>
  </si>
  <si>
    <t xml:space="preserve">AMARILLO HOSPITAL DISTRICT
-LPPF </t>
  </si>
  <si>
    <t>Angelina County LPPF</t>
  </si>
  <si>
    <t>00987</t>
  </si>
  <si>
    <t>Ellis County LPPF</t>
  </si>
  <si>
    <t xml:space="preserve">COUNTY OF ELLIS LPPF  </t>
  </si>
  <si>
    <t>00988</t>
  </si>
  <si>
    <t xml:space="preserve">Ellis County LPPF </t>
  </si>
  <si>
    <t>Taylor County LPPF</t>
  </si>
  <si>
    <t xml:space="preserve">TAYLOR COUNTY LPPF  </t>
  </si>
  <si>
    <t>00989</t>
  </si>
  <si>
    <t>Wichita County LPPF</t>
  </si>
  <si>
    <t xml:space="preserve">Wichita County Texas LPPF  </t>
  </si>
  <si>
    <t>00990</t>
  </si>
  <si>
    <t xml:space="preserve">
University Health System </t>
  </si>
  <si>
    <t>37222</t>
  </si>
  <si>
    <t>IGT Received in June</t>
  </si>
  <si>
    <t>Updated FMAP from 39.54% to 40.05%.</t>
  </si>
  <si>
    <t xml:space="preserve">Updated FMAP from 40.05% to 36.44%.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</si>
</sst>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30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MT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333333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333333"/>
      <name val="Verdana"/>
      <family val="2"/>
    </font>
    <font>
      <b/>
      <u/>
      <sz val="14"/>
      <color theme="1"/>
      <name val="Verdana"/>
      <family val="2"/>
    </font>
    <font>
      <sz val="8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  <font>
      <sz val="12"/>
      <color theme="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rgb="FF43D6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6B8FA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8">
    <xf numFmtId="0" fontId="0" fillId="0" borderId="0"/>
    <xf numFmtId="0" fontId="2" fillId="0" borderId="0"/>
    <xf numFmtId="0" fontId="3" fillId="0" borderId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9" fillId="7" borderId="12" applyNumberFormat="0" applyFont="0" applyAlignment="0" applyProtection="0"/>
    <xf numFmtId="44" fontId="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6" fillId="0" borderId="0" applyFont="0" applyFill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1" fillId="11" borderId="0" applyNumberFormat="0" applyBorder="0" applyAlignment="0" applyProtection="0"/>
    <xf numFmtId="44" fontId="5" fillId="0" borderId="0" applyFont="0" applyFill="0" applyBorder="0" applyAlignment="0" applyProtection="0"/>
    <xf numFmtId="0" fontId="11" fillId="0" borderId="0"/>
    <xf numFmtId="0" fontId="5" fillId="7" borderId="12" applyNumberFormat="0" applyFont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44" fontId="2" fillId="0" borderId="0" applyFont="0" applyFill="0" applyBorder="0" applyAlignment="0" applyProtection="0"/>
  </cellStyleXfs>
  <cellXfs count="159">
    <xf numFmtId="0" fontId="0" fillId="0" borderId="0" xfId="0"/>
    <xf numFmtId="0" fontId="10" fillId="0" borderId="0" xfId="0" applyFont="1"/>
    <xf numFmtId="37" fontId="0" fillId="0" borderId="0" xfId="0" applyNumberFormat="1"/>
    <xf numFmtId="37" fontId="0" fillId="0" borderId="0" xfId="48" applyNumberFormat="1" applyFont="1"/>
    <xf numFmtId="49" fontId="0" fillId="0" borderId="0" xfId="0" applyNumberFormat="1"/>
    <xf numFmtId="49" fontId="10" fillId="0" borderId="0" xfId="0" applyNumberFormat="1" applyFont="1"/>
    <xf numFmtId="43" fontId="0" fillId="0" borderId="0" xfId="48" applyFont="1"/>
    <xf numFmtId="0" fontId="0" fillId="0" borderId="0" xfId="0" applyAlignment="1">
      <alignment wrapText="1"/>
    </xf>
    <xf numFmtId="166" fontId="0" fillId="0" borderId="0" xfId="48" applyNumberFormat="1" applyFont="1"/>
    <xf numFmtId="0" fontId="0" fillId="0" borderId="0" xfId="0"/>
    <xf numFmtId="9" fontId="0" fillId="0" borderId="0" xfId="45" applyFont="1"/>
    <xf numFmtId="0" fontId="0" fillId="0" borderId="0" xfId="0" applyFill="1"/>
    <xf numFmtId="0" fontId="10" fillId="0" borderId="0" xfId="0" applyNumberFormat="1" applyFont="1"/>
    <xf numFmtId="0" fontId="10" fillId="0" borderId="0" xfId="0" applyFont="1" applyFill="1" applyAlignment="1">
      <alignment horizontal="center"/>
    </xf>
    <xf numFmtId="0" fontId="0" fillId="0" borderId="0" xfId="0" applyNumberFormat="1"/>
    <xf numFmtId="0" fontId="0" fillId="5" borderId="0" xfId="0" applyFill="1"/>
    <xf numFmtId="0" fontId="10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6" fillId="0" borderId="0" xfId="87"/>
    <xf numFmtId="166" fontId="16" fillId="0" borderId="0" xfId="48" applyNumberFormat="1" applyFont="1"/>
    <xf numFmtId="0" fontId="16" fillId="0" borderId="0" xfId="87" applyAlignment="1">
      <alignment wrapText="1"/>
    </xf>
    <xf numFmtId="9" fontId="0" fillId="0" borderId="0" xfId="45" applyFont="1" applyBorder="1"/>
    <xf numFmtId="9" fontId="0" fillId="0" borderId="13" xfId="45" applyFont="1" applyBorder="1"/>
    <xf numFmtId="166" fontId="0" fillId="0" borderId="6" xfId="48" applyNumberFormat="1" applyFont="1" applyBorder="1"/>
    <xf numFmtId="0" fontId="0" fillId="0" borderId="5" xfId="0" applyBorder="1"/>
    <xf numFmtId="0" fontId="0" fillId="0" borderId="7" xfId="0" applyBorder="1"/>
    <xf numFmtId="0" fontId="10" fillId="0" borderId="19" xfId="0" applyFont="1" applyBorder="1"/>
    <xf numFmtId="166" fontId="10" fillId="0" borderId="14" xfId="48" applyNumberFormat="1" applyFont="1" applyBorder="1"/>
    <xf numFmtId="0" fontId="17" fillId="0" borderId="0" xfId="0" applyFont="1"/>
    <xf numFmtId="0" fontId="17" fillId="0" borderId="0" xfId="0" applyFont="1" applyFill="1" applyBorder="1"/>
    <xf numFmtId="2" fontId="20" fillId="0" borderId="6" xfId="1" applyNumberFormat="1" applyFont="1" applyBorder="1" applyAlignment="1">
      <alignment horizontal="left"/>
    </xf>
    <xf numFmtId="0" fontId="21" fillId="0" borderId="19" xfId="1" applyFont="1" applyFill="1" applyBorder="1" applyAlignment="1">
      <alignment wrapText="1"/>
    </xf>
    <xf numFmtId="0" fontId="21" fillId="0" borderId="14" xfId="1" applyFont="1" applyFill="1" applyBorder="1" applyAlignment="1">
      <alignment wrapText="1"/>
    </xf>
    <xf numFmtId="49" fontId="10" fillId="6" borderId="3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wrapText="1"/>
    </xf>
    <xf numFmtId="0" fontId="1" fillId="0" borderId="0" xfId="0" applyFont="1" applyFill="1" applyBorder="1"/>
    <xf numFmtId="0" fontId="18" fillId="0" borderId="0" xfId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9" fontId="1" fillId="0" borderId="0" xfId="45" applyFont="1" applyFill="1" applyBorder="1" applyAlignment="1">
      <alignment horizontal="right"/>
    </xf>
    <xf numFmtId="44" fontId="1" fillId="0" borderId="0" xfId="59" applyFont="1" applyFill="1" applyBorder="1" applyAlignment="1">
      <alignment horizontal="right"/>
    </xf>
    <xf numFmtId="0" fontId="10" fillId="0" borderId="0" xfId="0" applyFont="1" applyFill="1" applyBorder="1"/>
    <xf numFmtId="0" fontId="20" fillId="0" borderId="6" xfId="1" applyNumberFormat="1" applyFont="1" applyBorder="1" applyAlignment="1">
      <alignment horizontal="left" wrapText="1"/>
    </xf>
    <xf numFmtId="0" fontId="20" fillId="0" borderId="6" xfId="1" applyNumberFormat="1" applyFont="1" applyFill="1" applyBorder="1" applyAlignment="1">
      <alignment horizontal="left" wrapText="1"/>
    </xf>
    <xf numFmtId="165" fontId="20" fillId="0" borderId="6" xfId="1" applyNumberFormat="1" applyFont="1" applyBorder="1" applyAlignment="1">
      <alignment horizontal="right"/>
    </xf>
    <xf numFmtId="164" fontId="20" fillId="0" borderId="6" xfId="1" applyNumberFormat="1" applyFont="1" applyBorder="1" applyAlignment="1">
      <alignment horizontal="right"/>
    </xf>
    <xf numFmtId="9" fontId="20" fillId="0" borderId="6" xfId="45" applyFont="1" applyBorder="1" applyAlignment="1">
      <alignment horizontal="right"/>
    </xf>
    <xf numFmtId="49" fontId="20" fillId="0" borderId="6" xfId="1" applyNumberFormat="1" applyFont="1" applyFill="1" applyBorder="1" applyAlignment="1">
      <alignment horizontal="left" wrapText="1"/>
    </xf>
    <xf numFmtId="49" fontId="19" fillId="4" borderId="3" xfId="1" applyNumberFormat="1" applyFont="1" applyFill="1" applyBorder="1" applyAlignment="1">
      <alignment horizontal="center" vertical="center" wrapText="1"/>
    </xf>
    <xf numFmtId="49" fontId="19" fillId="4" borderId="4" xfId="1" applyNumberFormat="1" applyFont="1" applyFill="1" applyBorder="1" applyAlignment="1">
      <alignment horizontal="center" vertical="center" wrapText="1"/>
    </xf>
    <xf numFmtId="164" fontId="19" fillId="9" borderId="4" xfId="1" applyNumberFormat="1" applyFont="1" applyFill="1" applyBorder="1" applyAlignment="1">
      <alignment horizontal="center" vertical="center" wrapText="1"/>
    </xf>
    <xf numFmtId="164" fontId="19" fillId="8" borderId="4" xfId="1" applyNumberFormat="1" applyFont="1" applyFill="1" applyBorder="1" applyAlignment="1">
      <alignment horizontal="center" vertical="center" wrapText="1"/>
    </xf>
    <xf numFmtId="164" fontId="19" fillId="10" borderId="4" xfId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/>
    <xf numFmtId="0" fontId="21" fillId="0" borderId="14" xfId="1" applyFont="1" applyFill="1" applyBorder="1"/>
    <xf numFmtId="165" fontId="23" fillId="0" borderId="14" xfId="1" applyNumberFormat="1" applyFont="1" applyBorder="1" applyAlignment="1">
      <alignment horizontal="right"/>
    </xf>
    <xf numFmtId="9" fontId="23" fillId="0" borderId="14" xfId="45" applyFont="1" applyBorder="1" applyAlignment="1">
      <alignment horizontal="right"/>
    </xf>
    <xf numFmtId="0" fontId="10" fillId="0" borderId="8" xfId="0" applyFont="1" applyBorder="1"/>
    <xf numFmtId="0" fontId="10" fillId="0" borderId="9" xfId="0" applyFont="1" applyBorder="1" applyAlignment="1">
      <alignment wrapText="1"/>
    </xf>
    <xf numFmtId="166" fontId="10" fillId="0" borderId="9" xfId="0" applyNumberFormat="1" applyFont="1" applyBorder="1"/>
    <xf numFmtId="49" fontId="10" fillId="6" borderId="5" xfId="1" applyNumberFormat="1" applyFont="1" applyFill="1" applyBorder="1" applyAlignment="1">
      <alignment horizontal="center" vertical="center" wrapText="1"/>
    </xf>
    <xf numFmtId="49" fontId="10" fillId="6" borderId="6" xfId="1" applyNumberFormat="1" applyFont="1" applyFill="1" applyBorder="1" applyAlignment="1">
      <alignment horizontal="center" vertical="center" wrapText="1"/>
    </xf>
    <xf numFmtId="49" fontId="10" fillId="6" borderId="17" xfId="1" applyNumberFormat="1" applyFont="1" applyFill="1" applyBorder="1" applyAlignment="1">
      <alignment horizontal="center" vertical="center" wrapText="1"/>
    </xf>
    <xf numFmtId="49" fontId="10" fillId="6" borderId="21" xfId="1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9" fontId="0" fillId="0" borderId="17" xfId="45" applyFont="1" applyBorder="1"/>
    <xf numFmtId="0" fontId="24" fillId="0" borderId="0" xfId="0" applyFont="1"/>
    <xf numFmtId="167" fontId="0" fillId="0" borderId="6" xfId="59" applyNumberFormat="1" applyFont="1" applyFill="1" applyBorder="1"/>
    <xf numFmtId="165" fontId="20" fillId="0" borderId="4" xfId="1" applyNumberFormat="1" applyFont="1" applyBorder="1" applyAlignment="1">
      <alignment horizontal="right"/>
    </xf>
    <xf numFmtId="0" fontId="0" fillId="0" borderId="22" xfId="0" applyBorder="1"/>
    <xf numFmtId="166" fontId="0" fillId="0" borderId="22" xfId="48" applyNumberFormat="1" applyFont="1" applyBorder="1"/>
    <xf numFmtId="9" fontId="0" fillId="0" borderId="22" xfId="45" applyFont="1" applyBorder="1"/>
    <xf numFmtId="166" fontId="0" fillId="0" borderId="22" xfId="0" applyNumberFormat="1" applyBorder="1"/>
    <xf numFmtId="166" fontId="10" fillId="0" borderId="20" xfId="48" applyNumberFormat="1" applyFont="1" applyBorder="1"/>
    <xf numFmtId="0" fontId="0" fillId="0" borderId="23" xfId="0" applyBorder="1"/>
    <xf numFmtId="166" fontId="0" fillId="0" borderId="7" xfId="48" applyNumberFormat="1" applyFont="1" applyBorder="1"/>
    <xf numFmtId="0" fontId="0" fillId="0" borderId="24" xfId="0" applyBorder="1"/>
    <xf numFmtId="49" fontId="10" fillId="12" borderId="3" xfId="1" applyNumberFormat="1" applyFont="1" applyFill="1" applyBorder="1" applyAlignment="1">
      <alignment horizontal="center" vertical="center" wrapText="1"/>
    </xf>
    <xf numFmtId="164" fontId="19" fillId="12" borderId="4" xfId="1" applyNumberFormat="1" applyFont="1" applyFill="1" applyBorder="1" applyAlignment="1">
      <alignment horizontal="center" vertical="center" wrapText="1"/>
    </xf>
    <xf numFmtId="167" fontId="20" fillId="0" borderId="6" xfId="59" applyNumberFormat="1" applyFont="1" applyBorder="1" applyAlignment="1">
      <alignment horizontal="right"/>
    </xf>
    <xf numFmtId="9" fontId="20" fillId="0" borderId="6" xfId="45" applyNumberFormat="1" applyFont="1" applyBorder="1" applyAlignment="1">
      <alignment horizontal="right"/>
    </xf>
    <xf numFmtId="166" fontId="20" fillId="0" borderId="6" xfId="48" applyNumberFormat="1" applyFont="1" applyBorder="1" applyAlignment="1">
      <alignment horizontal="right"/>
    </xf>
    <xf numFmtId="49" fontId="0" fillId="0" borderId="0" xfId="0" quotePrefix="1" applyNumberFormat="1"/>
    <xf numFmtId="10" fontId="1" fillId="0" borderId="0" xfId="59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166" fontId="0" fillId="0" borderId="0" xfId="48" applyNumberFormat="1" applyFont="1" applyAlignment="1">
      <alignment wrapText="1"/>
    </xf>
    <xf numFmtId="0" fontId="0" fillId="0" borderId="11" xfId="0" applyBorder="1"/>
    <xf numFmtId="0" fontId="17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17" fillId="0" borderId="0" xfId="0" quotePrefix="1" applyFont="1"/>
    <xf numFmtId="166" fontId="26" fillId="0" borderId="0" xfId="0" applyNumberFormat="1" applyFont="1" applyAlignment="1">
      <alignment wrapText="1"/>
    </xf>
    <xf numFmtId="166" fontId="10" fillId="0" borderId="14" xfId="48" applyNumberFormat="1" applyFont="1" applyFill="1" applyBorder="1"/>
    <xf numFmtId="165" fontId="23" fillId="0" borderId="14" xfId="1" applyNumberFormat="1" applyFont="1" applyFill="1" applyBorder="1" applyAlignment="1">
      <alignment horizontal="right"/>
    </xf>
    <xf numFmtId="0" fontId="0" fillId="0" borderId="22" xfId="0" applyFill="1" applyBorder="1"/>
    <xf numFmtId="166" fontId="0" fillId="0" borderId="22" xfId="48" applyNumberFormat="1" applyFont="1" applyFill="1" applyBorder="1"/>
    <xf numFmtId="166" fontId="0" fillId="0" borderId="22" xfId="0" applyNumberFormat="1" applyFill="1" applyBorder="1"/>
    <xf numFmtId="0" fontId="0" fillId="0" borderId="23" xfId="0" applyFill="1" applyBorder="1"/>
    <xf numFmtId="9" fontId="0" fillId="0" borderId="7" xfId="45" applyFont="1" applyBorder="1"/>
    <xf numFmtId="0" fontId="18" fillId="0" borderId="6" xfId="1" applyFont="1" applyFill="1" applyBorder="1" applyAlignment="1">
      <alignment wrapText="1"/>
    </xf>
    <xf numFmtId="165" fontId="23" fillId="5" borderId="14" xfId="1" applyNumberFormat="1" applyFont="1" applyFill="1" applyBorder="1" applyAlignment="1">
      <alignment horizontal="right"/>
    </xf>
    <xf numFmtId="167" fontId="27" fillId="0" borderId="0" xfId="59" applyNumberFormat="1" applyFont="1" applyFill="1" applyBorder="1" applyAlignment="1">
      <alignment horizontal="right"/>
    </xf>
    <xf numFmtId="0" fontId="0" fillId="0" borderId="16" xfId="0" applyBorder="1"/>
    <xf numFmtId="2" fontId="20" fillId="0" borderId="6" xfId="1" applyNumberFormat="1" applyFont="1" applyFill="1" applyBorder="1" applyAlignment="1">
      <alignment horizontal="left"/>
    </xf>
    <xf numFmtId="0" fontId="10" fillId="13" borderId="9" xfId="0" applyFont="1" applyFill="1" applyBorder="1" applyAlignment="1">
      <alignment wrapText="1"/>
    </xf>
    <xf numFmtId="0" fontId="10" fillId="0" borderId="0" xfId="88" applyFont="1" applyFill="1" applyBorder="1" applyAlignment="1">
      <alignment wrapText="1"/>
    </xf>
    <xf numFmtId="9" fontId="0" fillId="0" borderId="6" xfId="45" applyFont="1" applyFill="1" applyBorder="1"/>
    <xf numFmtId="0" fontId="10" fillId="12" borderId="9" xfId="0" applyFont="1" applyFill="1" applyBorder="1" applyAlignment="1">
      <alignment wrapText="1"/>
    </xf>
    <xf numFmtId="164" fontId="19" fillId="5" borderId="4" xfId="1" applyNumberFormat="1" applyFont="1" applyFill="1" applyBorder="1" applyAlignment="1">
      <alignment horizontal="center" vertical="center" wrapText="1"/>
    </xf>
    <xf numFmtId="165" fontId="1" fillId="0" borderId="0" xfId="59" applyNumberFormat="1" applyFont="1" applyFill="1" applyBorder="1" applyAlignment="1">
      <alignment horizontal="right"/>
    </xf>
    <xf numFmtId="0" fontId="10" fillId="12" borderId="16" xfId="0" applyFont="1" applyFill="1" applyBorder="1" applyAlignment="1">
      <alignment wrapText="1"/>
    </xf>
    <xf numFmtId="9" fontId="0" fillId="0" borderId="17" xfId="45" applyFont="1" applyFill="1" applyBorder="1"/>
    <xf numFmtId="9" fontId="0" fillId="0" borderId="1" xfId="45" applyFont="1" applyFill="1" applyBorder="1"/>
    <xf numFmtId="9" fontId="0" fillId="0" borderId="18" xfId="45" applyFont="1" applyFill="1" applyBorder="1"/>
    <xf numFmtId="43" fontId="0" fillId="0" borderId="0" xfId="48" applyNumberFormat="1" applyFont="1"/>
    <xf numFmtId="0" fontId="0" fillId="14" borderId="0" xfId="0" applyFill="1"/>
    <xf numFmtId="49" fontId="19" fillId="14" borderId="4" xfId="1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4" fontId="19" fillId="14" borderId="4" xfId="1" applyNumberFormat="1" applyFont="1" applyFill="1" applyBorder="1" applyAlignment="1">
      <alignment horizontal="center" vertical="center" wrapText="1"/>
    </xf>
    <xf numFmtId="0" fontId="27" fillId="0" borderId="6" xfId="0" applyFont="1" applyBorder="1"/>
    <xf numFmtId="0" fontId="21" fillId="0" borderId="25" xfId="1" applyFont="1" applyFill="1" applyBorder="1" applyAlignment="1">
      <alignment wrapText="1"/>
    </xf>
    <xf numFmtId="49" fontId="19" fillId="4" borderId="6" xfId="1" applyNumberFormat="1" applyFont="1" applyFill="1" applyBorder="1" applyAlignment="1">
      <alignment horizontal="center" vertical="center" wrapText="1"/>
    </xf>
    <xf numFmtId="166" fontId="0" fillId="0" borderId="7" xfId="0" applyNumberFormat="1" applyBorder="1"/>
    <xf numFmtId="0" fontId="27" fillId="0" borderId="6" xfId="0" applyFont="1" applyFill="1" applyBorder="1"/>
    <xf numFmtId="0" fontId="22" fillId="0" borderId="6" xfId="1" applyFont="1" applyFill="1" applyBorder="1" applyAlignment="1">
      <alignment wrapText="1"/>
    </xf>
    <xf numFmtId="0" fontId="10" fillId="0" borderId="26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10" fontId="0" fillId="0" borderId="0" xfId="0" applyNumberFormat="1"/>
    <xf numFmtId="3" fontId="0" fillId="0" borderId="2" xfId="0" applyNumberFormat="1" applyBorder="1"/>
    <xf numFmtId="3" fontId="0" fillId="0" borderId="0" xfId="0" applyNumberFormat="1"/>
    <xf numFmtId="3" fontId="0" fillId="0" borderId="10" xfId="0" applyNumberFormat="1" applyBorder="1"/>
    <xf numFmtId="9" fontId="0" fillId="0" borderId="0" xfId="0" applyNumberFormat="1"/>
    <xf numFmtId="10" fontId="10" fillId="0" borderId="0" xfId="0" applyNumberFormat="1" applyFont="1"/>
    <xf numFmtId="3" fontId="0" fillId="0" borderId="15" xfId="0" applyNumberFormat="1" applyBorder="1"/>
    <xf numFmtId="3" fontId="0" fillId="0" borderId="13" xfId="0" applyNumberFormat="1" applyBorder="1"/>
    <xf numFmtId="3" fontId="10" fillId="0" borderId="0" xfId="0" applyNumberFormat="1" applyFont="1"/>
    <xf numFmtId="9" fontId="10" fillId="0" borderId="0" xfId="0" applyNumberFormat="1" applyFont="1"/>
    <xf numFmtId="0" fontId="0" fillId="12" borderId="0" xfId="0" applyFill="1"/>
    <xf numFmtId="0" fontId="29" fillId="15" borderId="0" xfId="0" applyFont="1" applyFill="1" applyAlignment="1">
      <alignment wrapText="1"/>
    </xf>
    <xf numFmtId="0" fontId="10" fillId="0" borderId="0" xfId="0" applyFont="1" applyAlignment="1">
      <alignment horizontal="center"/>
    </xf>
    <xf numFmtId="3" fontId="0" fillId="0" borderId="28" xfId="0" applyNumberFormat="1" applyBorder="1"/>
    <xf numFmtId="3" fontId="0" fillId="0" borderId="0" xfId="0" applyNumberFormat="1" applyBorder="1"/>
    <xf numFmtId="3" fontId="10" fillId="0" borderId="0" xfId="0" applyNumberFormat="1" applyFont="1" applyBorder="1"/>
    <xf numFmtId="165" fontId="1" fillId="0" borderId="0" xfId="45" applyNumberFormat="1" applyFont="1" applyFill="1" applyBorder="1" applyAlignment="1">
      <alignment horizontal="right"/>
    </xf>
    <xf numFmtId="0" fontId="10" fillId="0" borderId="29" xfId="0" applyFont="1" applyBorder="1" applyAlignment="1">
      <alignment horizontal="centerContinuous"/>
    </xf>
    <xf numFmtId="49" fontId="20" fillId="0" borderId="6" xfId="1" applyNumberFormat="1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</cellXfs>
  <cellStyles count="98">
    <cellStyle name="20% - Accent3" xfId="88" builtinId="38"/>
    <cellStyle name="40% - Accent2 2" xfId="32" xr:uid="{00000000-0005-0000-0000-000000000000}"/>
    <cellStyle name="40% - Accent2 3" xfId="25" xr:uid="{00000000-0005-0000-0000-000001000000}"/>
    <cellStyle name="40% - Accent5 2" xfId="33" xr:uid="{00000000-0005-0000-0000-000003000000}"/>
    <cellStyle name="40% - Accent5 3" xfId="26" xr:uid="{00000000-0005-0000-0000-000004000000}"/>
    <cellStyle name="40% - Accent5 4" xfId="15" xr:uid="{00000000-0005-0000-0000-000032000000}"/>
    <cellStyle name="Comma" xfId="48" builtinId="3"/>
    <cellStyle name="Comma [0] 2" xfId="30" xr:uid="{00000000-0005-0000-0000-000006000000}"/>
    <cellStyle name="Comma 12 2" xfId="73" xr:uid="{00000000-0005-0000-0000-000007000000}"/>
    <cellStyle name="Comma 14" xfId="71" xr:uid="{00000000-0005-0000-0000-000008000000}"/>
    <cellStyle name="Comma 2" xfId="20" xr:uid="{00000000-0005-0000-0000-000007000000}"/>
    <cellStyle name="Comma 2 2" xfId="29" xr:uid="{00000000-0005-0000-0000-000008000000}"/>
    <cellStyle name="Comma 2 3" xfId="47" xr:uid="{3A48F811-8025-4BC2-8BBD-53B066854A84}"/>
    <cellStyle name="Comma 3" xfId="23" xr:uid="{00000000-0005-0000-0000-000009000000}"/>
    <cellStyle name="Comma 3 2" xfId="37" xr:uid="{00000000-0005-0000-0000-00000A000000}"/>
    <cellStyle name="Comma 4" xfId="40" xr:uid="{00000000-0005-0000-0000-00000B000000}"/>
    <cellStyle name="Comma 5" xfId="42" xr:uid="{00000000-0005-0000-0000-000035000000}"/>
    <cellStyle name="Comma 6" xfId="52" xr:uid="{E99AFBC6-F814-4130-AD7D-AE885D494441}"/>
    <cellStyle name="Comma 7" xfId="58" xr:uid="{4205392D-25FC-4546-B6F1-C658BC1F1384}"/>
    <cellStyle name="Comma 8" xfId="85" xr:uid="{26D964D9-D24D-4F0D-AB42-87E618A13769}"/>
    <cellStyle name="Comma 8 2" xfId="94" xr:uid="{20255198-D47A-4C9E-A872-D60A9B54BC01}"/>
    <cellStyle name="Currency" xfId="59" builtinId="4"/>
    <cellStyle name="Currency [0] 2" xfId="28" xr:uid="{00000000-0005-0000-0000-00000D000000}"/>
    <cellStyle name="Currency 10 10" xfId="7" xr:uid="{00000000-0005-0000-0000-00000E000000}"/>
    <cellStyle name="Currency 11 2 3" xfId="12" xr:uid="{00000000-0005-0000-0000-00000F000000}"/>
    <cellStyle name="Currency 2" xfId="10" xr:uid="{00000000-0005-0000-0000-000010000000}"/>
    <cellStyle name="Currency 2 10" xfId="14" xr:uid="{00000000-0005-0000-0000-000011000000}"/>
    <cellStyle name="Currency 2 2" xfId="64" xr:uid="{00000000-0005-0000-0000-000014000000}"/>
    <cellStyle name="Currency 2 3" xfId="89" xr:uid="{143E536D-D87C-4148-BE85-A1751BF5D074}"/>
    <cellStyle name="Currency 2 4" xfId="97" xr:uid="{E6E06CBA-5F90-4B11-81E8-3F575C9C8DD6}"/>
    <cellStyle name="Currency 23" xfId="78" xr:uid="{00000000-0005-0000-0000-000016000000}"/>
    <cellStyle name="Currency 3" xfId="3" xr:uid="{00000000-0005-0000-0000-00003C000000}"/>
    <cellStyle name="Currency 3 2" xfId="80" xr:uid="{00000000-0005-0000-0000-000018000000}"/>
    <cellStyle name="Currency 3 25" xfId="13" xr:uid="{00000000-0005-0000-0000-000012000000}"/>
    <cellStyle name="Currency 3 3" xfId="66" xr:uid="{00000000-0005-0000-0000-000017000000}"/>
    <cellStyle name="Currency 4" xfId="53" xr:uid="{8FA0C8C7-690C-49AB-9648-756DD3B76E74}"/>
    <cellStyle name="Currency 4 2" xfId="76" xr:uid="{00000000-0005-0000-0000-00001A000000}"/>
    <cellStyle name="Currency 5" xfId="86" xr:uid="{DA56D324-457C-470C-BFC0-B8E969C8F219}"/>
    <cellStyle name="Currency 5 2" xfId="95" xr:uid="{44206822-EFEF-47B4-9AC4-DEE9DBB8FA97}"/>
    <cellStyle name="Hyperlink 2" xfId="31" xr:uid="{00000000-0005-0000-0000-00001A000000}"/>
    <cellStyle name="Hyperlink 3" xfId="24" xr:uid="{00000000-0005-0000-0000-00001B000000}"/>
    <cellStyle name="Hyperlink 5" xfId="41" xr:uid="{00000000-0005-0000-0000-00001C000000}"/>
    <cellStyle name="Normal" xfId="0" builtinId="0"/>
    <cellStyle name="Normal 10" xfId="87" xr:uid="{F94B95F0-FFD0-45F7-9DE5-B5C5008F8CFD}"/>
    <cellStyle name="Normal 151" xfId="72" xr:uid="{00000000-0005-0000-0000-00001F000000}"/>
    <cellStyle name="Normal 2" xfId="1" xr:uid="{50C3D9A5-F899-4607-9E29-2897BFA33FB1}"/>
    <cellStyle name="Normal 2 11 3" xfId="74" xr:uid="{00000000-0005-0000-0000-000021000000}"/>
    <cellStyle name="Normal 2 2" xfId="5" xr:uid="{00000000-0005-0000-0000-00001F000000}"/>
    <cellStyle name="Normal 2 2 2" xfId="27" xr:uid="{00000000-0005-0000-0000-000020000000}"/>
    <cellStyle name="Normal 2 2 3" xfId="69" xr:uid="{00000000-0005-0000-0000-000022000000}"/>
    <cellStyle name="Normal 2 2 5" xfId="17" xr:uid="{00000000-0005-0000-0000-000021000000}"/>
    <cellStyle name="Normal 2 3" xfId="35" xr:uid="{00000000-0005-0000-0000-000022000000}"/>
    <cellStyle name="Normal 2 3 2" xfId="68" xr:uid="{00000000-0005-0000-0000-000025000000}"/>
    <cellStyle name="Normal 2 3 3" xfId="90" xr:uid="{B34DD2DA-D31B-4B03-9B94-C4545E39AFE9}"/>
    <cellStyle name="Normal 2 4" xfId="18" xr:uid="{00000000-0005-0000-0000-00001E000000}"/>
    <cellStyle name="Normal 2 5" xfId="46" xr:uid="{68EDE517-228D-46EB-B357-15169F807378}"/>
    <cellStyle name="Normal 2 6" xfId="81" xr:uid="{C258D477-25EC-4624-B431-85443C663073}"/>
    <cellStyle name="Normal 3" xfId="21" xr:uid="{00000000-0005-0000-0000-000023000000}"/>
    <cellStyle name="Normal 3 2" xfId="38" xr:uid="{00000000-0005-0000-0000-000024000000}"/>
    <cellStyle name="Normal 3 2 2" xfId="61" xr:uid="{00000000-0005-0000-0000-000029000000}"/>
    <cellStyle name="Normal 3 3" xfId="49" xr:uid="{59E9F85D-80A7-4625-A739-AD3F109A52D7}"/>
    <cellStyle name="Normal 3 3 2" xfId="11" xr:uid="{00000000-0005-0000-0000-000025000000}"/>
    <cellStyle name="Normal 3 4" xfId="60" xr:uid="{00000000-0005-0000-0000-000028000000}"/>
    <cellStyle name="Normal 3 5" xfId="96" xr:uid="{40171DE9-51CB-457F-ACD6-BA064BD39738}"/>
    <cellStyle name="Normal 4" xfId="43" xr:uid="{00000000-0005-0000-0000-000026000000}"/>
    <cellStyle name="Normal 4 2" xfId="70" xr:uid="{00000000-0005-0000-0000-00002C000000}"/>
    <cellStyle name="Normal 4 3" xfId="82" xr:uid="{EEF32F37-6274-48F4-9FD4-271F6677F62A}"/>
    <cellStyle name="Normal 4 4" xfId="62" xr:uid="{00000000-0005-0000-0000-00002B000000}"/>
    <cellStyle name="Normal 5" xfId="44" xr:uid="{00000000-0005-0000-0000-000027000000}"/>
    <cellStyle name="Normal 5 2" xfId="79" xr:uid="{00000000-0005-0000-0000-00002E000000}"/>
    <cellStyle name="Normal 5 3" xfId="65" xr:uid="{00000000-0005-0000-0000-00002D000000}"/>
    <cellStyle name="Normal 6" xfId="2" xr:uid="{00000000-0005-0000-0000-000047000000}"/>
    <cellStyle name="Normal 6 2" xfId="54" xr:uid="{68F16885-062B-4573-92C1-E5374B91A43E}"/>
    <cellStyle name="Normal 6 3" xfId="92" xr:uid="{00000000-0005-0000-0000-00003D000000}"/>
    <cellStyle name="Normal 7" xfId="50" xr:uid="{43517783-DF34-41E6-A815-3D14BE163B46}"/>
    <cellStyle name="Normal 8" xfId="56" xr:uid="{9AE91A76-A9F1-4FF8-A9D2-B28148365998}"/>
    <cellStyle name="Normal 9" xfId="84" xr:uid="{DE507443-01AB-4B60-ADDD-512487AB6078}"/>
    <cellStyle name="Normal 9 2" xfId="93" xr:uid="{40EB77CC-8C35-4F1B-B15D-A01D1A81920D}"/>
    <cellStyle name="Note 2" xfId="63" xr:uid="{00000000-0005-0000-0000-000030000000}"/>
    <cellStyle name="Note 2 2" xfId="91" xr:uid="{00000000-0005-0000-0000-00003A000000}"/>
    <cellStyle name="Percent" xfId="45" builtinId="5"/>
    <cellStyle name="Percent 18" xfId="34" xr:uid="{00000000-0005-0000-0000-000029000000}"/>
    <cellStyle name="Percent 2" xfId="9" xr:uid="{00000000-0005-0000-0000-00002A000000}"/>
    <cellStyle name="Percent 2 2" xfId="6" xr:uid="{00000000-0005-0000-0000-00002B000000}"/>
    <cellStyle name="Percent 2 2 2" xfId="77" xr:uid="{00000000-0005-0000-0000-000034000000}"/>
    <cellStyle name="Percent 2 3" xfId="67" xr:uid="{00000000-0005-0000-0000-000033000000}"/>
    <cellStyle name="Percent 3" xfId="19" xr:uid="{00000000-0005-0000-0000-00002C000000}"/>
    <cellStyle name="Percent 3 2" xfId="36" xr:uid="{00000000-0005-0000-0000-00002D000000}"/>
    <cellStyle name="Percent 3 3" xfId="75" xr:uid="{00000000-0005-0000-0000-000035000000}"/>
    <cellStyle name="Percent 4" xfId="22" xr:uid="{00000000-0005-0000-0000-00002E000000}"/>
    <cellStyle name="Percent 4 2" xfId="39" xr:uid="{00000000-0005-0000-0000-00002F000000}"/>
    <cellStyle name="Percent 5" xfId="4" xr:uid="{00000000-0005-0000-0000-000052000000}"/>
    <cellStyle name="Percent 5 10" xfId="8" xr:uid="{00000000-0005-0000-0000-000030000000}"/>
    <cellStyle name="Percent 5 10 2" xfId="16" xr:uid="{00000000-0005-0000-0000-000031000000}"/>
    <cellStyle name="Percent 6" xfId="51" xr:uid="{A6C91195-C18D-436C-A5BB-5745DD22B2EB}"/>
    <cellStyle name="Percent 6 2" xfId="83" xr:uid="{ADAE99D8-8FC4-4F1E-8283-AF179EA7DC30}"/>
    <cellStyle name="Percent 7" xfId="55" xr:uid="{43CAB761-189F-455B-8A60-944C0B234B45}"/>
    <cellStyle name="Percent 8" xfId="57" xr:uid="{6F8A8F77-3857-4E04-B157-9797A4DACF15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19" formatCode="m/d/yyyy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5D5"/>
      <color rgb="FF26B8FA"/>
      <color rgb="FFFECEFE"/>
      <color rgb="FFCCCCFF"/>
      <color rgb="FFFF99FF"/>
      <color rgb="FF43D6DD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Rate%20Analysis\AC%20&amp;%20Hosp\2017%20Tools\Sending%20Apps\2017%20Apps\DY%206%20App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7 Medicaid Claims Data"/>
      <sheetName val="CPart I B Part I A-8-2"/>
      <sheetName val="Sched 3 HSL DSH Report"/>
      <sheetName val="UC Report"/>
      <sheetName val="Hospital Data Report"/>
      <sheetName val="Historical Medicaid &amp; Uninsured"/>
      <sheetName val="PrePop"/>
      <sheetName val="Data All Providers 2017"/>
      <sheetName val="HCRIS data"/>
      <sheetName val="MasterContactListDY5"/>
      <sheetName val="2017 Hospital Contacts"/>
      <sheetName val="Trauma"/>
      <sheetName val="B Part I Col 24"/>
      <sheetName val="C Part I 4"/>
      <sheetName val="C Part I 6"/>
      <sheetName val="C Part I 7"/>
      <sheetName val="WS S-3 PartI 28"/>
      <sheetName val="C Part I 8"/>
      <sheetName val="C Part I 9"/>
      <sheetName val="DY 6 Census Swing"/>
      <sheetName val="GME Payments2015"/>
      <sheetName val="Master TPI 2016"/>
      <sheetName val="Organ Acquisition"/>
      <sheetName val="Days Summary"/>
      <sheetName val="HSL"/>
      <sheetName val="Shortfalls"/>
      <sheetName val="MCO Day Adjustment (subtract)"/>
      <sheetName val="FFS Day Adjustment (subtract)"/>
      <sheetName val="FFS PPE Adjustment (add)"/>
      <sheetName val=" MCO PPE Adjustment (add)"/>
      <sheetName val="OP FFS Rural Adj (add)"/>
      <sheetName val="OP MCO Rural Adjustment (add)"/>
      <sheetName val="SDA Adjustment Percentages"/>
      <sheetName val="Positive Days Adjustment"/>
      <sheetName val=" Cost Report Settl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CFF13F-9C1E-4F35-8ECF-C8FC2451761C}" name="Table1" displayName="Table1" ref="A1:Q156" totalsRowShown="0">
  <autoFilter ref="A1:Q156" xr:uid="{08AB9366-3058-46E8-BFE3-DA7C0FE8A189}"/>
  <tableColumns count="17">
    <tableColumn id="1" xr3:uid="{BD9B0525-64E7-46BD-BC98-25945704BACA}" name="Program"/>
    <tableColumn id="2" xr3:uid="{D5C9A8EB-F86D-485C-B472-BBC2FEE22469}" name="DY/Program Yr"/>
    <tableColumn id="3" xr3:uid="{F17363F3-76EB-40AB-AECA-84CC2027E956}" name="Payment" dataDxfId="4"/>
    <tableColumn id="5" xr3:uid="{A4575608-7F08-4B88-8129-04D063763C43}" name="TPI/Facility"/>
    <tableColumn id="6" xr3:uid="{F5906FC2-113D-4CE2-B722-5EAF66C2B425}" name="NPI"/>
    <tableColumn id="8" xr3:uid="{FCEB4CBA-3E99-429C-94B0-16E383ECEDD5}" name="SDA"/>
    <tableColumn id="11" xr3:uid="{B2B2C343-46B2-42AF-856A-23720796E5B0}" name="Provider Name"/>
    <tableColumn id="12" xr3:uid="{9D88E894-A0A5-46C2-8ED6-5F9BE9A4B87E}" name="Government Entity"/>
    <tableColumn id="15" xr3:uid="{793FEF75-2498-4256-8DBA-1DE53CE2122B}" name="IGT Received"/>
    <tableColumn id="17" xr3:uid="{32604892-8B98-4E30-A93C-AAA2501CBAF1}" name="Voucher #"/>
    <tableColumn id="18" xr3:uid="{3C319255-AFF5-4A07-ABF8-CCA22AF43E97}" name="Location #"/>
    <tableColumn id="20" xr3:uid="{69CC0A57-AE0A-4C9A-A4BB-7C0928E79143}" name="IGT Refund Amount"/>
    <tableColumn id="26" xr3:uid="{71E321A1-FD9F-4E60-8ACC-E6518EAB363F}" name="IGT Received (after Refunds)" dataDxfId="3"/>
    <tableColumn id="21" xr3:uid="{AF60FA68-1A51-4DE4-ACBE-8345B6F38E42}" name="LPPF Government Entity"/>
    <tableColumn id="23" xr3:uid="{CB778E4C-EC47-449C-9856-B43F27572876}" name="Settlement Date"/>
    <tableColumn id="24" xr3:uid="{3F5092F5-D5E2-4ED3-A7BB-77576E2E6557}" name="AY"/>
    <tableColumn id="25" xr3:uid="{B9276520-299B-4580-80C7-9F6E6B620A0A}" name="F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90A6B-E85A-49A3-A9B0-1E35B0E47BAA}">
  <dimension ref="A1:A29"/>
  <sheetViews>
    <sheetView workbookViewId="0">
      <selection activeCell="A38" sqref="A38"/>
    </sheetView>
  </sheetViews>
  <sheetFormatPr defaultRowHeight="15"/>
  <cols>
    <col min="1" max="1" width="26" customWidth="1"/>
  </cols>
  <sheetData>
    <row r="1" spans="1:1">
      <c r="A1" t="s">
        <v>2783</v>
      </c>
    </row>
    <row r="2" spans="1:1">
      <c r="A2" s="115" t="s">
        <v>2784</v>
      </c>
    </row>
    <row r="3" spans="1:1">
      <c r="A3" s="145" t="s">
        <v>3024</v>
      </c>
    </row>
    <row r="4" spans="1:1">
      <c r="A4" s="146" t="s">
        <v>3025</v>
      </c>
    </row>
    <row r="7" spans="1:1">
      <c r="A7" s="1" t="s">
        <v>2411</v>
      </c>
    </row>
    <row r="8" spans="1:1">
      <c r="A8" s="9" t="s">
        <v>2416</v>
      </c>
    </row>
    <row r="9" spans="1:1">
      <c r="A9" s="9" t="s">
        <v>2415</v>
      </c>
    </row>
    <row r="10" spans="1:1">
      <c r="A10" s="9" t="s">
        <v>2418</v>
      </c>
    </row>
    <row r="11" spans="1:1">
      <c r="A11" s="9" t="s">
        <v>2420</v>
      </c>
    </row>
    <row r="12" spans="1:1">
      <c r="A12" s="9" t="s">
        <v>2413</v>
      </c>
    </row>
    <row r="13" spans="1:1">
      <c r="A13" s="9" t="s">
        <v>2419</v>
      </c>
    </row>
    <row r="14" spans="1:1">
      <c r="A14" s="9" t="s">
        <v>3029</v>
      </c>
    </row>
    <row r="15" spans="1:1">
      <c r="A15" s="9" t="s">
        <v>3030</v>
      </c>
    </row>
    <row r="16" spans="1:1">
      <c r="A16" s="9" t="s">
        <v>2422</v>
      </c>
    </row>
    <row r="17" spans="1:1">
      <c r="A17" s="9" t="s">
        <v>2412</v>
      </c>
    </row>
    <row r="18" spans="1:1">
      <c r="A18" s="9" t="s">
        <v>2417</v>
      </c>
    </row>
    <row r="19" spans="1:1">
      <c r="A19" s="9" t="s">
        <v>2414</v>
      </c>
    </row>
    <row r="21" spans="1:1">
      <c r="A21" t="s">
        <v>3031</v>
      </c>
    </row>
    <row r="22" spans="1:1">
      <c r="A22" t="s">
        <v>3039</v>
      </c>
    </row>
    <row r="23" spans="1:1">
      <c r="A23" t="s">
        <v>3032</v>
      </c>
    </row>
    <row r="24" spans="1:1">
      <c r="A24" t="s">
        <v>3033</v>
      </c>
    </row>
    <row r="25" spans="1:1">
      <c r="A25" t="s">
        <v>3034</v>
      </c>
    </row>
    <row r="26" spans="1:1">
      <c r="A26" t="s">
        <v>3040</v>
      </c>
    </row>
    <row r="27" spans="1:1">
      <c r="A27" t="s">
        <v>3041</v>
      </c>
    </row>
    <row r="28" spans="1:1">
      <c r="A28" t="s">
        <v>3372</v>
      </c>
    </row>
    <row r="29" spans="1:1">
      <c r="A29" t="s">
        <v>3373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73BB-5426-4797-8BFD-D48B1398D4E2}">
  <sheetPr>
    <tabColor rgb="FF7030A0"/>
  </sheetPr>
  <dimension ref="A1:H572"/>
  <sheetViews>
    <sheetView tabSelected="1" zoomScale="120" zoomScaleNormal="120" workbookViewId="0">
      <selection activeCell="C7" sqref="C7"/>
    </sheetView>
  </sheetViews>
  <sheetFormatPr defaultColWidth="8.796875" defaultRowHeight="15"/>
  <cols>
    <col min="1" max="1" width="20" style="9" customWidth="1"/>
    <col min="2" max="2" width="16.09765625" style="9" customWidth="1"/>
    <col min="3" max="3" width="14.59765625" style="9" customWidth="1"/>
    <col min="4" max="4" width="17.19921875" style="9" customWidth="1"/>
    <col min="5" max="5" width="16.3984375" style="9" customWidth="1"/>
    <col min="6" max="6" width="16" style="9" customWidth="1"/>
    <col min="7" max="7" width="16.19921875" style="9" customWidth="1"/>
    <col min="8" max="8" width="16.59765625" style="9" customWidth="1"/>
    <col min="9" max="9" width="16.296875" style="9" customWidth="1"/>
    <col min="10" max="16384" width="8.796875" style="9"/>
  </cols>
  <sheetData>
    <row r="1" spans="1:8" ht="19.5">
      <c r="A1" s="28" t="s">
        <v>2744</v>
      </c>
    </row>
    <row r="2" spans="1:8" ht="15.75" thickBot="1"/>
    <row r="3" spans="1:8">
      <c r="A3" s="57"/>
      <c r="B3" s="59">
        <f t="shared" ref="B3:G3" si="0">SUM(B5:B17)</f>
        <v>4935942667.1152916</v>
      </c>
      <c r="C3" s="59">
        <f t="shared" si="0"/>
        <v>304252837.82784116</v>
      </c>
      <c r="D3" s="59">
        <f t="shared" si="0"/>
        <v>5240195504.9431324</v>
      </c>
      <c r="E3" s="59">
        <f t="shared" si="0"/>
        <v>2062289421.3613796</v>
      </c>
      <c r="F3" s="59">
        <f>SUM(F5:F17)</f>
        <v>1115601108.425518</v>
      </c>
      <c r="G3" s="59">
        <f t="shared" si="0"/>
        <v>946688312.93586195</v>
      </c>
      <c r="H3" s="102"/>
    </row>
    <row r="4" spans="1:8" ht="75">
      <c r="A4" s="60" t="s">
        <v>3</v>
      </c>
      <c r="B4" s="61" t="s">
        <v>2726</v>
      </c>
      <c r="C4" s="61" t="s">
        <v>2727</v>
      </c>
      <c r="D4" s="61" t="s">
        <v>2401</v>
      </c>
      <c r="E4" s="61" t="s">
        <v>2728</v>
      </c>
      <c r="F4" s="61" t="s">
        <v>3371</v>
      </c>
      <c r="G4" s="61" t="s">
        <v>2729</v>
      </c>
      <c r="H4" s="62" t="s">
        <v>2762</v>
      </c>
    </row>
    <row r="5" spans="1:8">
      <c r="A5" s="24" t="s">
        <v>487</v>
      </c>
      <c r="B5" s="23">
        <f>SUMIF('CHIRP Payment Calc'!$G:$G,'IGT Commitment Suggestions'!$A5,'CHIRP Payment Calc'!AN:AN)</f>
        <v>395847386.98687851</v>
      </c>
      <c r="C5" s="23">
        <f>SUMIF('CHIRP Payment Calc'!$G:$G,'IGT Commitment Suggestions'!$A5,'CHIRP Payment Calc'!AO:AO)</f>
        <v>24398092.778305888</v>
      </c>
      <c r="D5" s="23">
        <f>SUMIF('CHIRP Payment Calc'!$G:$G,'IGT Commitment Suggestions'!$A5,'CHIRP Payment Calc'!AP:AP)</f>
        <v>420245479.76518434</v>
      </c>
      <c r="E5" s="23">
        <f>SUMIF('CHIRP Payment Calc'!$G:$G,'IGT Commitment Suggestions'!$A5,'CHIRP Payment Calc'!AQ:AQ)</f>
        <v>165388449.05254787</v>
      </c>
      <c r="F5" s="23">
        <f>SUMIF('June IGT'!F:F,'IGT Commitment Suggestions'!$A5,'June IGT'!M:M)</f>
        <v>89152938.905196398</v>
      </c>
      <c r="G5" s="23">
        <f>E5-F5</f>
        <v>76235510.147351474</v>
      </c>
      <c r="H5" s="65">
        <f t="shared" ref="H5:H17" si="1">G5/E5</f>
        <v>0.46094821363933114</v>
      </c>
    </row>
    <row r="6" spans="1:8">
      <c r="A6" s="24" t="s">
        <v>223</v>
      </c>
      <c r="B6" s="23">
        <f>SUMIF('CHIRP Payment Calc'!$G:$G,'IGT Commitment Suggestions'!$A6,'CHIRP Payment Calc'!AN:AN)</f>
        <v>800158383.69730783</v>
      </c>
      <c r="C6" s="23">
        <f>SUMIF('CHIRP Payment Calc'!$G:$G,'IGT Commitment Suggestions'!$A6,'CHIRP Payment Calc'!AO:AO)</f>
        <v>49353882.062515274</v>
      </c>
      <c r="D6" s="23">
        <f>SUMIF('CHIRP Payment Calc'!$G:$G,'IGT Commitment Suggestions'!$A6,'CHIRP Payment Calc'!AP:AP)</f>
        <v>849512265.75982285</v>
      </c>
      <c r="E6" s="23">
        <f>SUMIF('CHIRP Payment Calc'!$G:$G,'IGT Commitment Suggestions'!$A6,'CHIRP Payment Calc'!AQ:AQ)</f>
        <v>334327251.21430975</v>
      </c>
      <c r="F6" s="23">
        <f>SUMIF('June IGT'!F:F,'IGT Commitment Suggestions'!$A6,'June IGT'!M:M)</f>
        <v>181428121.51898742</v>
      </c>
      <c r="G6" s="23">
        <f t="shared" ref="G6:G17" si="2">E6-F6</f>
        <v>152899129.69532233</v>
      </c>
      <c r="H6" s="65">
        <f t="shared" si="1"/>
        <v>0.45733373256286325</v>
      </c>
    </row>
    <row r="7" spans="1:8">
      <c r="A7" s="24" t="s">
        <v>1189</v>
      </c>
      <c r="B7" s="23">
        <f>SUMIF('CHIRP Payment Calc'!$G:$G,'IGT Commitment Suggestions'!$A7,'CHIRP Payment Calc'!AN:AN)</f>
        <v>155463837.29392236</v>
      </c>
      <c r="C7" s="23">
        <f>SUMIF('CHIRP Payment Calc'!$G:$G,'IGT Commitment Suggestions'!$A7,'CHIRP Payment Calc'!AO:AO)</f>
        <v>9569809.7532424983</v>
      </c>
      <c r="D7" s="23">
        <f>SUMIF('CHIRP Payment Calc'!$G:$G,'IGT Commitment Suggestions'!$A7,'CHIRP Payment Calc'!AP:AP)</f>
        <v>165033647.04716483</v>
      </c>
      <c r="E7" s="23">
        <f>SUMIF('CHIRP Payment Calc'!$G:$G,'IGT Commitment Suggestions'!$A7,'CHIRP Payment Calc'!AQ:AQ)</f>
        <v>64949321.862705827</v>
      </c>
      <c r="F7" s="23">
        <f>SUMIF('June IGT'!F:F,'IGT Commitment Suggestions'!$A7,'June IGT'!M:M)</f>
        <v>35051397.363118045</v>
      </c>
      <c r="G7" s="23">
        <f t="shared" si="2"/>
        <v>29897924.499587782</v>
      </c>
      <c r="H7" s="65">
        <f t="shared" si="1"/>
        <v>0.46032696942991941</v>
      </c>
    </row>
    <row r="8" spans="1:8">
      <c r="A8" s="24" t="s">
        <v>300</v>
      </c>
      <c r="B8" s="23">
        <f>SUMIF('CHIRP Payment Calc'!$G:$G,'IGT Commitment Suggestions'!$A8,'CHIRP Payment Calc'!AN:AN)</f>
        <v>1475704503.0905437</v>
      </c>
      <c r="C8" s="23">
        <f>SUMIF('CHIRP Payment Calc'!$G:$G,'IGT Commitment Suggestions'!$A8,'CHIRP Payment Calc'!AO:AO)</f>
        <v>90899796.70570305</v>
      </c>
      <c r="D8" s="23">
        <f>SUMIF('CHIRP Payment Calc'!$G:$G,'IGT Commitment Suggestions'!$A8,'CHIRP Payment Calc'!AP:AP)</f>
        <v>1566604299.7962468</v>
      </c>
      <c r="E8" s="23">
        <f>SUMIF('CHIRP Payment Calc'!$G:$G,'IGT Commitment Suggestions'!$A8,'CHIRP Payment Calc'!AQ:AQ)</f>
        <v>616540255.39341259</v>
      </c>
      <c r="F8" s="23">
        <f>SUMIF('June IGT'!F:F,'IGT Commitment Suggestions'!$A8,'June IGT'!M:M)</f>
        <v>333675391.26000005</v>
      </c>
      <c r="G8" s="23">
        <f t="shared" si="2"/>
        <v>282864864.13341254</v>
      </c>
      <c r="H8" s="65">
        <f t="shared" si="1"/>
        <v>0.45879382839798072</v>
      </c>
    </row>
    <row r="9" spans="1:8">
      <c r="A9" s="24" t="s">
        <v>1514</v>
      </c>
      <c r="B9" s="23">
        <f>SUMIF('CHIRP Payment Calc'!$G:$G,'IGT Commitment Suggestions'!$A9,'CHIRP Payment Calc'!AN:AN)</f>
        <v>331263028.15001804</v>
      </c>
      <c r="C9" s="23">
        <f>SUMIF('CHIRP Payment Calc'!$G:$G,'IGT Commitment Suggestions'!$A9,'CHIRP Payment Calc'!AO:AO)</f>
        <v>20395829.636903271</v>
      </c>
      <c r="D9" s="23">
        <f>SUMIF('CHIRP Payment Calc'!$G:$G,'IGT Commitment Suggestions'!$A9,'CHIRP Payment Calc'!AP:AP)</f>
        <v>351658857.78692126</v>
      </c>
      <c r="E9" s="23">
        <f>SUMIF('CHIRP Payment Calc'!$G:$G,'IGT Commitment Suggestions'!$A9,'CHIRP Payment Calc'!AQ:AQ)</f>
        <v>138396046.79975846</v>
      </c>
      <c r="F9" s="23">
        <f>SUMIF('June IGT'!F:F,'IGT Commitment Suggestions'!$A9,'June IGT'!M:M)</f>
        <v>75031063.951689526</v>
      </c>
      <c r="G9" s="23">
        <f t="shared" si="2"/>
        <v>63364982.848068938</v>
      </c>
      <c r="H9" s="65">
        <f t="shared" si="1"/>
        <v>0.4578525493560523</v>
      </c>
    </row>
    <row r="10" spans="1:8">
      <c r="A10" s="24" t="s">
        <v>1550</v>
      </c>
      <c r="B10" s="23">
        <f>SUMIF('CHIRP Payment Calc'!$G:$G,'IGT Commitment Suggestions'!$A10,'CHIRP Payment Calc'!AN:AN)</f>
        <v>78952066.621009678</v>
      </c>
      <c r="C10" s="23">
        <f>SUMIF('CHIRP Payment Calc'!$G:$G,'IGT Commitment Suggestions'!$A10,'CHIRP Payment Calc'!AO:AO)</f>
        <v>4893884.7296062224</v>
      </c>
      <c r="D10" s="23">
        <f>SUMIF('CHIRP Payment Calc'!$G:$G,'IGT Commitment Suggestions'!$A10,'CHIRP Payment Calc'!AP:AP)</f>
        <v>83845951.350615934</v>
      </c>
      <c r="E10" s="23">
        <f>SUMIF('CHIRP Payment Calc'!$G:$G,'IGT Commitment Suggestions'!$A10,'CHIRP Payment Calc'!AQ:AQ)</f>
        <v>32997741.845937598</v>
      </c>
      <c r="F10" s="23">
        <f>SUMIF('June IGT'!F:F,'IGT Commitment Suggestions'!$A10,'June IGT'!M:M)</f>
        <v>17896615.130000003</v>
      </c>
      <c r="G10" s="23">
        <f t="shared" si="2"/>
        <v>15101126.715937596</v>
      </c>
      <c r="H10" s="65">
        <f t="shared" si="1"/>
        <v>0.45764121637301425</v>
      </c>
    </row>
    <row r="11" spans="1:8">
      <c r="A11" s="24" t="s">
        <v>1526</v>
      </c>
      <c r="B11" s="23">
        <f>SUMIF('CHIRP Payment Calc'!$G:$G,'IGT Commitment Suggestions'!$A11,'CHIRP Payment Calc'!AN:AN)</f>
        <v>94361532.019657165</v>
      </c>
      <c r="C11" s="23">
        <f>SUMIF('CHIRP Payment Calc'!$G:$G,'IGT Commitment Suggestions'!$A11,'CHIRP Payment Calc'!AO:AO)</f>
        <v>5819307.4905969361</v>
      </c>
      <c r="D11" s="23">
        <f>SUMIF('CHIRP Payment Calc'!$G:$G,'IGT Commitment Suggestions'!$A11,'CHIRP Payment Calc'!AP:AP)</f>
        <v>100180839.51025406</v>
      </c>
      <c r="E11" s="23">
        <f>SUMIF('CHIRP Payment Calc'!$G:$G,'IGT Commitment Suggestions'!$A11,'CHIRP Payment Calc'!AQ:AQ)</f>
        <v>39426369.750939511</v>
      </c>
      <c r="F11" s="23">
        <f>SUMIF('June IGT'!F:F,'IGT Commitment Suggestions'!$A11,'June IGT'!M:M)</f>
        <v>21370802.390000001</v>
      </c>
      <c r="G11" s="23">
        <f t="shared" si="2"/>
        <v>18055567.36093951</v>
      </c>
      <c r="H11" s="65">
        <f t="shared" si="1"/>
        <v>0.45795662839359574</v>
      </c>
    </row>
    <row r="12" spans="1:8">
      <c r="A12" s="24" t="s">
        <v>1486</v>
      </c>
      <c r="B12" s="23">
        <f>SUMIF('CHIRP Payment Calc'!$G:$G,'IGT Commitment Suggestions'!$A12,'CHIRP Payment Calc'!AN:AN)</f>
        <v>159092248.05378249</v>
      </c>
      <c r="C12" s="23">
        <f>SUMIF('CHIRP Payment Calc'!$G:$G,'IGT Commitment Suggestions'!$A12,'CHIRP Payment Calc'!AO:AO)</f>
        <v>9845973.4137917869</v>
      </c>
      <c r="D12" s="23">
        <f>SUMIF('CHIRP Payment Calc'!$G:$G,'IGT Commitment Suggestions'!$A12,'CHIRP Payment Calc'!AP:AP)</f>
        <v>168938221.46757433</v>
      </c>
      <c r="E12" s="23">
        <f>SUMIF('CHIRP Payment Calc'!$G:$G,'IGT Commitment Suggestions'!$A12,'CHIRP Payment Calc'!AQ:AQ)</f>
        <v>66485974.935006805</v>
      </c>
      <c r="F12" s="23">
        <f>SUMIF('June IGT'!F:F,'IGT Commitment Suggestions'!$A12,'June IGT'!M:M)</f>
        <v>36112724.009999998</v>
      </c>
      <c r="G12" s="23">
        <f t="shared" si="2"/>
        <v>30373250.925006807</v>
      </c>
      <c r="H12" s="65">
        <f t="shared" si="1"/>
        <v>0.45683696380624789</v>
      </c>
    </row>
    <row r="13" spans="1:8">
      <c r="A13" s="24" t="s">
        <v>310</v>
      </c>
      <c r="B13" s="23">
        <f>SUMIF('CHIRP Payment Calc'!$G:$G,'IGT Commitment Suggestions'!$A13,'CHIRP Payment Calc'!AN:AN)</f>
        <v>187864744.38084587</v>
      </c>
      <c r="C13" s="23">
        <f>SUMIF('CHIRP Payment Calc'!$G:$G,'IGT Commitment Suggestions'!$A13,'CHIRP Payment Calc'!AO:AO)</f>
        <v>11650939.707770791</v>
      </c>
      <c r="D13" s="23">
        <f>SUMIF('CHIRP Payment Calc'!$G:$G,'IGT Commitment Suggestions'!$A13,'CHIRP Payment Calc'!AP:AP)</f>
        <v>199515684.08861664</v>
      </c>
      <c r="E13" s="23">
        <f>SUMIF('CHIRP Payment Calc'!$G:$G,'IGT Commitment Suggestions'!$A13,'CHIRP Payment Calc'!AQ:AQ)</f>
        <v>78519796.504443273</v>
      </c>
      <c r="F13" s="23">
        <f>SUMIF('June IGT'!F:F,'IGT Commitment Suggestions'!$A13,'June IGT'!M:M)</f>
        <v>42557225.520000003</v>
      </c>
      <c r="G13" s="23">
        <f t="shared" si="2"/>
        <v>35962570.98444327</v>
      </c>
      <c r="H13" s="65">
        <f t="shared" si="1"/>
        <v>0.45800642112474427</v>
      </c>
    </row>
    <row r="14" spans="1:8">
      <c r="A14" s="24" t="s">
        <v>227</v>
      </c>
      <c r="B14" s="23">
        <f>SUMIF('CHIRP Payment Calc'!$G:$G,'IGT Commitment Suggestions'!$A14,'CHIRP Payment Calc'!AN:AN)</f>
        <v>128309541.29956965</v>
      </c>
      <c r="C14" s="23">
        <f>SUMIF('CHIRP Payment Calc'!$G:$G,'IGT Commitment Suggestions'!$A14,'CHIRP Payment Calc'!AO:AO)</f>
        <v>7932305.741418995</v>
      </c>
      <c r="D14" s="23">
        <f>SUMIF('CHIRP Payment Calc'!$G:$G,'IGT Commitment Suggestions'!$A14,'CHIRP Payment Calc'!AP:AP)</f>
        <v>136241847.04098877</v>
      </c>
      <c r="E14" s="23">
        <f>SUMIF('CHIRP Payment Calc'!$G:$G,'IGT Commitment Suggestions'!$A14,'CHIRP Payment Calc'!AQ:AQ)</f>
        <v>53618251.386675194</v>
      </c>
      <c r="F14" s="23">
        <f>SUMIF('June IGT'!F:F,'IGT Commitment Suggestions'!$A14,'June IGT'!M:M)</f>
        <v>27341895.367902108</v>
      </c>
      <c r="G14" s="23">
        <f t="shared" si="2"/>
        <v>26276356.018773086</v>
      </c>
      <c r="H14" s="65">
        <f t="shared" si="1"/>
        <v>0.49006365070128133</v>
      </c>
    </row>
    <row r="15" spans="1:8">
      <c r="A15" s="24" t="s">
        <v>1548</v>
      </c>
      <c r="B15" s="23">
        <f>SUMIF('CHIRP Payment Calc'!$G:$G,'IGT Commitment Suggestions'!$A15,'CHIRP Payment Calc'!AN:AN)</f>
        <v>194831503.39188856</v>
      </c>
      <c r="C15" s="23">
        <f>SUMIF('CHIRP Payment Calc'!$G:$G,'IGT Commitment Suggestions'!$A15,'CHIRP Payment Calc'!AO:AO)</f>
        <v>11965060.988883441</v>
      </c>
      <c r="D15" s="23">
        <f>SUMIF('CHIRP Payment Calc'!$G:$G,'IGT Commitment Suggestions'!$A15,'CHIRP Payment Calc'!AP:AP)</f>
        <v>206796564.38077205</v>
      </c>
      <c r="E15" s="23">
        <f>SUMIF('CHIRP Payment Calc'!$G:$G,'IGT Commitment Suggestions'!$A15,'CHIRP Payment Calc'!AQ:AQ)</f>
        <v>81385201.505181581</v>
      </c>
      <c r="F15" s="23">
        <f>SUMIF('June IGT'!F:F,'IGT Commitment Suggestions'!$A15,'June IGT'!M:M)</f>
        <v>44159349.609999999</v>
      </c>
      <c r="G15" s="23">
        <f t="shared" si="2"/>
        <v>37225851.895181581</v>
      </c>
      <c r="H15" s="65">
        <f t="shared" si="1"/>
        <v>0.45740320361327003</v>
      </c>
    </row>
    <row r="16" spans="1:8">
      <c r="A16" s="24" t="s">
        <v>1365</v>
      </c>
      <c r="B16" s="23">
        <f>SUMIF('CHIRP Payment Calc'!$G:$G,'IGT Commitment Suggestions'!$A16,'CHIRP Payment Calc'!AN:AN)</f>
        <v>623053228.82905269</v>
      </c>
      <c r="C16" s="23">
        <f>SUMIF('CHIRP Payment Calc'!$G:$G,'IGT Commitment Suggestions'!$A16,'CHIRP Payment Calc'!AO:AO)</f>
        <v>38376527.072390839</v>
      </c>
      <c r="D16" s="23">
        <f>SUMIF('CHIRP Payment Calc'!$G:$G,'IGT Commitment Suggestions'!$A16,'CHIRP Payment Calc'!AP:AP)</f>
        <v>661429755.90144372</v>
      </c>
      <c r="E16" s="23">
        <f>SUMIF('CHIRP Payment Calc'!$G:$G,'IGT Commitment Suggestions'!$A16,'CHIRP Payment Calc'!AQ:AQ)</f>
        <v>260307003.29452506</v>
      </c>
      <c r="F16" s="23">
        <f>SUMIF('June IGT'!F:F,'IGT Commitment Suggestions'!$A16,'June IGT'!M:M)</f>
        <v>141583456.19999999</v>
      </c>
      <c r="G16" s="23">
        <f t="shared" si="2"/>
        <v>118723547.09452507</v>
      </c>
      <c r="H16" s="65">
        <f t="shared" si="1"/>
        <v>0.45609048389756535</v>
      </c>
    </row>
    <row r="17" spans="1:8">
      <c r="A17" s="24" t="s">
        <v>1202</v>
      </c>
      <c r="B17" s="23">
        <f>SUMIF('CHIRP Payment Calc'!$G:$G,'IGT Commitment Suggestions'!$A17,'CHIRP Payment Calc'!AN:AN)</f>
        <v>311040663.30081463</v>
      </c>
      <c r="C17" s="23">
        <f>SUMIF('CHIRP Payment Calc'!$G:$G,'IGT Commitment Suggestions'!$A17,'CHIRP Payment Calc'!AO:AO)</f>
        <v>19151427.746712133</v>
      </c>
      <c r="D17" s="23">
        <f>SUMIF('CHIRP Payment Calc'!$G:$G,'IGT Commitment Suggestions'!$A17,'CHIRP Payment Calc'!AP:AP)</f>
        <v>330192091.04752672</v>
      </c>
      <c r="E17" s="23">
        <f>SUMIF('CHIRP Payment Calc'!$G:$G,'IGT Commitment Suggestions'!$A17,'CHIRP Payment Calc'!AQ:AQ)</f>
        <v>129947757.81593625</v>
      </c>
      <c r="F17" s="23">
        <f>SUMIF('June IGT'!F:F,'IGT Commitment Suggestions'!$A17,'June IGT'!M:M)</f>
        <v>70240127.198624447</v>
      </c>
      <c r="G17" s="23">
        <f t="shared" si="2"/>
        <v>59707630.617311805</v>
      </c>
      <c r="H17" s="65">
        <f t="shared" si="1"/>
        <v>0.45947411191106763</v>
      </c>
    </row>
    <row r="565" spans="4:4" ht="34.5" customHeight="1"/>
    <row r="567" spans="4:4">
      <c r="D567" s="86"/>
    </row>
    <row r="568" spans="4:4">
      <c r="D568" s="9" t="s">
        <v>2407</v>
      </c>
    </row>
    <row r="569" spans="4:4">
      <c r="D569" s="21">
        <v>0.42032577492162498</v>
      </c>
    </row>
    <row r="570" spans="4:4">
      <c r="D570" s="21">
        <v>0.71798745206164105</v>
      </c>
    </row>
    <row r="571" spans="4:4">
      <c r="D571" s="21">
        <v>0</v>
      </c>
    </row>
    <row r="572" spans="4:4">
      <c r="D572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1D0D-80F2-406F-A3DB-CD5E39616D50}">
  <sheetPr>
    <tabColor rgb="FF7030A0"/>
    <pageSetUpPr fitToPage="1"/>
  </sheetPr>
  <dimension ref="A1:Q68"/>
  <sheetViews>
    <sheetView zoomScale="70" zoomScaleNormal="70" workbookViewId="0">
      <selection activeCell="A32" sqref="A32"/>
    </sheetView>
  </sheetViews>
  <sheetFormatPr defaultColWidth="8.796875" defaultRowHeight="15"/>
  <cols>
    <col min="1" max="1" width="31.796875" style="9" customWidth="1"/>
    <col min="2" max="2" width="18" style="9" customWidth="1"/>
    <col min="3" max="3" width="15.19921875" style="9" customWidth="1"/>
    <col min="4" max="4" width="18.69921875" style="6" customWidth="1"/>
    <col min="5" max="5" width="16.19921875" style="6" customWidth="1"/>
    <col min="6" max="6" width="18.8984375" style="6" customWidth="1"/>
    <col min="7" max="7" width="17.19921875" style="6" customWidth="1"/>
    <col min="8" max="8" width="18.09765625" style="6" customWidth="1"/>
    <col min="9" max="9" width="18.296875" style="6" customWidth="1"/>
    <col min="10" max="16" width="15.8984375" style="9" customWidth="1"/>
    <col min="17" max="17" width="12" style="9" customWidth="1"/>
    <col min="18" max="16384" width="8.796875" style="9"/>
  </cols>
  <sheetData>
    <row r="1" spans="1:17" ht="19.5">
      <c r="A1" s="64" t="s">
        <v>3023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0.25" thickBot="1">
      <c r="A2" s="28"/>
      <c r="B2" s="28"/>
      <c r="C2" s="28"/>
    </row>
    <row r="3" spans="1:17" ht="15.75" thickBot="1">
      <c r="A3" s="26" t="s">
        <v>2408</v>
      </c>
      <c r="B3" s="27">
        <f>SUM(B5:B61)</f>
        <v>2200411504.5499992</v>
      </c>
      <c r="C3" s="27">
        <f>SUM(C5:C61)</f>
        <v>589167177.00999975</v>
      </c>
      <c r="D3" s="27">
        <f>SUM(D5:D61)</f>
        <v>2789578681.5600019</v>
      </c>
      <c r="E3" s="27">
        <f t="shared" ref="E3:F3" si="0">SUM(E5:E61)</f>
        <v>3116814606.0663891</v>
      </c>
      <c r="F3" s="27">
        <f t="shared" si="0"/>
        <v>1968110870.0264018</v>
      </c>
      <c r="G3" s="27">
        <f>SUM(G5:G61)</f>
        <v>5084925476.0927906</v>
      </c>
      <c r="H3" s="27"/>
      <c r="I3" s="27"/>
      <c r="J3" s="27">
        <f>SUM(J5:J61)</f>
        <v>2264561325.7348557</v>
      </c>
      <c r="K3" s="27">
        <f>SUM(K5:K61)</f>
        <v>629980463.47810006</v>
      </c>
      <c r="L3" s="92">
        <f>SUM(L5:L61)</f>
        <v>2894541789.2129545</v>
      </c>
      <c r="M3" s="92">
        <f t="shared" ref="M3:N3" si="1">SUM(M5:M61)</f>
        <v>1457989993.9304245</v>
      </c>
      <c r="N3" s="92">
        <f t="shared" si="1"/>
        <v>583410883.97191012</v>
      </c>
      <c r="O3" s="27">
        <f>SUM(O5:O61)</f>
        <v>2041400877.9023349</v>
      </c>
      <c r="P3" s="27">
        <f>SUM(P5:P61)</f>
        <v>4935942667.1152916</v>
      </c>
      <c r="Q3" s="73">
        <f t="shared" ref="Q3" si="2">SUM(Q5:Q61)</f>
        <v>406</v>
      </c>
    </row>
    <row r="4" spans="1:17" ht="45">
      <c r="A4" s="33" t="s">
        <v>2392</v>
      </c>
      <c r="B4" s="77" t="s">
        <v>2534</v>
      </c>
      <c r="C4" s="77" t="s">
        <v>2535</v>
      </c>
      <c r="D4" s="33" t="s">
        <v>2536</v>
      </c>
      <c r="E4" s="77" t="s">
        <v>3020</v>
      </c>
      <c r="F4" s="77" t="s">
        <v>3021</v>
      </c>
      <c r="G4" s="33" t="s">
        <v>3022</v>
      </c>
      <c r="H4" s="77" t="s">
        <v>2540</v>
      </c>
      <c r="I4" s="77" t="s">
        <v>2541</v>
      </c>
      <c r="J4" s="77" t="s">
        <v>2537</v>
      </c>
      <c r="K4" s="77" t="s">
        <v>2538</v>
      </c>
      <c r="L4" s="77" t="s">
        <v>2539</v>
      </c>
      <c r="M4" s="77" t="s">
        <v>2717</v>
      </c>
      <c r="N4" s="77" t="s">
        <v>2718</v>
      </c>
      <c r="O4" s="77" t="s">
        <v>2723</v>
      </c>
      <c r="P4" s="77" t="s">
        <v>2421</v>
      </c>
      <c r="Q4" s="63" t="s">
        <v>2328</v>
      </c>
    </row>
    <row r="5" spans="1:17">
      <c r="A5" s="69" t="s">
        <v>2485</v>
      </c>
      <c r="B5" s="70">
        <f>SUMIF('CHIRP Payment Calc'!H:H,A5,'CHIRP Payment Calc'!L:L)</f>
        <v>827833070.59000003</v>
      </c>
      <c r="C5" s="70">
        <f>SUMIF('CHIRP Payment Calc'!H:H,A5,'CHIRP Payment Calc'!M:M)</f>
        <v>88067810.280000001</v>
      </c>
      <c r="D5" s="70">
        <f>SUMIF('CHIRP Payment Calc'!H:H,A5,'CHIRP Payment Calc'!N:N)</f>
        <v>915900880.87000012</v>
      </c>
      <c r="E5" s="70">
        <f>SUMIF('CHIRP Payment Calc'!H:H,A5,'CHIRP Payment Calc'!I:I)</f>
        <v>476243796.92532438</v>
      </c>
      <c r="F5" s="70">
        <f>SUMIF('CHIRP Payment Calc'!H:H,A5,'CHIRP Payment Calc'!J:J)</f>
        <v>269424509.3772577</v>
      </c>
      <c r="G5" s="70">
        <f>SUMIF('CHIRP Payment Calc'!H:H,A5,'CHIRP Payment Calc'!K:K)</f>
        <v>745668306.30258203</v>
      </c>
      <c r="H5" s="71">
        <f>IFERROR(MAX(ROUND(B5/E5,2),0),0)</f>
        <v>1.74</v>
      </c>
      <c r="I5" s="71">
        <f>IFERROR(MAX(ROUND(C5/F5,2),0),0)</f>
        <v>0.33</v>
      </c>
      <c r="J5" s="72">
        <f t="shared" ref="J5:J36" si="3">+H5*E5</f>
        <v>828664206.65006447</v>
      </c>
      <c r="K5" s="72">
        <f t="shared" ref="K5:K36" si="4">+I5*F5</f>
        <v>88910088.094495043</v>
      </c>
      <c r="L5" s="72">
        <f>J5+K5</f>
        <v>917574294.74455953</v>
      </c>
      <c r="M5" s="72">
        <f>SUMIF('CHIRP Payment Calc'!H:H,A5,'CHIRP Payment Calc'!AJ:AJ)</f>
        <v>0</v>
      </c>
      <c r="N5" s="72">
        <f>SUMIF('CHIRP Payment Calc'!H:H,A5,'CHIRP Payment Calc'!AK:AK)</f>
        <v>44241129.558243446</v>
      </c>
      <c r="O5" s="70">
        <f>M5+N5</f>
        <v>44241129.558243446</v>
      </c>
      <c r="P5" s="72">
        <f>+L5+O5</f>
        <v>961815424.30280292</v>
      </c>
      <c r="Q5" s="74">
        <f>COUNTIF('CHIRP Payment Calc'!H:H,A5)</f>
        <v>44</v>
      </c>
    </row>
    <row r="6" spans="1:17">
      <c r="A6" s="69" t="s">
        <v>2486</v>
      </c>
      <c r="B6" s="70">
        <f>SUMIF('CHIRP Payment Calc'!H:H,A6,'CHIRP Payment Calc'!L:L)</f>
        <v>154543709.01999995</v>
      </c>
      <c r="C6" s="70">
        <f>SUMIF('CHIRP Payment Calc'!H:H,A6,'CHIRP Payment Calc'!M:M)</f>
        <v>40962819.259999998</v>
      </c>
      <c r="D6" s="70">
        <f>SUMIF('CHIRP Payment Calc'!H:H,A6,'CHIRP Payment Calc'!N:N)</f>
        <v>195506528.27999997</v>
      </c>
      <c r="E6" s="70">
        <f>SUMIF('CHIRP Payment Calc'!H:H,A6,'CHIRP Payment Calc'!I:I)</f>
        <v>255545032.94165128</v>
      </c>
      <c r="F6" s="70">
        <f>SUMIF('CHIRP Payment Calc'!H:H,A6,'CHIRP Payment Calc'!J:J)</f>
        <v>135772371.26115841</v>
      </c>
      <c r="G6" s="70">
        <f>SUMIF('CHIRP Payment Calc'!H:H,A6,'CHIRP Payment Calc'!K:K)</f>
        <v>391317404.20280957</v>
      </c>
      <c r="H6" s="71">
        <f t="shared" ref="H6:H61" si="5">IFERROR(MAX(ROUND(B6/E6,2),0),0)</f>
        <v>0.6</v>
      </c>
      <c r="I6" s="71">
        <f t="shared" ref="I6:I61" si="6">IFERROR(MAX(ROUND(C6/F6,2),0),0)</f>
        <v>0.3</v>
      </c>
      <c r="J6" s="72">
        <f t="shared" si="3"/>
        <v>153327019.76499078</v>
      </c>
      <c r="K6" s="72">
        <f t="shared" si="4"/>
        <v>40731711.378347524</v>
      </c>
      <c r="L6" s="72">
        <f t="shared" ref="L6:L61" si="7">J6+K6</f>
        <v>194058731.14333829</v>
      </c>
      <c r="M6" s="72">
        <f>SUMIF('CHIRP Payment Calc'!H:H,A6,'CHIRP Payment Calc'!AJ:AJ)</f>
        <v>227363066.76987696</v>
      </c>
      <c r="N6" s="72">
        <f>SUMIF('CHIRP Payment Calc'!H:H,A6,'CHIRP Payment Calc'!AK:AK)</f>
        <v>65163439.533830956</v>
      </c>
      <c r="O6" s="70">
        <f t="shared" ref="O6:O61" si="8">M6+N6</f>
        <v>292526506.3037079</v>
      </c>
      <c r="P6" s="72">
        <f t="shared" ref="P6:P61" si="9">+L6+O6</f>
        <v>486585237.44704616</v>
      </c>
      <c r="Q6" s="74">
        <f>COUNTIF('CHIRP Payment Calc'!H:H,A6)</f>
        <v>32</v>
      </c>
    </row>
    <row r="7" spans="1:17">
      <c r="A7" s="69" t="s">
        <v>2487</v>
      </c>
      <c r="B7" s="70">
        <f>SUMIF('CHIRP Payment Calc'!H:H,A7,'CHIRP Payment Calc'!L:L)</f>
        <v>104128981.14999999</v>
      </c>
      <c r="C7" s="70">
        <f>SUMIF('CHIRP Payment Calc'!H:H,A7,'CHIRP Payment Calc'!M:M)</f>
        <v>52259950.100000001</v>
      </c>
      <c r="D7" s="70">
        <f>SUMIF('CHIRP Payment Calc'!H:H,A7,'CHIRP Payment Calc'!N:N)</f>
        <v>156388931.25</v>
      </c>
      <c r="E7" s="70">
        <f>SUMIF('CHIRP Payment Calc'!H:H,A7,'CHIRP Payment Calc'!I:I)</f>
        <v>238845416.44882709</v>
      </c>
      <c r="F7" s="70">
        <f>SUMIF('CHIRP Payment Calc'!H:H,A7,'CHIRP Payment Calc'!J:J)</f>
        <v>106817687.27311657</v>
      </c>
      <c r="G7" s="70">
        <f>SUMIF('CHIRP Payment Calc'!H:H,A7,'CHIRP Payment Calc'!K:K)</f>
        <v>345663103.72194362</v>
      </c>
      <c r="H7" s="71">
        <f t="shared" si="5"/>
        <v>0.44</v>
      </c>
      <c r="I7" s="71">
        <f t="shared" si="6"/>
        <v>0.49</v>
      </c>
      <c r="J7" s="72">
        <f t="shared" si="3"/>
        <v>105091983.23748392</v>
      </c>
      <c r="K7" s="72">
        <f t="shared" si="4"/>
        <v>52340666.763827123</v>
      </c>
      <c r="L7" s="72">
        <f t="shared" si="7"/>
        <v>157432650.00131103</v>
      </c>
      <c r="M7" s="72">
        <f>SUMIF('CHIRP Payment Calc'!H:H,A7,'CHIRP Payment Calc'!AJ:AJ)</f>
        <v>139297253.73312843</v>
      </c>
      <c r="N7" s="72">
        <f>SUMIF('CHIRP Payment Calc'!H:H,A7,'CHIRP Payment Calc'!AK:AK)</f>
        <v>12176675.419431843</v>
      </c>
      <c r="O7" s="70">
        <f t="shared" si="8"/>
        <v>151473929.15256026</v>
      </c>
      <c r="P7" s="72">
        <f t="shared" si="9"/>
        <v>308906579.1538713</v>
      </c>
      <c r="Q7" s="74">
        <f>COUNTIF('CHIRP Payment Calc'!H:H,A7)</f>
        <v>10</v>
      </c>
    </row>
    <row r="8" spans="1:17">
      <c r="A8" s="69" t="s">
        <v>2480</v>
      </c>
      <c r="B8" s="70">
        <f>SUMIF('CHIRP Payment Calc'!H:H,A8,'CHIRP Payment Calc'!L:L)</f>
        <v>367468117.89999998</v>
      </c>
      <c r="C8" s="70">
        <f>SUMIF('CHIRP Payment Calc'!H:H,A8,'CHIRP Payment Calc'!M:M)</f>
        <v>9820612.7699999996</v>
      </c>
      <c r="D8" s="70">
        <f>SUMIF('CHIRP Payment Calc'!H:H,A8,'CHIRP Payment Calc'!N:N)</f>
        <v>377288730.66999996</v>
      </c>
      <c r="E8" s="70">
        <f>SUMIF('CHIRP Payment Calc'!H:H,A8,'CHIRP Payment Calc'!I:I)</f>
        <v>319948758.17884511</v>
      </c>
      <c r="F8" s="70">
        <f>SUMIF('CHIRP Payment Calc'!H:H,A8,'CHIRP Payment Calc'!J:J)</f>
        <v>278310207.51139802</v>
      </c>
      <c r="G8" s="70">
        <f>SUMIF('CHIRP Payment Calc'!H:H,A8,'CHIRP Payment Calc'!K:K)</f>
        <v>598258965.69024312</v>
      </c>
      <c r="H8" s="71">
        <f t="shared" si="5"/>
        <v>1.1499999999999999</v>
      </c>
      <c r="I8" s="71">
        <f t="shared" si="6"/>
        <v>0.04</v>
      </c>
      <c r="J8" s="72">
        <f t="shared" si="3"/>
        <v>367941071.90567183</v>
      </c>
      <c r="K8" s="72">
        <f t="shared" si="4"/>
        <v>11132408.30045592</v>
      </c>
      <c r="L8" s="72">
        <f t="shared" si="7"/>
        <v>379073480.20612776</v>
      </c>
      <c r="M8" s="72">
        <f>SUMIF('CHIRP Payment Calc'!H:H,A8,'CHIRP Payment Calc'!AJ:AJ)</f>
        <v>0</v>
      </c>
      <c r="N8" s="72">
        <f>SUMIF('CHIRP Payment Calc'!H:H,A8,'CHIRP Payment Calc'!AK:AK)</f>
        <v>83493062.253419399</v>
      </c>
      <c r="O8" s="70">
        <f t="shared" si="8"/>
        <v>83493062.253419399</v>
      </c>
      <c r="P8" s="72">
        <f t="shared" si="9"/>
        <v>462566542.45954716</v>
      </c>
      <c r="Q8" s="74">
        <f>COUNTIF('CHIRP Payment Calc'!H:H,A8)</f>
        <v>1</v>
      </c>
    </row>
    <row r="9" spans="1:17">
      <c r="A9" s="69" t="s">
        <v>2488</v>
      </c>
      <c r="B9" s="70">
        <f>SUMIF('CHIRP Payment Calc'!H:H,A9,'CHIRP Payment Calc'!L:L)</f>
        <v>21845099.210000001</v>
      </c>
      <c r="C9" s="70">
        <f>SUMIF('CHIRP Payment Calc'!H:H,A9,'CHIRP Payment Calc'!M:M)</f>
        <v>20207914.949999999</v>
      </c>
      <c r="D9" s="70">
        <f>SUMIF('CHIRP Payment Calc'!H:H,A9,'CHIRP Payment Calc'!N:N)</f>
        <v>42053014.159999996</v>
      </c>
      <c r="E9" s="70">
        <f>SUMIF('CHIRP Payment Calc'!H:H,A9,'CHIRP Payment Calc'!I:I)</f>
        <v>105799107.78351036</v>
      </c>
      <c r="F9" s="70">
        <f>SUMIF('CHIRP Payment Calc'!H:H,A9,'CHIRP Payment Calc'!J:J)</f>
        <v>65436413.204312712</v>
      </c>
      <c r="G9" s="70">
        <f>SUMIF('CHIRP Payment Calc'!H:H,A9,'CHIRP Payment Calc'!K:K)</f>
        <v>171235520.98782307</v>
      </c>
      <c r="H9" s="71">
        <f t="shared" si="5"/>
        <v>0.21</v>
      </c>
      <c r="I9" s="71">
        <f t="shared" si="6"/>
        <v>0.31</v>
      </c>
      <c r="J9" s="72">
        <f t="shared" si="3"/>
        <v>22217812.634537175</v>
      </c>
      <c r="K9" s="72">
        <f t="shared" si="4"/>
        <v>20285288.09333694</v>
      </c>
      <c r="L9" s="72">
        <f t="shared" si="7"/>
        <v>42503100.727874115</v>
      </c>
      <c r="M9" s="72">
        <f>SUMIF('CHIRP Payment Calc'!H:H,A9,'CHIRP Payment Calc'!AJ:AJ)</f>
        <v>0</v>
      </c>
      <c r="N9" s="72">
        <f>SUMIF('CHIRP Payment Calc'!H:H,A9,'CHIRP Payment Calc'!AK:AK)</f>
        <v>0</v>
      </c>
      <c r="O9" s="70">
        <f t="shared" si="8"/>
        <v>0</v>
      </c>
      <c r="P9" s="72">
        <f t="shared" si="9"/>
        <v>42503100.727874115</v>
      </c>
      <c r="Q9" s="74">
        <f>COUNTIF('CHIRP Payment Calc'!H:H,A9)</f>
        <v>1</v>
      </c>
    </row>
    <row r="10" spans="1:17">
      <c r="A10" s="69" t="s">
        <v>2489</v>
      </c>
      <c r="B10" s="70">
        <f>SUMIF('CHIRP Payment Calc'!H:H,A10,'CHIRP Payment Calc'!L:L)</f>
        <v>45272609.289999999</v>
      </c>
      <c r="C10" s="70">
        <f>SUMIF('CHIRP Payment Calc'!H:H,A10,'CHIRP Payment Calc'!M:M)</f>
        <v>55232341.849999994</v>
      </c>
      <c r="D10" s="70">
        <f>SUMIF('CHIRP Payment Calc'!H:H,A10,'CHIRP Payment Calc'!N:N)</f>
        <v>100504951.13999999</v>
      </c>
      <c r="E10" s="70">
        <f>SUMIF('CHIRP Payment Calc'!H:H,A10,'CHIRP Payment Calc'!I:I)</f>
        <v>95163179.712984681</v>
      </c>
      <c r="F10" s="70">
        <f>SUMIF('CHIRP Payment Calc'!H:H,A10,'CHIRP Payment Calc'!J:J)</f>
        <v>55742797.834802814</v>
      </c>
      <c r="G10" s="70">
        <f>SUMIF('CHIRP Payment Calc'!H:H,A10,'CHIRP Payment Calc'!K:K)</f>
        <v>150905977.54778752</v>
      </c>
      <c r="H10" s="71">
        <f t="shared" si="5"/>
        <v>0.48</v>
      </c>
      <c r="I10" s="71">
        <f t="shared" si="6"/>
        <v>0.99</v>
      </c>
      <c r="J10" s="72">
        <f t="shared" si="3"/>
        <v>45678326.262232646</v>
      </c>
      <c r="K10" s="72">
        <f t="shared" si="4"/>
        <v>55185369.856454782</v>
      </c>
      <c r="L10" s="72">
        <f t="shared" si="7"/>
        <v>100863696.11868742</v>
      </c>
      <c r="M10" s="72">
        <f>SUMIF('CHIRP Payment Calc'!H:H,A10,'CHIRP Payment Calc'!AJ:AJ)</f>
        <v>48623342.335330315</v>
      </c>
      <c r="N10" s="72">
        <f>SUMIF('CHIRP Payment Calc'!H:H,A10,'CHIRP Payment Calc'!AK:AK)</f>
        <v>0</v>
      </c>
      <c r="O10" s="70">
        <f t="shared" si="8"/>
        <v>48623342.335330315</v>
      </c>
      <c r="P10" s="72">
        <f t="shared" si="9"/>
        <v>149487038.45401773</v>
      </c>
      <c r="Q10" s="74">
        <f>COUNTIF('CHIRP Payment Calc'!H:H,A10)</f>
        <v>10</v>
      </c>
    </row>
    <row r="11" spans="1:17">
      <c r="A11" s="69" t="s">
        <v>2490</v>
      </c>
      <c r="B11" s="70">
        <f>SUMIF('CHIRP Payment Calc'!H:H,A11,'CHIRP Payment Calc'!L:L)</f>
        <v>133029878.14</v>
      </c>
      <c r="C11" s="70">
        <f>SUMIF('CHIRP Payment Calc'!H:H,A11,'CHIRP Payment Calc'!M:M)</f>
        <v>59257186.610000007</v>
      </c>
      <c r="D11" s="70">
        <f>SUMIF('CHIRP Payment Calc'!H:H,A11,'CHIRP Payment Calc'!N:N)</f>
        <v>192287064.75000006</v>
      </c>
      <c r="E11" s="70">
        <f>SUMIF('CHIRP Payment Calc'!H:H,A11,'CHIRP Payment Calc'!I:I)</f>
        <v>185665339.03224546</v>
      </c>
      <c r="F11" s="70">
        <f>SUMIF('CHIRP Payment Calc'!H:H,A11,'CHIRP Payment Calc'!J:J)</f>
        <v>112659730.23699771</v>
      </c>
      <c r="G11" s="70">
        <f>SUMIF('CHIRP Payment Calc'!H:H,A11,'CHIRP Payment Calc'!K:K)</f>
        <v>298325069.26924324</v>
      </c>
      <c r="H11" s="71">
        <f t="shared" si="5"/>
        <v>0.72</v>
      </c>
      <c r="I11" s="71">
        <f t="shared" si="6"/>
        <v>0.53</v>
      </c>
      <c r="J11" s="72">
        <f t="shared" si="3"/>
        <v>133679044.10321672</v>
      </c>
      <c r="K11" s="72">
        <f t="shared" si="4"/>
        <v>59709657.025608785</v>
      </c>
      <c r="L11" s="72">
        <f t="shared" si="7"/>
        <v>193388701.12882552</v>
      </c>
      <c r="M11" s="72">
        <f>SUMIF('CHIRP Payment Calc'!H:H,A11,'CHIRP Payment Calc'!AJ:AJ)</f>
        <v>100018702.92338276</v>
      </c>
      <c r="N11" s="72">
        <f>SUMIF('CHIRP Payment Calc'!H:H,A11,'CHIRP Payment Calc'!AK:AK)</f>
        <v>32438564.324232493</v>
      </c>
      <c r="O11" s="70">
        <f t="shared" si="8"/>
        <v>132457267.24761525</v>
      </c>
      <c r="P11" s="72">
        <f t="shared" si="9"/>
        <v>325845968.37644076</v>
      </c>
      <c r="Q11" s="74">
        <f>COUNTIF('CHIRP Payment Calc'!H:H,A11)</f>
        <v>12</v>
      </c>
    </row>
    <row r="12" spans="1:17">
      <c r="A12" s="69" t="s">
        <v>2478</v>
      </c>
      <c r="B12" s="70">
        <f>SUMIF('CHIRP Payment Calc'!H:H,A12,'CHIRP Payment Calc'!L:L)</f>
        <v>132891319.2</v>
      </c>
      <c r="C12" s="70">
        <f>SUMIF('CHIRP Payment Calc'!H:H,A12,'CHIRP Payment Calc'!M:M)</f>
        <v>-38369218.799999997</v>
      </c>
      <c r="D12" s="70">
        <f>SUMIF('CHIRP Payment Calc'!H:H,A12,'CHIRP Payment Calc'!N:N)</f>
        <v>94522100.399999976</v>
      </c>
      <c r="E12" s="70">
        <f>SUMIF('CHIRP Payment Calc'!H:H,A12,'CHIRP Payment Calc'!I:I)</f>
        <v>187864923.27059755</v>
      </c>
      <c r="F12" s="70">
        <f>SUMIF('CHIRP Payment Calc'!H:H,A12,'CHIRP Payment Calc'!J:J)</f>
        <v>272542380.67602664</v>
      </c>
      <c r="G12" s="70">
        <f>SUMIF('CHIRP Payment Calc'!H:H,A12,'CHIRP Payment Calc'!K:K)</f>
        <v>460407303.94662422</v>
      </c>
      <c r="H12" s="71">
        <f t="shared" si="5"/>
        <v>0.71</v>
      </c>
      <c r="I12" s="71">
        <f t="shared" si="6"/>
        <v>0</v>
      </c>
      <c r="J12" s="72">
        <f t="shared" si="3"/>
        <v>133384095.52212425</v>
      </c>
      <c r="K12" s="72">
        <f t="shared" si="4"/>
        <v>0</v>
      </c>
      <c r="L12" s="72">
        <f t="shared" si="7"/>
        <v>133384095.52212425</v>
      </c>
      <c r="M12" s="72">
        <f>SUMIF('CHIRP Payment Calc'!H:H,A12,'CHIRP Payment Calc'!AJ:AJ)</f>
        <v>58034591.006361775</v>
      </c>
      <c r="N12" s="72">
        <f>SUMIF('CHIRP Payment Calc'!H:H,A12,'CHIRP Payment Calc'!AK:AK)</f>
        <v>77985665.469331518</v>
      </c>
      <c r="O12" s="70">
        <f t="shared" si="8"/>
        <v>136020256.47569329</v>
      </c>
      <c r="P12" s="72">
        <f t="shared" si="9"/>
        <v>269404351.99781752</v>
      </c>
      <c r="Q12" s="74">
        <f>COUNTIF('CHIRP Payment Calc'!H:H,A12)</f>
        <v>3</v>
      </c>
    </row>
    <row r="13" spans="1:17">
      <c r="A13" s="69" t="s">
        <v>2491</v>
      </c>
      <c r="B13" s="70">
        <f>SUMIF('CHIRP Payment Calc'!H:H,A13,'CHIRP Payment Calc'!L:L)</f>
        <v>130387014.33000001</v>
      </c>
      <c r="C13" s="70">
        <f>SUMIF('CHIRP Payment Calc'!H:H,A13,'CHIRP Payment Calc'!M:M)</f>
        <v>42884048.359999992</v>
      </c>
      <c r="D13" s="70">
        <f>SUMIF('CHIRP Payment Calc'!H:H,A13,'CHIRP Payment Calc'!N:N)</f>
        <v>173271062.69</v>
      </c>
      <c r="E13" s="70">
        <f>SUMIF('CHIRP Payment Calc'!H:H,A13,'CHIRP Payment Calc'!I:I)</f>
        <v>154588729.94067326</v>
      </c>
      <c r="F13" s="70">
        <f>SUMIF('CHIRP Payment Calc'!H:H,A13,'CHIRP Payment Calc'!J:J)</f>
        <v>78431008.98583135</v>
      </c>
      <c r="G13" s="70">
        <f>SUMIF('CHIRP Payment Calc'!H:H,A13,'CHIRP Payment Calc'!K:K)</f>
        <v>233019738.92650464</v>
      </c>
      <c r="H13" s="71">
        <f t="shared" si="5"/>
        <v>0.84</v>
      </c>
      <c r="I13" s="71">
        <f t="shared" si="6"/>
        <v>0.55000000000000004</v>
      </c>
      <c r="J13" s="72">
        <f t="shared" si="3"/>
        <v>129854533.15016553</v>
      </c>
      <c r="K13" s="72">
        <f t="shared" si="4"/>
        <v>43137054.942207247</v>
      </c>
      <c r="L13" s="72">
        <f t="shared" si="7"/>
        <v>172991588.09237278</v>
      </c>
      <c r="M13" s="72">
        <f>SUMIF('CHIRP Payment Calc'!H:H,A13,'CHIRP Payment Calc'!AJ:AJ)</f>
        <v>165465233.26436952</v>
      </c>
      <c r="N13" s="72">
        <f>SUMIF('CHIRP Payment Calc'!H:H,A13,'CHIRP Payment Calc'!AK:AK)</f>
        <v>24081359.747487802</v>
      </c>
      <c r="O13" s="70">
        <f t="shared" si="8"/>
        <v>189546593.01185733</v>
      </c>
      <c r="P13" s="72">
        <f t="shared" si="9"/>
        <v>362538181.10423011</v>
      </c>
      <c r="Q13" s="74">
        <f>COUNTIF('CHIRP Payment Calc'!H:H,A13)</f>
        <v>32</v>
      </c>
    </row>
    <row r="14" spans="1:17">
      <c r="A14" s="69" t="s">
        <v>2483</v>
      </c>
      <c r="B14" s="70">
        <f>SUMIF('CHIRP Payment Calc'!H:H,A14,'CHIRP Payment Calc'!L:L)</f>
        <v>87408143.540000007</v>
      </c>
      <c r="C14" s="70">
        <f>SUMIF('CHIRP Payment Calc'!H:H,A14,'CHIRP Payment Calc'!M:M)</f>
        <v>15353056.710000001</v>
      </c>
      <c r="D14" s="70">
        <f>SUMIF('CHIRP Payment Calc'!H:H,A14,'CHIRP Payment Calc'!N:N)</f>
        <v>102761200.25</v>
      </c>
      <c r="E14" s="70">
        <f>SUMIF('CHIRP Payment Calc'!H:H,A14,'CHIRP Payment Calc'!I:I)</f>
        <v>139955472.30443063</v>
      </c>
      <c r="F14" s="70">
        <f>SUMIF('CHIRP Payment Calc'!H:H,A14,'CHIRP Payment Calc'!J:J)</f>
        <v>101184093.99476855</v>
      </c>
      <c r="G14" s="70">
        <f>SUMIF('CHIRP Payment Calc'!H:H,A14,'CHIRP Payment Calc'!K:K)</f>
        <v>241139566.29919916</v>
      </c>
      <c r="H14" s="71">
        <f t="shared" si="5"/>
        <v>0.62</v>
      </c>
      <c r="I14" s="71">
        <f t="shared" si="6"/>
        <v>0.15</v>
      </c>
      <c r="J14" s="72">
        <f t="shared" si="3"/>
        <v>86772392.828746989</v>
      </c>
      <c r="K14" s="72">
        <f t="shared" si="4"/>
        <v>15177614.09921528</v>
      </c>
      <c r="L14" s="72">
        <f t="shared" si="7"/>
        <v>101950006.92796227</v>
      </c>
      <c r="M14" s="72">
        <f>SUMIF('CHIRP Payment Calc'!H:H,A14,'CHIRP Payment Calc'!AJ:AJ)</f>
        <v>103567049.50527866</v>
      </c>
      <c r="N14" s="72">
        <f>SUMIF('CHIRP Payment Calc'!H:H,A14,'CHIRP Payment Calc'!AK:AK)</f>
        <v>39461796.657959737</v>
      </c>
      <c r="O14" s="70">
        <f t="shared" si="8"/>
        <v>143028846.16323841</v>
      </c>
      <c r="P14" s="72">
        <f t="shared" si="9"/>
        <v>244978853.09120068</v>
      </c>
      <c r="Q14" s="74">
        <f>COUNTIF('CHIRP Payment Calc'!H:H,A14)</f>
        <v>1</v>
      </c>
    </row>
    <row r="15" spans="1:17" s="11" customFormat="1">
      <c r="A15" s="94" t="s">
        <v>2492</v>
      </c>
      <c r="B15" s="95">
        <f>SUMIF('CHIRP Payment Calc'!H:H,A15,'CHIRP Payment Calc'!L:L)</f>
        <v>-29665516.039999995</v>
      </c>
      <c r="C15" s="95">
        <f>SUMIF('CHIRP Payment Calc'!H:H,A15,'CHIRP Payment Calc'!M:M)</f>
        <v>22959414.109999999</v>
      </c>
      <c r="D15" s="95">
        <f>SUMIF('CHIRP Payment Calc'!H:H,A15,'CHIRP Payment Calc'!N:N)</f>
        <v>-6706101.9299999923</v>
      </c>
      <c r="E15" s="95">
        <f>SUMIF('CHIRP Payment Calc'!H:H,A15,'CHIRP Payment Calc'!I:I)</f>
        <v>61990287.616104215</v>
      </c>
      <c r="F15" s="95">
        <f>SUMIF('CHIRP Payment Calc'!H:H,A15,'CHIRP Payment Calc'!J:J)</f>
        <v>34919499.065010644</v>
      </c>
      <c r="G15" s="95">
        <f>SUMIF('CHIRP Payment Calc'!H:H,A15,'CHIRP Payment Calc'!K:K)</f>
        <v>96909786.681114852</v>
      </c>
      <c r="H15" s="71">
        <f t="shared" si="5"/>
        <v>0</v>
      </c>
      <c r="I15" s="71">
        <f t="shared" si="6"/>
        <v>0.66</v>
      </c>
      <c r="J15" s="96">
        <f t="shared" si="3"/>
        <v>0</v>
      </c>
      <c r="K15" s="96">
        <f t="shared" si="4"/>
        <v>23046869.382907026</v>
      </c>
      <c r="L15" s="72">
        <f t="shared" si="7"/>
        <v>23046869.382907026</v>
      </c>
      <c r="M15" s="72">
        <f>SUMIF('CHIRP Payment Calc'!H:H,A15,'CHIRP Payment Calc'!AJ:AJ)</f>
        <v>13760888.628391789</v>
      </c>
      <c r="N15" s="72">
        <f>SUMIF('CHIRP Payment Calc'!H:H,A15,'CHIRP Payment Calc'!AK:AK)</f>
        <v>15763214.833997751</v>
      </c>
      <c r="O15" s="70">
        <f t="shared" si="8"/>
        <v>29524103.46238954</v>
      </c>
      <c r="P15" s="72">
        <f t="shared" si="9"/>
        <v>52570972.845296562</v>
      </c>
      <c r="Q15" s="97">
        <f>COUNTIF('CHIRP Payment Calc'!H:H,A15)</f>
        <v>7</v>
      </c>
    </row>
    <row r="16" spans="1:17">
      <c r="A16" s="69" t="s">
        <v>2493</v>
      </c>
      <c r="B16" s="70">
        <f>SUMIF('CHIRP Payment Calc'!H:H,A16,'CHIRP Payment Calc'!L:L)</f>
        <v>19224826.060000002</v>
      </c>
      <c r="C16" s="70">
        <f>SUMIF('CHIRP Payment Calc'!H:H,A16,'CHIRP Payment Calc'!M:M)</f>
        <v>15937447.460000001</v>
      </c>
      <c r="D16" s="70">
        <f>SUMIF('CHIRP Payment Calc'!H:H,A16,'CHIRP Payment Calc'!N:N)</f>
        <v>35162273.520000003</v>
      </c>
      <c r="E16" s="70">
        <f>SUMIF('CHIRP Payment Calc'!H:H,A16,'CHIRP Payment Calc'!I:I)</f>
        <v>59014058.786390051</v>
      </c>
      <c r="F16" s="70">
        <f>SUMIF('CHIRP Payment Calc'!H:H,A16,'CHIRP Payment Calc'!J:J)</f>
        <v>21523360.696245365</v>
      </c>
      <c r="G16" s="70">
        <f>SUMIF('CHIRP Payment Calc'!H:H,A16,'CHIRP Payment Calc'!K:K)</f>
        <v>80537419.482635424</v>
      </c>
      <c r="H16" s="71">
        <f t="shared" si="5"/>
        <v>0.33</v>
      </c>
      <c r="I16" s="71">
        <f t="shared" si="6"/>
        <v>0.74</v>
      </c>
      <c r="J16" s="72">
        <f t="shared" si="3"/>
        <v>19474639.399508718</v>
      </c>
      <c r="K16" s="72">
        <f t="shared" si="4"/>
        <v>15927286.91522157</v>
      </c>
      <c r="L16" s="72">
        <f t="shared" si="7"/>
        <v>35401926.314730287</v>
      </c>
      <c r="M16" s="72">
        <f>SUMIF('CHIRP Payment Calc'!H:H,A16,'CHIRP Payment Calc'!AJ:AJ)</f>
        <v>35528056.453944333</v>
      </c>
      <c r="N16" s="72">
        <f>SUMIF('CHIRP Payment Calc'!H:H,A16,'CHIRP Payment Calc'!AK:AK)</f>
        <v>5702559.046623081</v>
      </c>
      <c r="O16" s="70">
        <f t="shared" si="8"/>
        <v>41230615.500567414</v>
      </c>
      <c r="P16" s="72">
        <f t="shared" si="9"/>
        <v>76632541.815297693</v>
      </c>
      <c r="Q16" s="74">
        <f>COUNTIF('CHIRP Payment Calc'!H:H,A16)</f>
        <v>4</v>
      </c>
    </row>
    <row r="17" spans="1:17">
      <c r="A17" s="69" t="s">
        <v>2494</v>
      </c>
      <c r="B17" s="70">
        <f>SUMIF('CHIRP Payment Calc'!H:H,A17,'CHIRP Payment Calc'!L:L)</f>
        <v>7054983.709999999</v>
      </c>
      <c r="C17" s="70">
        <f>SUMIF('CHIRP Payment Calc'!H:H,A17,'CHIRP Payment Calc'!M:M)</f>
        <v>18243854.640000001</v>
      </c>
      <c r="D17" s="70">
        <f>SUMIF('CHIRP Payment Calc'!H:H,A17,'CHIRP Payment Calc'!N:N)</f>
        <v>25298838.350000001</v>
      </c>
      <c r="E17" s="70">
        <f>SUMIF('CHIRP Payment Calc'!H:H,A17,'CHIRP Payment Calc'!I:I)</f>
        <v>64845051.139683768</v>
      </c>
      <c r="F17" s="70">
        <f>SUMIF('CHIRP Payment Calc'!H:H,A17,'CHIRP Payment Calc'!J:J)</f>
        <v>37036647.805334613</v>
      </c>
      <c r="G17" s="70">
        <f>SUMIF('CHIRP Payment Calc'!H:H,A17,'CHIRP Payment Calc'!K:K)</f>
        <v>101881698.94501837</v>
      </c>
      <c r="H17" s="71">
        <f t="shared" si="5"/>
        <v>0.11</v>
      </c>
      <c r="I17" s="71">
        <f t="shared" si="6"/>
        <v>0.49</v>
      </c>
      <c r="J17" s="72">
        <f t="shared" si="3"/>
        <v>7132955.6253652144</v>
      </c>
      <c r="K17" s="72">
        <f t="shared" si="4"/>
        <v>18147957.42461396</v>
      </c>
      <c r="L17" s="72">
        <f t="shared" si="7"/>
        <v>25280913.049979173</v>
      </c>
      <c r="M17" s="72">
        <f>SUMIF('CHIRP Payment Calc'!H:H,A17,'CHIRP Payment Calc'!AJ:AJ)</f>
        <v>88671636.378848597</v>
      </c>
      <c r="N17" s="72">
        <f>SUMIF('CHIRP Payment Calc'!H:H,A17,'CHIRP Payment Calc'!AK:AK)</f>
        <v>15976698.186485922</v>
      </c>
      <c r="O17" s="70">
        <f t="shared" si="8"/>
        <v>104648334.56533451</v>
      </c>
      <c r="P17" s="72">
        <f t="shared" si="9"/>
        <v>129929247.61531368</v>
      </c>
      <c r="Q17" s="74">
        <f>COUNTIF('CHIRP Payment Calc'!H:H,A17)</f>
        <v>7</v>
      </c>
    </row>
    <row r="18" spans="1:17">
      <c r="A18" s="69" t="s">
        <v>2495</v>
      </c>
      <c r="B18" s="70">
        <f>SUMIF('CHIRP Payment Calc'!H:H,A18,'CHIRP Payment Calc'!L:L)</f>
        <v>42229492.869999997</v>
      </c>
      <c r="C18" s="70">
        <f>SUMIF('CHIRP Payment Calc'!H:H,A18,'CHIRP Payment Calc'!M:M)</f>
        <v>32239491.16</v>
      </c>
      <c r="D18" s="70">
        <f>SUMIF('CHIRP Payment Calc'!H:H,A18,'CHIRP Payment Calc'!N:N)</f>
        <v>74468984.029999986</v>
      </c>
      <c r="E18" s="70">
        <f>SUMIF('CHIRP Payment Calc'!H:H,A18,'CHIRP Payment Calc'!I:I)</f>
        <v>106757573.56753187</v>
      </c>
      <c r="F18" s="70">
        <f>SUMIF('CHIRP Payment Calc'!H:H,A18,'CHIRP Payment Calc'!J:J)</f>
        <v>31233274.343763497</v>
      </c>
      <c r="G18" s="70">
        <f>SUMIF('CHIRP Payment Calc'!H:H,A18,'CHIRP Payment Calc'!K:K)</f>
        <v>137990847.91129538</v>
      </c>
      <c r="H18" s="71">
        <f t="shared" si="5"/>
        <v>0.4</v>
      </c>
      <c r="I18" s="71">
        <f t="shared" si="6"/>
        <v>1.03</v>
      </c>
      <c r="J18" s="72">
        <f t="shared" si="3"/>
        <v>42703029.427012749</v>
      </c>
      <c r="K18" s="72">
        <f t="shared" si="4"/>
        <v>32170272.574076403</v>
      </c>
      <c r="L18" s="72">
        <f t="shared" si="7"/>
        <v>74873302.001089156</v>
      </c>
      <c r="M18" s="72">
        <f>SUMIF('CHIRP Payment Calc'!H:H,A18,'CHIRP Payment Calc'!AJ:AJ)</f>
        <v>106207207.48792277</v>
      </c>
      <c r="N18" s="72">
        <f>SUMIF('CHIRP Payment Calc'!H:H,A18,'CHIRP Payment Calc'!AK:AK)</f>
        <v>2968617.0923173483</v>
      </c>
      <c r="O18" s="70">
        <f t="shared" si="8"/>
        <v>109175824.58024012</v>
      </c>
      <c r="P18" s="72">
        <f t="shared" si="9"/>
        <v>184049126.58132929</v>
      </c>
      <c r="Q18" s="74">
        <f>COUNTIF('CHIRP Payment Calc'!H:H,A18)</f>
        <v>20</v>
      </c>
    </row>
    <row r="19" spans="1:17">
      <c r="A19" s="69" t="s">
        <v>2482</v>
      </c>
      <c r="B19" s="70">
        <f>SUMIF('CHIRP Payment Calc'!H:H,A19,'CHIRP Payment Calc'!L:L)</f>
        <v>41205101.780000001</v>
      </c>
      <c r="C19" s="70">
        <f>SUMIF('CHIRP Payment Calc'!H:H,A19,'CHIRP Payment Calc'!M:M)</f>
        <v>9044850.8200000003</v>
      </c>
      <c r="D19" s="70">
        <f>SUMIF('CHIRP Payment Calc'!H:H,A19,'CHIRP Payment Calc'!N:N)</f>
        <v>50249952.600000001</v>
      </c>
      <c r="E19" s="70">
        <f>SUMIF('CHIRP Payment Calc'!H:H,A19,'CHIRP Payment Calc'!I:I)</f>
        <v>63517612.84385255</v>
      </c>
      <c r="F19" s="70">
        <f>SUMIF('CHIRP Payment Calc'!H:H,A19,'CHIRP Payment Calc'!J:J)</f>
        <v>80722055.854980409</v>
      </c>
      <c r="G19" s="70">
        <f>SUMIF('CHIRP Payment Calc'!H:H,A19,'CHIRP Payment Calc'!K:K)</f>
        <v>144239668.69883296</v>
      </c>
      <c r="H19" s="71">
        <f t="shared" si="5"/>
        <v>0.65</v>
      </c>
      <c r="I19" s="71">
        <f t="shared" si="6"/>
        <v>0.11</v>
      </c>
      <c r="J19" s="72">
        <f t="shared" si="3"/>
        <v>41286448.348504156</v>
      </c>
      <c r="K19" s="72">
        <f t="shared" si="4"/>
        <v>8879426.1440478452</v>
      </c>
      <c r="L19" s="72">
        <f t="shared" si="7"/>
        <v>50165874.492551997</v>
      </c>
      <c r="M19" s="72">
        <f>SUMIF('CHIRP Payment Calc'!H:H,A19,'CHIRP Payment Calc'!AJ:AJ)</f>
        <v>45732681.247573838</v>
      </c>
      <c r="N19" s="72">
        <f>SUMIF('CHIRP Payment Calc'!H:H,A19,'CHIRP Payment Calc'!AK:AK)</f>
        <v>16144411.170996083</v>
      </c>
      <c r="O19" s="70">
        <f t="shared" si="8"/>
        <v>61877092.418569922</v>
      </c>
      <c r="P19" s="72">
        <f t="shared" si="9"/>
        <v>112042966.91112192</v>
      </c>
      <c r="Q19" s="74">
        <f>COUNTIF('CHIRP Payment Calc'!H:H,A19)</f>
        <v>1</v>
      </c>
    </row>
    <row r="20" spans="1:17">
      <c r="A20" s="69" t="s">
        <v>2496</v>
      </c>
      <c r="B20" s="70">
        <f>SUMIF('CHIRP Payment Calc'!H:H,A20,'CHIRP Payment Calc'!L:L)</f>
        <v>43061335.710000001</v>
      </c>
      <c r="C20" s="70">
        <f>SUMIF('CHIRP Payment Calc'!H:H,A20,'CHIRP Payment Calc'!M:M)</f>
        <v>36135709.049999997</v>
      </c>
      <c r="D20" s="70">
        <f>SUMIF('CHIRP Payment Calc'!H:H,A20,'CHIRP Payment Calc'!N:N)</f>
        <v>79197044.760000005</v>
      </c>
      <c r="E20" s="70">
        <f>SUMIF('CHIRP Payment Calc'!H:H,A20,'CHIRP Payment Calc'!I:I)</f>
        <v>63178591.828259066</v>
      </c>
      <c r="F20" s="70">
        <f>SUMIF('CHIRP Payment Calc'!H:H,A20,'CHIRP Payment Calc'!J:J)</f>
        <v>34185478.205429301</v>
      </c>
      <c r="G20" s="70">
        <f>SUMIF('CHIRP Payment Calc'!H:H,A20,'CHIRP Payment Calc'!K:K)</f>
        <v>97364070.033688366</v>
      </c>
      <c r="H20" s="71">
        <f t="shared" si="5"/>
        <v>0.68</v>
      </c>
      <c r="I20" s="71">
        <f t="shared" si="6"/>
        <v>1.06</v>
      </c>
      <c r="J20" s="72">
        <f t="shared" si="3"/>
        <v>42961442.443216167</v>
      </c>
      <c r="K20" s="72">
        <f t="shared" si="4"/>
        <v>36236606.897755064</v>
      </c>
      <c r="L20" s="72">
        <f t="shared" si="7"/>
        <v>79198049.340971231</v>
      </c>
      <c r="M20" s="72">
        <f>SUMIF('CHIRP Payment Calc'!H:H,A20,'CHIRP Payment Calc'!AJ:AJ)</f>
        <v>53669748.998306625</v>
      </c>
      <c r="N20" s="72">
        <f>SUMIF('CHIRP Payment Calc'!H:H,A20,'CHIRP Payment Calc'!AK:AK)</f>
        <v>25254654.490514979</v>
      </c>
      <c r="O20" s="70">
        <f t="shared" si="8"/>
        <v>78924403.488821596</v>
      </c>
      <c r="P20" s="72">
        <f t="shared" si="9"/>
        <v>158122452.82979283</v>
      </c>
      <c r="Q20" s="74">
        <f>COUNTIF('CHIRP Payment Calc'!H:H,A20)</f>
        <v>13</v>
      </c>
    </row>
    <row r="21" spans="1:17">
      <c r="A21" s="69" t="s">
        <v>2497</v>
      </c>
      <c r="B21" s="70">
        <f>SUMIF('CHIRP Payment Calc'!H:H,A21,'CHIRP Payment Calc'!L:L)</f>
        <v>20697298.73</v>
      </c>
      <c r="C21" s="70">
        <f>SUMIF('CHIRP Payment Calc'!H:H,A21,'CHIRP Payment Calc'!M:M)</f>
        <v>25178728.709999997</v>
      </c>
      <c r="D21" s="70">
        <f>SUMIF('CHIRP Payment Calc'!H:H,A21,'CHIRP Payment Calc'!N:N)</f>
        <v>45876027.439999998</v>
      </c>
      <c r="E21" s="70">
        <f>SUMIF('CHIRP Payment Calc'!H:H,A21,'CHIRP Payment Calc'!I:I)</f>
        <v>62894000.326323867</v>
      </c>
      <c r="F21" s="70">
        <f>SUMIF('CHIRP Payment Calc'!H:H,A21,'CHIRP Payment Calc'!J:J)</f>
        <v>29653012.99394732</v>
      </c>
      <c r="G21" s="70">
        <f>SUMIF('CHIRP Payment Calc'!H:H,A21,'CHIRP Payment Calc'!K:K)</f>
        <v>92547013.320271179</v>
      </c>
      <c r="H21" s="71">
        <f t="shared" si="5"/>
        <v>0.33</v>
      </c>
      <c r="I21" s="71">
        <f t="shared" si="6"/>
        <v>0.85</v>
      </c>
      <c r="J21" s="72">
        <f t="shared" si="3"/>
        <v>20755020.107686877</v>
      </c>
      <c r="K21" s="72">
        <f t="shared" si="4"/>
        <v>25205061.044855222</v>
      </c>
      <c r="L21" s="72">
        <f t="shared" si="7"/>
        <v>45960081.152542099</v>
      </c>
      <c r="M21" s="72">
        <f>SUMIF('CHIRP Payment Calc'!H:H,A21,'CHIRP Payment Calc'!AJ:AJ)</f>
        <v>52946746.157789648</v>
      </c>
      <c r="N21" s="72">
        <f>SUMIF('CHIRP Payment Calc'!H:H,A21,'CHIRP Payment Calc'!AK:AK)</f>
        <v>13709681.276062232</v>
      </c>
      <c r="O21" s="70">
        <f t="shared" si="8"/>
        <v>66656427.433851883</v>
      </c>
      <c r="P21" s="72">
        <f t="shared" si="9"/>
        <v>112616508.58639398</v>
      </c>
      <c r="Q21" s="74">
        <f>COUNTIF('CHIRP Payment Calc'!H:H,A21)</f>
        <v>10</v>
      </c>
    </row>
    <row r="22" spans="1:17">
      <c r="A22" s="69" t="s">
        <v>2477</v>
      </c>
      <c r="B22" s="70">
        <f>SUMIF('CHIRP Payment Calc'!H:H,A22,'CHIRP Payment Calc'!L:L)</f>
        <v>20087868.800000001</v>
      </c>
      <c r="C22" s="70">
        <f>SUMIF('CHIRP Payment Calc'!H:H,A22,'CHIRP Payment Calc'!M:M)</f>
        <v>13202818.75</v>
      </c>
      <c r="D22" s="70">
        <f>SUMIF('CHIRP Payment Calc'!H:H,A22,'CHIRP Payment Calc'!N:N)</f>
        <v>33290687.550000001</v>
      </c>
      <c r="E22" s="70">
        <f>SUMIF('CHIRP Payment Calc'!H:H,A22,'CHIRP Payment Calc'!I:I)</f>
        <v>69885305.598550573</v>
      </c>
      <c r="F22" s="70">
        <f>SUMIF('CHIRP Payment Calc'!H:H,A22,'CHIRP Payment Calc'!J:J)</f>
        <v>26831171.658728022</v>
      </c>
      <c r="G22" s="70">
        <f>SUMIF('CHIRP Payment Calc'!H:H,A22,'CHIRP Payment Calc'!K:K)</f>
        <v>96716477.257278591</v>
      </c>
      <c r="H22" s="71">
        <f t="shared" si="5"/>
        <v>0.28999999999999998</v>
      </c>
      <c r="I22" s="71">
        <f t="shared" si="6"/>
        <v>0.49</v>
      </c>
      <c r="J22" s="72">
        <f t="shared" si="3"/>
        <v>20266738.623579666</v>
      </c>
      <c r="K22" s="72">
        <f t="shared" si="4"/>
        <v>13147274.11277673</v>
      </c>
      <c r="L22" s="72">
        <f t="shared" si="7"/>
        <v>33414012.736356396</v>
      </c>
      <c r="M22" s="72">
        <f>SUMIF('CHIRP Payment Calc'!H:H,A22,'CHIRP Payment Calc'!AJ:AJ)</f>
        <v>31448387.519347757</v>
      </c>
      <c r="N22" s="72">
        <f>SUMIF('CHIRP Payment Calc'!H:H,A22,'CHIRP Payment Calc'!AK:AK)</f>
        <v>17708573.294760495</v>
      </c>
      <c r="O22" s="70">
        <f t="shared" si="8"/>
        <v>49156960.814108253</v>
      </c>
      <c r="P22" s="72">
        <f t="shared" si="9"/>
        <v>82570973.550464645</v>
      </c>
      <c r="Q22" s="74">
        <f>COUNTIF('CHIRP Payment Calc'!H:H,A22)</f>
        <v>1</v>
      </c>
    </row>
    <row r="23" spans="1:17">
      <c r="A23" s="69" t="s">
        <v>2484</v>
      </c>
      <c r="B23" s="70">
        <f>SUMIF('CHIRP Payment Calc'!H:H,A23,'CHIRP Payment Calc'!L:L)</f>
        <v>-8486159.6899999995</v>
      </c>
      <c r="C23" s="70">
        <f>SUMIF('CHIRP Payment Calc'!H:H,A23,'CHIRP Payment Calc'!M:M)</f>
        <v>7421761.0599999996</v>
      </c>
      <c r="D23" s="70">
        <f>SUMIF('CHIRP Payment Calc'!H:H,A23,'CHIRP Payment Calc'!N:N)</f>
        <v>-1064398.6299999999</v>
      </c>
      <c r="E23" s="70">
        <f>SUMIF('CHIRP Payment Calc'!H:H,A23,'CHIRP Payment Calc'!I:I)</f>
        <v>62604556.760125577</v>
      </c>
      <c r="F23" s="70">
        <f>SUMIF('CHIRP Payment Calc'!H:H,A23,'CHIRP Payment Calc'!J:J)</f>
        <v>19574621.043671981</v>
      </c>
      <c r="G23" s="70">
        <f>SUMIF('CHIRP Payment Calc'!H:H,A23,'CHIRP Payment Calc'!K:K)</f>
        <v>82179177.803797558</v>
      </c>
      <c r="H23" s="71">
        <f t="shared" si="5"/>
        <v>0</v>
      </c>
      <c r="I23" s="71">
        <f t="shared" si="6"/>
        <v>0.38</v>
      </c>
      <c r="J23" s="72">
        <f t="shared" si="3"/>
        <v>0</v>
      </c>
      <c r="K23" s="72">
        <f t="shared" si="4"/>
        <v>7438355.9965953529</v>
      </c>
      <c r="L23" s="72">
        <f t="shared" si="7"/>
        <v>7438355.9965953529</v>
      </c>
      <c r="M23" s="72">
        <f>SUMIF('CHIRP Payment Calc'!H:H,A23,'CHIRP Payment Calc'!AJ:AJ)</f>
        <v>92654744.004985854</v>
      </c>
      <c r="N23" s="72">
        <f>SUMIF('CHIRP Payment Calc'!H:H,A23,'CHIRP Payment Calc'!AK:AK)</f>
        <v>22315067.989786055</v>
      </c>
      <c r="O23" s="70">
        <f t="shared" si="8"/>
        <v>114969811.99477191</v>
      </c>
      <c r="P23" s="72">
        <f t="shared" si="9"/>
        <v>122408167.99136727</v>
      </c>
      <c r="Q23" s="74">
        <f>COUNTIF('CHIRP Payment Calc'!H:H,A23)</f>
        <v>1</v>
      </c>
    </row>
    <row r="24" spans="1:17">
      <c r="A24" s="69" t="s">
        <v>2498</v>
      </c>
      <c r="B24" s="70">
        <f>SUMIF('CHIRP Payment Calc'!H:H,A24,'CHIRP Payment Calc'!L:L)</f>
        <v>21144387.229999997</v>
      </c>
      <c r="C24" s="70">
        <f>SUMIF('CHIRP Payment Calc'!H:H,A24,'CHIRP Payment Calc'!M:M)</f>
        <v>14977708.470000003</v>
      </c>
      <c r="D24" s="70">
        <f>SUMIF('CHIRP Payment Calc'!H:H,A24,'CHIRP Payment Calc'!N:N)</f>
        <v>36122095.699999996</v>
      </c>
      <c r="E24" s="70">
        <f>SUMIF('CHIRP Payment Calc'!H:H,A24,'CHIRP Payment Calc'!I:I)</f>
        <v>25077540.384949353</v>
      </c>
      <c r="F24" s="70">
        <f>SUMIF('CHIRP Payment Calc'!H:H,A24,'CHIRP Payment Calc'!J:J)</f>
        <v>16189533.887186261</v>
      </c>
      <c r="G24" s="70">
        <f>SUMIF('CHIRP Payment Calc'!H:H,A24,'CHIRP Payment Calc'!K:K)</f>
        <v>41267074.272135615</v>
      </c>
      <c r="H24" s="71">
        <f t="shared" si="5"/>
        <v>0.84</v>
      </c>
      <c r="I24" s="71">
        <f t="shared" si="6"/>
        <v>0.93</v>
      </c>
      <c r="J24" s="72">
        <f t="shared" si="3"/>
        <v>21065133.923357457</v>
      </c>
      <c r="K24" s="72">
        <f t="shared" si="4"/>
        <v>15056266.515083224</v>
      </c>
      <c r="L24" s="72">
        <f t="shared" si="7"/>
        <v>36121400.438440681</v>
      </c>
      <c r="M24" s="72">
        <f>SUMIF('CHIRP Payment Calc'!H:H,A24,'CHIRP Payment Calc'!AJ:AJ)</f>
        <v>35193485.719812088</v>
      </c>
      <c r="N24" s="72">
        <f>SUMIF('CHIRP Payment Calc'!H:H,A24,'CHIRP Payment Calc'!AK:AK)</f>
        <v>4092882.4065237734</v>
      </c>
      <c r="O24" s="70">
        <f t="shared" si="8"/>
        <v>39286368.126335859</v>
      </c>
      <c r="P24" s="72">
        <f t="shared" si="9"/>
        <v>75407768.56477654</v>
      </c>
      <c r="Q24" s="74">
        <f>COUNTIF('CHIRP Payment Calc'!H:H,A24)</f>
        <v>4</v>
      </c>
    </row>
    <row r="25" spans="1:17">
      <c r="A25" s="69" t="s">
        <v>2481</v>
      </c>
      <c r="B25" s="70">
        <f>SUMIF('CHIRP Payment Calc'!H:H,A25,'CHIRP Payment Calc'!L:L)</f>
        <v>2718727.94</v>
      </c>
      <c r="C25" s="70">
        <f>SUMIF('CHIRP Payment Calc'!H:H,A25,'CHIRP Payment Calc'!M:M)</f>
        <v>6739961.4199999999</v>
      </c>
      <c r="D25" s="70">
        <f>SUMIF('CHIRP Payment Calc'!H:H,A25,'CHIRP Payment Calc'!N:N)</f>
        <v>9458689.3599999994</v>
      </c>
      <c r="E25" s="70">
        <f>SUMIF('CHIRP Payment Calc'!H:H,A25,'CHIRP Payment Calc'!I:I)</f>
        <v>32744872.067832917</v>
      </c>
      <c r="F25" s="70">
        <f>SUMIF('CHIRP Payment Calc'!H:H,A25,'CHIRP Payment Calc'!J:J)</f>
        <v>10376502.534305554</v>
      </c>
      <c r="G25" s="70">
        <f>SUMIF('CHIRP Payment Calc'!H:H,A25,'CHIRP Payment Calc'!K:K)</f>
        <v>43121374.602138475</v>
      </c>
      <c r="H25" s="71">
        <f t="shared" si="5"/>
        <v>0.08</v>
      </c>
      <c r="I25" s="71">
        <f t="shared" si="6"/>
        <v>0.65</v>
      </c>
      <c r="J25" s="72">
        <f t="shared" si="3"/>
        <v>2619589.7654266334</v>
      </c>
      <c r="K25" s="72">
        <f t="shared" si="4"/>
        <v>6744726.6472986098</v>
      </c>
      <c r="L25" s="72">
        <f t="shared" si="7"/>
        <v>9364316.4127252437</v>
      </c>
      <c r="M25" s="72">
        <f>SUMIF('CHIRP Payment Calc'!H:H,A25,'CHIRP Payment Calc'!AJ:AJ)</f>
        <v>13425397.547811495</v>
      </c>
      <c r="N25" s="72">
        <f>SUMIF('CHIRP Payment Calc'!H:H,A25,'CHIRP Payment Calc'!AK:AK)</f>
        <v>11206622.737049999</v>
      </c>
      <c r="O25" s="70">
        <f t="shared" si="8"/>
        <v>24632020.284861494</v>
      </c>
      <c r="P25" s="72">
        <f t="shared" si="9"/>
        <v>33996336.697586738</v>
      </c>
      <c r="Q25" s="74">
        <f>COUNTIF('CHIRP Payment Calc'!H:H,A25)</f>
        <v>1</v>
      </c>
    </row>
    <row r="26" spans="1:17">
      <c r="A26" s="69" t="s">
        <v>2479</v>
      </c>
      <c r="B26" s="70">
        <f>SUMIF('CHIRP Payment Calc'!H:H,A26,'CHIRP Payment Calc'!L:L)</f>
        <v>-11456538.18</v>
      </c>
      <c r="C26" s="70">
        <f>SUMIF('CHIRP Payment Calc'!H:H,A26,'CHIRP Payment Calc'!M:M)</f>
        <v>4021902.39</v>
      </c>
      <c r="D26" s="70">
        <f>SUMIF('CHIRP Payment Calc'!H:H,A26,'CHIRP Payment Calc'!N:N)</f>
        <v>-7434635.7899999991</v>
      </c>
      <c r="E26" s="70">
        <f>SUMIF('CHIRP Payment Calc'!H:H,A26,'CHIRP Payment Calc'!I:I)</f>
        <v>28247750.498462122</v>
      </c>
      <c r="F26" s="70">
        <f>SUMIF('CHIRP Payment Calc'!H:H,A26,'CHIRP Payment Calc'!J:J)</f>
        <v>5774581.0528310277</v>
      </c>
      <c r="G26" s="70">
        <f>SUMIF('CHIRP Payment Calc'!H:H,A26,'CHIRP Payment Calc'!K:K)</f>
        <v>34022331.55129315</v>
      </c>
      <c r="H26" s="71">
        <f t="shared" si="5"/>
        <v>0</v>
      </c>
      <c r="I26" s="71">
        <f t="shared" si="6"/>
        <v>0.7</v>
      </c>
      <c r="J26" s="72">
        <f t="shared" si="3"/>
        <v>0</v>
      </c>
      <c r="K26" s="72">
        <f t="shared" si="4"/>
        <v>4042206.7369817193</v>
      </c>
      <c r="L26" s="72">
        <f t="shared" si="7"/>
        <v>4042206.7369817193</v>
      </c>
      <c r="M26" s="72">
        <f>SUMIF('CHIRP Payment Calc'!H:H,A26,'CHIRP Payment Calc'!AJ:AJ)</f>
        <v>11864055.209354091</v>
      </c>
      <c r="N26" s="72">
        <f>SUMIF('CHIRP Payment Calc'!H:H,A26,'CHIRP Payment Calc'!AK:AK)</f>
        <v>8199905.0950200586</v>
      </c>
      <c r="O26" s="70">
        <f t="shared" si="8"/>
        <v>20063960.304374151</v>
      </c>
      <c r="P26" s="72">
        <f t="shared" si="9"/>
        <v>24106167.041355871</v>
      </c>
      <c r="Q26" s="74">
        <f>COUNTIF('CHIRP Payment Calc'!H:H,A26)</f>
        <v>1</v>
      </c>
    </row>
    <row r="27" spans="1:17">
      <c r="A27" s="69" t="s">
        <v>2499</v>
      </c>
      <c r="B27" s="70">
        <f>SUMIF('CHIRP Payment Calc'!H:H,A27,'CHIRP Payment Calc'!L:L)</f>
        <v>11426343.970000001</v>
      </c>
      <c r="C27" s="70">
        <f>SUMIF('CHIRP Payment Calc'!H:H,A27,'CHIRP Payment Calc'!M:M)</f>
        <v>5953710.7000000002</v>
      </c>
      <c r="D27" s="70">
        <f>SUMIF('CHIRP Payment Calc'!H:H,A27,'CHIRP Payment Calc'!N:N)</f>
        <v>17380054.670000002</v>
      </c>
      <c r="E27" s="70">
        <f>SUMIF('CHIRP Payment Calc'!H:H,A27,'CHIRP Payment Calc'!I:I)</f>
        <v>15878218.631623287</v>
      </c>
      <c r="F27" s="70">
        <f>SUMIF('CHIRP Payment Calc'!H:H,A27,'CHIRP Payment Calc'!J:J)</f>
        <v>4649239.0798709234</v>
      </c>
      <c r="G27" s="70">
        <f>SUMIF('CHIRP Payment Calc'!H:H,A27,'CHIRP Payment Calc'!K:K)</f>
        <v>20527457.711494211</v>
      </c>
      <c r="H27" s="71">
        <f t="shared" si="5"/>
        <v>0.72</v>
      </c>
      <c r="I27" s="71">
        <f t="shared" si="6"/>
        <v>1.28</v>
      </c>
      <c r="J27" s="72">
        <f t="shared" si="3"/>
        <v>11432317.414768767</v>
      </c>
      <c r="K27" s="72">
        <f t="shared" si="4"/>
        <v>5951026.0222347816</v>
      </c>
      <c r="L27" s="72">
        <f t="shared" si="7"/>
        <v>17383343.437003549</v>
      </c>
      <c r="M27" s="72">
        <f>SUMIF('CHIRP Payment Calc'!H:H,A27,'CHIRP Payment Calc'!AJ:AJ)</f>
        <v>13178921.464247327</v>
      </c>
      <c r="N27" s="72">
        <f>SUMIF('CHIRP Payment Calc'!H:H,A27,'CHIRP Payment Calc'!AK:AK)</f>
        <v>3114990.1835135189</v>
      </c>
      <c r="O27" s="70">
        <f t="shared" si="8"/>
        <v>16293911.647760846</v>
      </c>
      <c r="P27" s="72">
        <f t="shared" si="9"/>
        <v>33677255.084764391</v>
      </c>
      <c r="Q27" s="74">
        <f>COUNTIF('CHIRP Payment Calc'!H:H,A27)</f>
        <v>1</v>
      </c>
    </row>
    <row r="28" spans="1:17">
      <c r="A28" s="69" t="s">
        <v>2500</v>
      </c>
      <c r="B28" s="70">
        <f>SUMIF('CHIRP Payment Calc'!H:H,A28,'CHIRP Payment Calc'!L:L)</f>
        <v>34741.65</v>
      </c>
      <c r="C28" s="70">
        <f>SUMIF('CHIRP Payment Calc'!H:H,A28,'CHIRP Payment Calc'!M:M)</f>
        <v>1877004.34</v>
      </c>
      <c r="D28" s="70">
        <f>SUMIF('CHIRP Payment Calc'!H:H,A28,'CHIRP Payment Calc'!N:N)</f>
        <v>1911745.99</v>
      </c>
      <c r="E28" s="70">
        <f>SUMIF('CHIRP Payment Calc'!H:H,A28,'CHIRP Payment Calc'!I:I)</f>
        <v>631765.43307706655</v>
      </c>
      <c r="F28" s="70">
        <f>SUMIF('CHIRP Payment Calc'!H:H,A28,'CHIRP Payment Calc'!J:J)</f>
        <v>3093345.8815706917</v>
      </c>
      <c r="G28" s="70">
        <f>SUMIF('CHIRP Payment Calc'!H:H,A28,'CHIRP Payment Calc'!K:K)</f>
        <v>3725111.3146477584</v>
      </c>
      <c r="H28" s="71">
        <f t="shared" si="5"/>
        <v>0.05</v>
      </c>
      <c r="I28" s="71">
        <f t="shared" si="6"/>
        <v>0.61</v>
      </c>
      <c r="J28" s="72">
        <f t="shared" si="3"/>
        <v>31588.271653853328</v>
      </c>
      <c r="K28" s="72">
        <f t="shared" si="4"/>
        <v>1886940.9877581219</v>
      </c>
      <c r="L28" s="72">
        <f t="shared" si="7"/>
        <v>1918529.2594119753</v>
      </c>
      <c r="M28" s="72">
        <f>SUMIF('CHIRP Payment Calc'!H:H,A28,'CHIRP Payment Calc'!AJ:AJ)</f>
        <v>0</v>
      </c>
      <c r="N28" s="72">
        <f>SUMIF('CHIRP Payment Calc'!H:H,A28,'CHIRP Payment Calc'!AK:AK)</f>
        <v>0</v>
      </c>
      <c r="O28" s="70">
        <f t="shared" si="8"/>
        <v>0</v>
      </c>
      <c r="P28" s="72">
        <f t="shared" si="9"/>
        <v>1918529.2594119753</v>
      </c>
      <c r="Q28" s="74">
        <f>COUNTIF('CHIRP Payment Calc'!H:H,A28)</f>
        <v>1</v>
      </c>
    </row>
    <row r="29" spans="1:17">
      <c r="A29" s="69" t="s">
        <v>2501</v>
      </c>
      <c r="B29" s="70">
        <f>SUMIF('CHIRP Payment Calc'!H:H,A29,'CHIRP Payment Calc'!L:L)</f>
        <v>-2018879.6300000001</v>
      </c>
      <c r="C29" s="70">
        <f>SUMIF('CHIRP Payment Calc'!H:H,A29,'CHIRP Payment Calc'!M:M)</f>
        <v>388226.98</v>
      </c>
      <c r="D29" s="70">
        <f>SUMIF('CHIRP Payment Calc'!H:H,A29,'CHIRP Payment Calc'!N:N)</f>
        <v>-1630652.6500000001</v>
      </c>
      <c r="E29" s="70">
        <f>SUMIF('CHIRP Payment Calc'!H:H,A29,'CHIRP Payment Calc'!I:I)</f>
        <v>9058498.543254463</v>
      </c>
      <c r="F29" s="70">
        <f>SUMIF('CHIRP Payment Calc'!H:H,A29,'CHIRP Payment Calc'!J:J)</f>
        <v>6800652.0922848871</v>
      </c>
      <c r="G29" s="70">
        <f>SUMIF('CHIRP Payment Calc'!H:H,A29,'CHIRP Payment Calc'!K:K)</f>
        <v>15859150.635539349</v>
      </c>
      <c r="H29" s="71">
        <f t="shared" si="5"/>
        <v>0</v>
      </c>
      <c r="I29" s="71">
        <f t="shared" si="6"/>
        <v>0.06</v>
      </c>
      <c r="J29" s="72">
        <f t="shared" si="3"/>
        <v>0</v>
      </c>
      <c r="K29" s="72">
        <f t="shared" si="4"/>
        <v>408039.1255370932</v>
      </c>
      <c r="L29" s="72">
        <f t="shared" si="7"/>
        <v>408039.1255370932</v>
      </c>
      <c r="M29" s="72">
        <f>SUMIF('CHIRP Payment Calc'!H:H,A29,'CHIRP Payment Calc'!AJ:AJ)</f>
        <v>2013962.4883618506</v>
      </c>
      <c r="N29" s="72">
        <f>SUMIF('CHIRP Payment Calc'!H:H,A29,'CHIRP Payment Calc'!AK:AK)</f>
        <v>2660432.0461373404</v>
      </c>
      <c r="O29" s="70">
        <f t="shared" si="8"/>
        <v>4674394.5344991907</v>
      </c>
      <c r="P29" s="72">
        <f t="shared" si="9"/>
        <v>5082433.6600362835</v>
      </c>
      <c r="Q29" s="74">
        <f>COUNTIF('CHIRP Payment Calc'!H:H,A29)</f>
        <v>2</v>
      </c>
    </row>
    <row r="30" spans="1:17">
      <c r="A30" s="69" t="s">
        <v>2502</v>
      </c>
      <c r="B30" s="70">
        <f>SUMIF('CHIRP Payment Calc'!H:H,A30,'CHIRP Payment Calc'!L:L)</f>
        <v>-5111521.51</v>
      </c>
      <c r="C30" s="70">
        <f>SUMIF('CHIRP Payment Calc'!H:H,A30,'CHIRP Payment Calc'!M:M)</f>
        <v>10438728.299999999</v>
      </c>
      <c r="D30" s="70">
        <f>SUMIF('CHIRP Payment Calc'!H:H,A30,'CHIRP Payment Calc'!N:N)</f>
        <v>5327206.79</v>
      </c>
      <c r="E30" s="70">
        <f>SUMIF('CHIRP Payment Calc'!H:H,A30,'CHIRP Payment Calc'!I:I)</f>
        <v>52784128.121525228</v>
      </c>
      <c r="F30" s="70">
        <f>SUMIF('CHIRP Payment Calc'!H:H,A30,'CHIRP Payment Calc'!J:J)</f>
        <v>33021163.607676111</v>
      </c>
      <c r="G30" s="70">
        <f>SUMIF('CHIRP Payment Calc'!H:H,A30,'CHIRP Payment Calc'!K:K)</f>
        <v>85805291.729201362</v>
      </c>
      <c r="H30" s="71">
        <f t="shared" si="5"/>
        <v>0</v>
      </c>
      <c r="I30" s="71">
        <f t="shared" si="6"/>
        <v>0.32</v>
      </c>
      <c r="J30" s="72">
        <f t="shared" si="3"/>
        <v>0</v>
      </c>
      <c r="K30" s="72">
        <f t="shared" si="4"/>
        <v>10566772.354456356</v>
      </c>
      <c r="L30" s="72">
        <f t="shared" si="7"/>
        <v>10566772.354456356</v>
      </c>
      <c r="M30" s="72">
        <f>SUMIF('CHIRP Payment Calc'!H:H,A30,'CHIRP Payment Calc'!AJ:AJ)</f>
        <v>6083034.636542256</v>
      </c>
      <c r="N30" s="72">
        <f>SUMIF('CHIRP Payment Calc'!H:H,A30,'CHIRP Payment Calc'!AK:AK)</f>
        <v>11173955.300642429</v>
      </c>
      <c r="O30" s="70">
        <f t="shared" si="8"/>
        <v>17256989.937184684</v>
      </c>
      <c r="P30" s="72">
        <f t="shared" si="9"/>
        <v>27823762.291641042</v>
      </c>
      <c r="Q30" s="74">
        <f>COUNTIF('CHIRP Payment Calc'!H:H,A30)</f>
        <v>22</v>
      </c>
    </row>
    <row r="31" spans="1:17">
      <c r="A31" s="69" t="s">
        <v>2503</v>
      </c>
      <c r="B31" s="70">
        <f>SUMIF('CHIRP Payment Calc'!H:H,A31,'CHIRP Payment Calc'!L:L)</f>
        <v>-1627617.7900000005</v>
      </c>
      <c r="C31" s="70">
        <f>SUMIF('CHIRP Payment Calc'!H:H,A31,'CHIRP Payment Calc'!M:M)</f>
        <v>6121525.5300000003</v>
      </c>
      <c r="D31" s="70">
        <f>SUMIF('CHIRP Payment Calc'!H:H,A31,'CHIRP Payment Calc'!N:N)</f>
        <v>4493907.7399999984</v>
      </c>
      <c r="E31" s="70">
        <f>SUMIF('CHIRP Payment Calc'!H:H,A31,'CHIRP Payment Calc'!I:I)</f>
        <v>35688399.114976451</v>
      </c>
      <c r="F31" s="70">
        <f>SUMIF('CHIRP Payment Calc'!H:H,A31,'CHIRP Payment Calc'!J:J)</f>
        <v>33186207.301965531</v>
      </c>
      <c r="G31" s="70">
        <f>SUMIF('CHIRP Payment Calc'!H:H,A31,'CHIRP Payment Calc'!K:K)</f>
        <v>68874606.416942</v>
      </c>
      <c r="H31" s="71">
        <f t="shared" si="5"/>
        <v>0</v>
      </c>
      <c r="I31" s="71">
        <f t="shared" si="6"/>
        <v>0.18</v>
      </c>
      <c r="J31" s="72">
        <f t="shared" si="3"/>
        <v>0</v>
      </c>
      <c r="K31" s="72">
        <f t="shared" si="4"/>
        <v>5973517.3143537957</v>
      </c>
      <c r="L31" s="72">
        <f t="shared" si="7"/>
        <v>5973517.3143537957</v>
      </c>
      <c r="M31" s="72">
        <f>SUMIF('CHIRP Payment Calc'!H:H,A31,'CHIRP Payment Calc'!AJ:AJ)</f>
        <v>0</v>
      </c>
      <c r="N31" s="72">
        <f>SUMIF('CHIRP Payment Calc'!H:H,A31,'CHIRP Payment Calc'!AK:AK)</f>
        <v>8365397.9248925578</v>
      </c>
      <c r="O31" s="70">
        <f t="shared" si="8"/>
        <v>8365397.9248925578</v>
      </c>
      <c r="P31" s="72">
        <f t="shared" si="9"/>
        <v>14338915.239246354</v>
      </c>
      <c r="Q31" s="74">
        <f>COUNTIF('CHIRP Payment Calc'!H:H,A31)</f>
        <v>57</v>
      </c>
    </row>
    <row r="32" spans="1:17">
      <c r="A32" s="69" t="s">
        <v>2504</v>
      </c>
      <c r="B32" s="70">
        <f>SUMIF('CHIRP Payment Calc'!H:H,A32,'CHIRP Payment Calc'!L:L)</f>
        <v>-2496012.69</v>
      </c>
      <c r="C32" s="70">
        <f>SUMIF('CHIRP Payment Calc'!H:H,A32,'CHIRP Payment Calc'!M:M)</f>
        <v>2383867.0499999998</v>
      </c>
      <c r="D32" s="70">
        <f>SUMIF('CHIRP Payment Calc'!H:H,A32,'CHIRP Payment Calc'!N:N)</f>
        <v>-112145.64000000013</v>
      </c>
      <c r="E32" s="70">
        <f>SUMIF('CHIRP Payment Calc'!H:H,A32,'CHIRP Payment Calc'!I:I)</f>
        <v>8493328.0495176688</v>
      </c>
      <c r="F32" s="70">
        <f>SUMIF('CHIRP Payment Calc'!H:H,A32,'CHIRP Payment Calc'!J:J)</f>
        <v>4735022.1502454365</v>
      </c>
      <c r="G32" s="70">
        <f>SUMIF('CHIRP Payment Calc'!H:H,A32,'CHIRP Payment Calc'!K:K)</f>
        <v>13228350.199763104</v>
      </c>
      <c r="H32" s="71">
        <f t="shared" si="5"/>
        <v>0</v>
      </c>
      <c r="I32" s="71">
        <f t="shared" si="6"/>
        <v>0.5</v>
      </c>
      <c r="J32" s="72">
        <f t="shared" si="3"/>
        <v>0</v>
      </c>
      <c r="K32" s="72">
        <f t="shared" si="4"/>
        <v>2367511.0751227182</v>
      </c>
      <c r="L32" s="72">
        <f t="shared" si="7"/>
        <v>2367511.0751227182</v>
      </c>
      <c r="M32" s="72">
        <f>SUMIF('CHIRP Payment Calc'!H:H,A32,'CHIRP Payment Calc'!AJ:AJ)</f>
        <v>5819672.6626441739</v>
      </c>
      <c r="N32" s="72">
        <f>SUMIF('CHIRP Payment Calc'!H:H,A32,'CHIRP Payment Calc'!AK:AK)</f>
        <v>5609154.8956180578</v>
      </c>
      <c r="O32" s="70">
        <f t="shared" si="8"/>
        <v>11428827.558262233</v>
      </c>
      <c r="P32" s="72">
        <f t="shared" si="9"/>
        <v>13796338.63338495</v>
      </c>
      <c r="Q32" s="74">
        <f>COUNTIF('CHIRP Payment Calc'!H:H,A32)</f>
        <v>2</v>
      </c>
    </row>
    <row r="33" spans="1:17">
      <c r="A33" s="69" t="s">
        <v>2505</v>
      </c>
      <c r="B33" s="70">
        <f>SUMIF('CHIRP Payment Calc'!H:H,A33,'CHIRP Payment Calc'!L:L)</f>
        <v>1709469.76</v>
      </c>
      <c r="C33" s="70">
        <f>SUMIF('CHIRP Payment Calc'!H:H,A33,'CHIRP Payment Calc'!M:M)</f>
        <v>0</v>
      </c>
      <c r="D33" s="70">
        <f>SUMIF('CHIRP Payment Calc'!H:H,A33,'CHIRP Payment Calc'!N:N)</f>
        <v>1709469.76</v>
      </c>
      <c r="E33" s="70">
        <f>SUMIF('CHIRP Payment Calc'!H:H,A33,'CHIRP Payment Calc'!I:I)</f>
        <v>7908436.3647147911</v>
      </c>
      <c r="F33" s="70">
        <f>SUMIF('CHIRP Payment Calc'!H:H,A33,'CHIRP Payment Calc'!J:J)</f>
        <v>0</v>
      </c>
      <c r="G33" s="70">
        <f>SUMIF('CHIRP Payment Calc'!H:H,A33,'CHIRP Payment Calc'!K:K)</f>
        <v>7908436.3647147911</v>
      </c>
      <c r="H33" s="71">
        <f t="shared" si="5"/>
        <v>0.22</v>
      </c>
      <c r="I33" s="71">
        <f t="shared" si="6"/>
        <v>0</v>
      </c>
      <c r="J33" s="72">
        <f t="shared" si="3"/>
        <v>1739856.000237254</v>
      </c>
      <c r="K33" s="72">
        <f t="shared" si="4"/>
        <v>0</v>
      </c>
      <c r="L33" s="72">
        <f t="shared" si="7"/>
        <v>1739856.000237254</v>
      </c>
      <c r="M33" s="72">
        <f>SUMIF('CHIRP Payment Calc'!H:H,A33,'CHIRP Payment Calc'!AJ:AJ)</f>
        <v>0</v>
      </c>
      <c r="N33" s="72">
        <f>SUMIF('CHIRP Payment Calc'!H:H,A33,'CHIRP Payment Calc'!AK:AK)</f>
        <v>0</v>
      </c>
      <c r="O33" s="70">
        <f t="shared" si="8"/>
        <v>0</v>
      </c>
      <c r="P33" s="72">
        <f t="shared" si="9"/>
        <v>1739856.000237254</v>
      </c>
      <c r="Q33" s="74">
        <f>COUNTIF('CHIRP Payment Calc'!H:H,A33)</f>
        <v>4</v>
      </c>
    </row>
    <row r="34" spans="1:17">
      <c r="A34" s="69" t="s">
        <v>2506</v>
      </c>
      <c r="B34" s="70">
        <f>SUMIF('CHIRP Payment Calc'!H:H,A34,'CHIRP Payment Calc'!L:L)</f>
        <v>7272687.120000001</v>
      </c>
      <c r="C34" s="70">
        <f>SUMIF('CHIRP Payment Calc'!H:H,A34,'CHIRP Payment Calc'!M:M)</f>
        <v>0</v>
      </c>
      <c r="D34" s="70">
        <f>SUMIF('CHIRP Payment Calc'!H:H,A34,'CHIRP Payment Calc'!N:N)</f>
        <v>7272687.120000001</v>
      </c>
      <c r="E34" s="70">
        <f>SUMIF('CHIRP Payment Calc'!H:H,A34,'CHIRP Payment Calc'!I:I)</f>
        <v>29901289.873334616</v>
      </c>
      <c r="F34" s="70">
        <f>SUMIF('CHIRP Payment Calc'!H:H,A34,'CHIRP Payment Calc'!J:J)</f>
        <v>0</v>
      </c>
      <c r="G34" s="70">
        <f>SUMIF('CHIRP Payment Calc'!H:H,A34,'CHIRP Payment Calc'!K:K)</f>
        <v>29901289.873334616</v>
      </c>
      <c r="H34" s="71">
        <f t="shared" si="5"/>
        <v>0.24</v>
      </c>
      <c r="I34" s="71">
        <f t="shared" si="6"/>
        <v>0</v>
      </c>
      <c r="J34" s="72">
        <f t="shared" si="3"/>
        <v>7176309.5696003074</v>
      </c>
      <c r="K34" s="72">
        <f t="shared" si="4"/>
        <v>0</v>
      </c>
      <c r="L34" s="72">
        <f t="shared" si="7"/>
        <v>7176309.5696003074</v>
      </c>
      <c r="M34" s="72">
        <f>SUMIF('CHIRP Payment Calc'!H:H,A34,'CHIRP Payment Calc'!AJ:AJ)</f>
        <v>0</v>
      </c>
      <c r="N34" s="72">
        <f>SUMIF('CHIRP Payment Calc'!H:H,A34,'CHIRP Payment Calc'!AK:AK)</f>
        <v>0</v>
      </c>
      <c r="O34" s="70">
        <f t="shared" si="8"/>
        <v>0</v>
      </c>
      <c r="P34" s="72">
        <f t="shared" si="9"/>
        <v>7176309.5696003074</v>
      </c>
      <c r="Q34" s="74">
        <f>COUNTIF('CHIRP Payment Calc'!H:H,A34)</f>
        <v>9</v>
      </c>
    </row>
    <row r="35" spans="1:17">
      <c r="A35" s="69" t="s">
        <v>2507</v>
      </c>
      <c r="B35" s="70">
        <f>SUMIF('CHIRP Payment Calc'!H:H,A35,'CHIRP Payment Calc'!L:L)</f>
        <v>98360.08</v>
      </c>
      <c r="C35" s="70">
        <f>SUMIF('CHIRP Payment Calc'!H:H,A35,'CHIRP Payment Calc'!M:M)</f>
        <v>0</v>
      </c>
      <c r="D35" s="70">
        <f>SUMIF('CHIRP Payment Calc'!H:H,A35,'CHIRP Payment Calc'!N:N)</f>
        <v>98360.08</v>
      </c>
      <c r="E35" s="70">
        <f>SUMIF('CHIRP Payment Calc'!H:H,A35,'CHIRP Payment Calc'!I:I)</f>
        <v>5569523.2065825555</v>
      </c>
      <c r="F35" s="70">
        <f>SUMIF('CHIRP Payment Calc'!H:H,A35,'CHIRP Payment Calc'!J:J)</f>
        <v>0</v>
      </c>
      <c r="G35" s="70">
        <f>SUMIF('CHIRP Payment Calc'!H:H,A35,'CHIRP Payment Calc'!K:K)</f>
        <v>5569523.2065825555</v>
      </c>
      <c r="H35" s="71">
        <f t="shared" si="5"/>
        <v>0.02</v>
      </c>
      <c r="I35" s="71">
        <f t="shared" si="6"/>
        <v>0</v>
      </c>
      <c r="J35" s="72">
        <f t="shared" si="3"/>
        <v>111390.46413165111</v>
      </c>
      <c r="K35" s="72">
        <f t="shared" si="4"/>
        <v>0</v>
      </c>
      <c r="L35" s="72">
        <f t="shared" si="7"/>
        <v>111390.46413165111</v>
      </c>
      <c r="M35" s="72">
        <f>SUMIF('CHIRP Payment Calc'!H:H,A35,'CHIRP Payment Calc'!AJ:AJ)</f>
        <v>1263727.9914891426</v>
      </c>
      <c r="N35" s="72">
        <f>SUMIF('CHIRP Payment Calc'!H:H,A35,'CHIRP Payment Calc'!AK:AK)</f>
        <v>0</v>
      </c>
      <c r="O35" s="70">
        <f t="shared" si="8"/>
        <v>1263727.9914891426</v>
      </c>
      <c r="P35" s="72">
        <f t="shared" si="9"/>
        <v>1375118.4556207939</v>
      </c>
      <c r="Q35" s="74">
        <f>COUNTIF('CHIRP Payment Calc'!H:H,A35)</f>
        <v>2</v>
      </c>
    </row>
    <row r="36" spans="1:17">
      <c r="A36" s="69" t="s">
        <v>2508</v>
      </c>
      <c r="B36" s="70">
        <f>SUMIF('CHIRP Payment Calc'!H:H,A36,'CHIRP Payment Calc'!L:L)</f>
        <v>2050678.16</v>
      </c>
      <c r="C36" s="70">
        <f>SUMIF('CHIRP Payment Calc'!H:H,A36,'CHIRP Payment Calc'!M:M)</f>
        <v>0</v>
      </c>
      <c r="D36" s="70">
        <f>SUMIF('CHIRP Payment Calc'!H:H,A36,'CHIRP Payment Calc'!N:N)</f>
        <v>2050678.16</v>
      </c>
      <c r="E36" s="70">
        <f>SUMIF('CHIRP Payment Calc'!H:H,A36,'CHIRP Payment Calc'!I:I)</f>
        <v>7546335.2815280594</v>
      </c>
      <c r="F36" s="70">
        <f>SUMIF('CHIRP Payment Calc'!H:H,A36,'CHIRP Payment Calc'!J:J)</f>
        <v>0</v>
      </c>
      <c r="G36" s="70">
        <f>SUMIF('CHIRP Payment Calc'!H:H,A36,'CHIRP Payment Calc'!K:K)</f>
        <v>7546335.2815280594</v>
      </c>
      <c r="H36" s="71">
        <f t="shared" si="5"/>
        <v>0.27</v>
      </c>
      <c r="I36" s="71">
        <f t="shared" si="6"/>
        <v>0</v>
      </c>
      <c r="J36" s="72">
        <f t="shared" si="3"/>
        <v>2037510.5260125762</v>
      </c>
      <c r="K36" s="72">
        <f t="shared" si="4"/>
        <v>0</v>
      </c>
      <c r="L36" s="72">
        <f t="shared" si="7"/>
        <v>2037510.5260125762</v>
      </c>
      <c r="M36" s="72">
        <f>SUMIF('CHIRP Payment Calc'!H:H,A36,'CHIRP Payment Calc'!AJ:AJ)</f>
        <v>0</v>
      </c>
      <c r="N36" s="72">
        <f>SUMIF('CHIRP Payment Calc'!H:H,A36,'CHIRP Payment Calc'!AK:AK)</f>
        <v>0</v>
      </c>
      <c r="O36" s="70">
        <f t="shared" si="8"/>
        <v>0</v>
      </c>
      <c r="P36" s="72">
        <f t="shared" si="9"/>
        <v>2037510.5260125762</v>
      </c>
      <c r="Q36" s="74">
        <f>COUNTIF('CHIRP Payment Calc'!H:H,A36)</f>
        <v>4</v>
      </c>
    </row>
    <row r="37" spans="1:17">
      <c r="A37" s="69" t="s">
        <v>2509</v>
      </c>
      <c r="B37" s="70">
        <f>SUMIF('CHIRP Payment Calc'!H:H,A37,'CHIRP Payment Calc'!L:L)</f>
        <v>1226858.31</v>
      </c>
      <c r="C37" s="70">
        <f>SUMIF('CHIRP Payment Calc'!H:H,A37,'CHIRP Payment Calc'!M:M)</f>
        <v>0</v>
      </c>
      <c r="D37" s="70">
        <f>SUMIF('CHIRP Payment Calc'!H:H,A37,'CHIRP Payment Calc'!N:N)</f>
        <v>1226858.31</v>
      </c>
      <c r="E37" s="70">
        <f>SUMIF('CHIRP Payment Calc'!H:H,A37,'CHIRP Payment Calc'!I:I)</f>
        <v>18391648.007950749</v>
      </c>
      <c r="F37" s="70">
        <f>SUMIF('CHIRP Payment Calc'!H:H,A37,'CHIRP Payment Calc'!J:J)</f>
        <v>0</v>
      </c>
      <c r="G37" s="70">
        <f>SUMIF('CHIRP Payment Calc'!H:H,A37,'CHIRP Payment Calc'!K:K)</f>
        <v>18391648.007950749</v>
      </c>
      <c r="H37" s="71">
        <f t="shared" si="5"/>
        <v>7.0000000000000007E-2</v>
      </c>
      <c r="I37" s="71">
        <f t="shared" si="6"/>
        <v>0</v>
      </c>
      <c r="J37" s="72">
        <f t="shared" ref="J37:J61" si="10">+H37*E37</f>
        <v>1287415.3605565527</v>
      </c>
      <c r="K37" s="72">
        <f t="shared" ref="K37:K61" si="11">+I37*F37</f>
        <v>0</v>
      </c>
      <c r="L37" s="72">
        <f t="shared" si="7"/>
        <v>1287415.3605565527</v>
      </c>
      <c r="M37" s="72">
        <f>SUMIF('CHIRP Payment Calc'!H:H,A37,'CHIRP Payment Calc'!AJ:AJ)</f>
        <v>0</v>
      </c>
      <c r="N37" s="72">
        <f>SUMIF('CHIRP Payment Calc'!H:H,A37,'CHIRP Payment Calc'!AK:AK)</f>
        <v>0</v>
      </c>
      <c r="O37" s="70">
        <f t="shared" si="8"/>
        <v>0</v>
      </c>
      <c r="P37" s="72">
        <f t="shared" si="9"/>
        <v>1287415.3605565527</v>
      </c>
      <c r="Q37" s="74">
        <f>COUNTIF('CHIRP Payment Calc'!H:H,A37)</f>
        <v>3</v>
      </c>
    </row>
    <row r="38" spans="1:17">
      <c r="A38" s="69" t="s">
        <v>2510</v>
      </c>
      <c r="B38" s="70">
        <f>SUMIF('CHIRP Payment Calc'!H:H,A38,'CHIRP Payment Calc'!L:L)</f>
        <v>432277.77</v>
      </c>
      <c r="C38" s="70">
        <f>SUMIF('CHIRP Payment Calc'!H:H,A38,'CHIRP Payment Calc'!M:M)</f>
        <v>0</v>
      </c>
      <c r="D38" s="70">
        <f>SUMIF('CHIRP Payment Calc'!H:H,A38,'CHIRP Payment Calc'!N:N)</f>
        <v>432277.77</v>
      </c>
      <c r="E38" s="70">
        <f>SUMIF('CHIRP Payment Calc'!H:H,A38,'CHIRP Payment Calc'!I:I)</f>
        <v>1083987.032908787</v>
      </c>
      <c r="F38" s="70">
        <f>SUMIF('CHIRP Payment Calc'!H:H,A38,'CHIRP Payment Calc'!J:J)</f>
        <v>0</v>
      </c>
      <c r="G38" s="70">
        <f>SUMIF('CHIRP Payment Calc'!H:H,A38,'CHIRP Payment Calc'!K:K)</f>
        <v>1083987.032908787</v>
      </c>
      <c r="H38" s="71">
        <f t="shared" si="5"/>
        <v>0.4</v>
      </c>
      <c r="I38" s="71">
        <f t="shared" si="6"/>
        <v>0</v>
      </c>
      <c r="J38" s="72">
        <f t="shared" si="10"/>
        <v>433594.81316351483</v>
      </c>
      <c r="K38" s="72">
        <f t="shared" si="11"/>
        <v>0</v>
      </c>
      <c r="L38" s="72">
        <f t="shared" si="7"/>
        <v>433594.81316351483</v>
      </c>
      <c r="M38" s="72">
        <f>SUMIF('CHIRP Payment Calc'!H:H,A38,'CHIRP Payment Calc'!AJ:AJ)</f>
        <v>0</v>
      </c>
      <c r="N38" s="72">
        <f>SUMIF('CHIRP Payment Calc'!H:H,A38,'CHIRP Payment Calc'!AK:AK)</f>
        <v>0</v>
      </c>
      <c r="O38" s="70">
        <f t="shared" si="8"/>
        <v>0</v>
      </c>
      <c r="P38" s="72">
        <f t="shared" si="9"/>
        <v>433594.81316351483</v>
      </c>
      <c r="Q38" s="74">
        <f>COUNTIF('CHIRP Payment Calc'!H:H,A38)</f>
        <v>4</v>
      </c>
    </row>
    <row r="39" spans="1:17">
      <c r="A39" s="69" t="s">
        <v>2511</v>
      </c>
      <c r="B39" s="70">
        <f>SUMIF('CHIRP Payment Calc'!H:H,A39,'CHIRP Payment Calc'!L:L)</f>
        <v>62747.879999999983</v>
      </c>
      <c r="C39" s="70">
        <f>SUMIF('CHIRP Payment Calc'!H:H,A39,'CHIRP Payment Calc'!M:M)</f>
        <v>1599587.73</v>
      </c>
      <c r="D39" s="70">
        <f>SUMIF('CHIRP Payment Calc'!H:H,A39,'CHIRP Payment Calc'!N:N)</f>
        <v>1662335.61</v>
      </c>
      <c r="E39" s="70">
        <f>SUMIF('CHIRP Payment Calc'!H:H,A39,'CHIRP Payment Calc'!I:I)</f>
        <v>4941273.9128765287</v>
      </c>
      <c r="F39" s="70">
        <f>SUMIF('CHIRP Payment Calc'!H:H,A39,'CHIRP Payment Calc'!J:J)</f>
        <v>5312377.6386349825</v>
      </c>
      <c r="G39" s="70">
        <f>SUMIF('CHIRP Payment Calc'!H:H,A39,'CHIRP Payment Calc'!K:K)</f>
        <v>10253651.551511511</v>
      </c>
      <c r="H39" s="71">
        <f t="shared" si="5"/>
        <v>0.01</v>
      </c>
      <c r="I39" s="71">
        <f t="shared" si="6"/>
        <v>0.3</v>
      </c>
      <c r="J39" s="72">
        <f t="shared" si="10"/>
        <v>49412.739128765286</v>
      </c>
      <c r="K39" s="72">
        <f t="shared" si="11"/>
        <v>1593713.2915904948</v>
      </c>
      <c r="L39" s="72">
        <f t="shared" si="7"/>
        <v>1643126.03071926</v>
      </c>
      <c r="M39" s="72">
        <f>SUMIF('CHIRP Payment Calc'!H:H,A39,'CHIRP Payment Calc'!AJ:AJ)</f>
        <v>0</v>
      </c>
      <c r="N39" s="72">
        <f>SUMIF('CHIRP Payment Calc'!H:H,A39,'CHIRP Payment Calc'!AK:AK)</f>
        <v>0</v>
      </c>
      <c r="O39" s="70">
        <f t="shared" si="8"/>
        <v>0</v>
      </c>
      <c r="P39" s="72">
        <f t="shared" si="9"/>
        <v>1643126.03071926</v>
      </c>
      <c r="Q39" s="74">
        <f>COUNTIF('CHIRP Payment Calc'!H:H,A39)</f>
        <v>5</v>
      </c>
    </row>
    <row r="40" spans="1:17">
      <c r="A40" s="69" t="s">
        <v>2512</v>
      </c>
      <c r="B40" s="70">
        <f>SUMIF('CHIRP Payment Calc'!H:H,A40,'CHIRP Payment Calc'!L:L)</f>
        <v>-787860.57000000007</v>
      </c>
      <c r="C40" s="70">
        <f>SUMIF('CHIRP Payment Calc'!H:H,A40,'CHIRP Payment Calc'!M:M)</f>
        <v>1335930.27</v>
      </c>
      <c r="D40" s="70">
        <f>SUMIF('CHIRP Payment Calc'!H:H,A40,'CHIRP Payment Calc'!N:N)</f>
        <v>548069.69999999995</v>
      </c>
      <c r="E40" s="70">
        <f>SUMIF('CHIRP Payment Calc'!H:H,A40,'CHIRP Payment Calc'!I:I)</f>
        <v>5574955.216854143</v>
      </c>
      <c r="F40" s="70">
        <f>SUMIF('CHIRP Payment Calc'!H:H,A40,'CHIRP Payment Calc'!J:J)</f>
        <v>5754733.3878129097</v>
      </c>
      <c r="G40" s="70">
        <f>SUMIF('CHIRP Payment Calc'!H:H,A40,'CHIRP Payment Calc'!K:K)</f>
        <v>11329688.604667051</v>
      </c>
      <c r="H40" s="71">
        <f t="shared" si="5"/>
        <v>0</v>
      </c>
      <c r="I40" s="71">
        <f t="shared" si="6"/>
        <v>0.23</v>
      </c>
      <c r="J40" s="72">
        <f t="shared" si="10"/>
        <v>0</v>
      </c>
      <c r="K40" s="72">
        <f t="shared" si="11"/>
        <v>1323588.6791969694</v>
      </c>
      <c r="L40" s="72">
        <f t="shared" si="7"/>
        <v>1323588.6791969694</v>
      </c>
      <c r="M40" s="72">
        <f>SUMIF('CHIRP Payment Calc'!H:H,A40,'CHIRP Payment Calc'!AJ:AJ)</f>
        <v>0</v>
      </c>
      <c r="N40" s="72">
        <f>SUMIF('CHIRP Payment Calc'!H:H,A40,'CHIRP Payment Calc'!AK:AK)</f>
        <v>2220709.3770361831</v>
      </c>
      <c r="O40" s="70">
        <f t="shared" si="8"/>
        <v>2220709.3770361831</v>
      </c>
      <c r="P40" s="72">
        <f t="shared" si="9"/>
        <v>3544298.0562331527</v>
      </c>
      <c r="Q40" s="74">
        <f>COUNTIF('CHIRP Payment Calc'!H:H,A40)</f>
        <v>4</v>
      </c>
    </row>
    <row r="41" spans="1:17">
      <c r="A41" s="69" t="s">
        <v>2513</v>
      </c>
      <c r="B41" s="70">
        <f>SUMIF('CHIRP Payment Calc'!H:H,A41,'CHIRP Payment Calc'!L:L)</f>
        <v>601030.64</v>
      </c>
      <c r="C41" s="70">
        <f>SUMIF('CHIRP Payment Calc'!H:H,A41,'CHIRP Payment Calc'!M:M)</f>
        <v>1230505.1399999999</v>
      </c>
      <c r="D41" s="70">
        <f>SUMIF('CHIRP Payment Calc'!H:H,A41,'CHIRP Payment Calc'!N:N)</f>
        <v>1831535.7799999998</v>
      </c>
      <c r="E41" s="70">
        <f>SUMIF('CHIRP Payment Calc'!H:H,A41,'CHIRP Payment Calc'!I:I)</f>
        <v>3136408.7450646367</v>
      </c>
      <c r="F41" s="70">
        <f>SUMIF('CHIRP Payment Calc'!H:H,A41,'CHIRP Payment Calc'!J:J)</f>
        <v>2667185.1788784461</v>
      </c>
      <c r="G41" s="70">
        <f>SUMIF('CHIRP Payment Calc'!H:H,A41,'CHIRP Payment Calc'!K:K)</f>
        <v>5803593.9239430828</v>
      </c>
      <c r="H41" s="71">
        <f t="shared" si="5"/>
        <v>0.19</v>
      </c>
      <c r="I41" s="71">
        <f t="shared" si="6"/>
        <v>0.46</v>
      </c>
      <c r="J41" s="72">
        <f t="shared" si="10"/>
        <v>595917.66156228096</v>
      </c>
      <c r="K41" s="72">
        <f t="shared" si="11"/>
        <v>1226905.1822840853</v>
      </c>
      <c r="L41" s="72">
        <f t="shared" si="7"/>
        <v>1822822.8438463663</v>
      </c>
      <c r="M41" s="72">
        <f>SUMIF('CHIRP Payment Calc'!H:H,A41,'CHIRP Payment Calc'!AJ:AJ)</f>
        <v>3700962.3191762711</v>
      </c>
      <c r="N41" s="72">
        <f>SUMIF('CHIRP Payment Calc'!H:H,A41,'CHIRP Payment Calc'!AK:AK)</f>
        <v>1626982.9591158521</v>
      </c>
      <c r="O41" s="70">
        <f t="shared" si="8"/>
        <v>5327945.2782921232</v>
      </c>
      <c r="P41" s="72">
        <f t="shared" si="9"/>
        <v>7150768.122138489</v>
      </c>
      <c r="Q41" s="74">
        <f>COUNTIF('CHIRP Payment Calc'!H:H,A41)</f>
        <v>1</v>
      </c>
    </row>
    <row r="42" spans="1:17">
      <c r="A42" s="69" t="s">
        <v>2514</v>
      </c>
      <c r="B42" s="70">
        <f>SUMIF('CHIRP Payment Calc'!H:H,A42,'CHIRP Payment Calc'!L:L)</f>
        <v>1623649.1</v>
      </c>
      <c r="C42" s="70">
        <f>SUMIF('CHIRP Payment Calc'!H:H,A42,'CHIRP Payment Calc'!M:M)</f>
        <v>1281491.53</v>
      </c>
      <c r="D42" s="70">
        <f>SUMIF('CHIRP Payment Calc'!H:H,A42,'CHIRP Payment Calc'!N:N)</f>
        <v>2905140.63</v>
      </c>
      <c r="E42" s="70">
        <f>SUMIF('CHIRP Payment Calc'!H:H,A42,'CHIRP Payment Calc'!I:I)</f>
        <v>8184474.1287197545</v>
      </c>
      <c r="F42" s="70">
        <f>SUMIF('CHIRP Payment Calc'!H:H,A42,'CHIRP Payment Calc'!J:J)</f>
        <v>9178649.6881089285</v>
      </c>
      <c r="G42" s="70">
        <f>SUMIF('CHIRP Payment Calc'!H:H,A42,'CHIRP Payment Calc'!K:K)</f>
        <v>17363123.816828683</v>
      </c>
      <c r="H42" s="71">
        <f t="shared" si="5"/>
        <v>0.2</v>
      </c>
      <c r="I42" s="71">
        <f t="shared" si="6"/>
        <v>0.14000000000000001</v>
      </c>
      <c r="J42" s="72">
        <f t="shared" si="10"/>
        <v>1636894.8257439509</v>
      </c>
      <c r="K42" s="72">
        <f t="shared" si="11"/>
        <v>1285010.9563352501</v>
      </c>
      <c r="L42" s="72">
        <f t="shared" si="7"/>
        <v>2921905.7820792012</v>
      </c>
      <c r="M42" s="72">
        <f>SUMIF('CHIRP Payment Calc'!H:H,A42,'CHIRP Payment Calc'!AJ:AJ)</f>
        <v>0</v>
      </c>
      <c r="N42" s="72">
        <f>SUMIF('CHIRP Payment Calc'!H:H,A42,'CHIRP Payment Calc'!AK:AK)</f>
        <v>3234088.8833897249</v>
      </c>
      <c r="O42" s="70">
        <f t="shared" si="8"/>
        <v>3234088.8833897249</v>
      </c>
      <c r="P42" s="72">
        <f t="shared" si="9"/>
        <v>6155994.6654689256</v>
      </c>
      <c r="Q42" s="74">
        <f>COUNTIF('CHIRP Payment Calc'!H:H,A42)</f>
        <v>6</v>
      </c>
    </row>
    <row r="43" spans="1:17">
      <c r="A43" s="69" t="s">
        <v>2515</v>
      </c>
      <c r="B43" s="70">
        <f>SUMIF('CHIRP Payment Calc'!H:H,A43,'CHIRP Payment Calc'!L:L)</f>
        <v>231898.2</v>
      </c>
      <c r="C43" s="70">
        <f>SUMIF('CHIRP Payment Calc'!H:H,A43,'CHIRP Payment Calc'!M:M)</f>
        <v>905724.12</v>
      </c>
      <c r="D43" s="70">
        <f>SUMIF('CHIRP Payment Calc'!H:H,A43,'CHIRP Payment Calc'!N:N)</f>
        <v>1137622.32</v>
      </c>
      <c r="E43" s="70">
        <f>SUMIF('CHIRP Payment Calc'!H:H,A43,'CHIRP Payment Calc'!I:I)</f>
        <v>4891327.7624265272</v>
      </c>
      <c r="F43" s="70">
        <f>SUMIF('CHIRP Payment Calc'!H:H,A43,'CHIRP Payment Calc'!J:J)</f>
        <v>4143072.6430739132</v>
      </c>
      <c r="G43" s="70">
        <f>SUMIF('CHIRP Payment Calc'!H:H,A43,'CHIRP Payment Calc'!K:K)</f>
        <v>9034400.4055004418</v>
      </c>
      <c r="H43" s="71">
        <f t="shared" si="5"/>
        <v>0.05</v>
      </c>
      <c r="I43" s="71">
        <f t="shared" si="6"/>
        <v>0.22</v>
      </c>
      <c r="J43" s="72">
        <f t="shared" si="10"/>
        <v>244566.38812132637</v>
      </c>
      <c r="K43" s="72">
        <f t="shared" si="11"/>
        <v>911475.98147626093</v>
      </c>
      <c r="L43" s="72">
        <f t="shared" si="7"/>
        <v>1156042.3695975873</v>
      </c>
      <c r="M43" s="72">
        <f>SUMIF('CHIRP Payment Calc'!H:H,A43,'CHIRP Payment Calc'!AJ:AJ)</f>
        <v>1252866.4988978524</v>
      </c>
      <c r="N43" s="72">
        <f>SUMIF('CHIRP Payment Calc'!H:H,A43,'CHIRP Payment Calc'!AK:AK)</f>
        <v>410745.932700039</v>
      </c>
      <c r="O43" s="70">
        <f t="shared" si="8"/>
        <v>1663612.4315978913</v>
      </c>
      <c r="P43" s="72">
        <f t="shared" si="9"/>
        <v>2819654.8011954785</v>
      </c>
      <c r="Q43" s="74">
        <f>COUNTIF('CHIRP Payment Calc'!H:H,A43)</f>
        <v>5</v>
      </c>
    </row>
    <row r="44" spans="1:17">
      <c r="A44" s="69" t="s">
        <v>2516</v>
      </c>
      <c r="B44" s="70">
        <f>SUMIF('CHIRP Payment Calc'!H:H,A44,'CHIRP Payment Calc'!L:L)</f>
        <v>1307644.71</v>
      </c>
      <c r="C44" s="70">
        <f>SUMIF('CHIRP Payment Calc'!H:H,A44,'CHIRP Payment Calc'!M:M)</f>
        <v>634503.65</v>
      </c>
      <c r="D44" s="70">
        <f>SUMIF('CHIRP Payment Calc'!H:H,A44,'CHIRP Payment Calc'!N:N)</f>
        <v>1942148.3599999999</v>
      </c>
      <c r="E44" s="70">
        <f>SUMIF('CHIRP Payment Calc'!H:H,A44,'CHIRP Payment Calc'!I:I)</f>
        <v>2489256.3616559664</v>
      </c>
      <c r="F44" s="70">
        <f>SUMIF('CHIRP Payment Calc'!H:H,A44,'CHIRP Payment Calc'!J:J)</f>
        <v>6313537.2723490167</v>
      </c>
      <c r="G44" s="70">
        <f>SUMIF('CHIRP Payment Calc'!H:H,A44,'CHIRP Payment Calc'!K:K)</f>
        <v>8802793.6340049841</v>
      </c>
      <c r="H44" s="71">
        <f t="shared" si="5"/>
        <v>0.53</v>
      </c>
      <c r="I44" s="71">
        <f t="shared" si="6"/>
        <v>0.1</v>
      </c>
      <c r="J44" s="72">
        <f t="shared" si="10"/>
        <v>1319305.8716776622</v>
      </c>
      <c r="K44" s="72">
        <f t="shared" si="11"/>
        <v>631353.72723490174</v>
      </c>
      <c r="L44" s="72">
        <f t="shared" si="7"/>
        <v>1950659.5989125641</v>
      </c>
      <c r="M44" s="72">
        <f>SUMIF('CHIRP Payment Calc'!H:H,A44,'CHIRP Payment Calc'!AJ:AJ)</f>
        <v>0</v>
      </c>
      <c r="N44" s="72">
        <f>SUMIF('CHIRP Payment Calc'!H:H,A44,'CHIRP Payment Calc'!AK:AK)</f>
        <v>1084725.406924356</v>
      </c>
      <c r="O44" s="70">
        <f t="shared" si="8"/>
        <v>1084725.406924356</v>
      </c>
      <c r="P44" s="72">
        <f t="shared" si="9"/>
        <v>3035385.0058369199</v>
      </c>
      <c r="Q44" s="74">
        <f>COUNTIF('CHIRP Payment Calc'!H:H,A44)</f>
        <v>3</v>
      </c>
    </row>
    <row r="45" spans="1:17">
      <c r="A45" s="69" t="s">
        <v>2517</v>
      </c>
      <c r="B45" s="70">
        <f>SUMIF('CHIRP Payment Calc'!H:H,A45,'CHIRP Payment Calc'!L:L)</f>
        <v>4683245.12</v>
      </c>
      <c r="C45" s="70">
        <f>SUMIF('CHIRP Payment Calc'!H:H,A45,'CHIRP Payment Calc'!M:M)</f>
        <v>1707272.26</v>
      </c>
      <c r="D45" s="70">
        <f>SUMIF('CHIRP Payment Calc'!H:H,A45,'CHIRP Payment Calc'!N:N)</f>
        <v>6390517.3800000008</v>
      </c>
      <c r="E45" s="70">
        <f>SUMIF('CHIRP Payment Calc'!H:H,A45,'CHIRP Payment Calc'!I:I)</f>
        <v>7614734.652888108</v>
      </c>
      <c r="F45" s="70">
        <f>SUMIF('CHIRP Payment Calc'!H:H,A45,'CHIRP Payment Calc'!J:J)</f>
        <v>8728298.3613029644</v>
      </c>
      <c r="G45" s="70">
        <f>SUMIF('CHIRP Payment Calc'!H:H,A45,'CHIRP Payment Calc'!K:K)</f>
        <v>16343033.014191076</v>
      </c>
      <c r="H45" s="71">
        <f t="shared" si="5"/>
        <v>0.62</v>
      </c>
      <c r="I45" s="71">
        <f t="shared" si="6"/>
        <v>0.2</v>
      </c>
      <c r="J45" s="72">
        <f t="shared" si="10"/>
        <v>4721135.4847906269</v>
      </c>
      <c r="K45" s="72">
        <f t="shared" si="11"/>
        <v>1745659.6722605929</v>
      </c>
      <c r="L45" s="72">
        <f t="shared" si="7"/>
        <v>6466795.1570512196</v>
      </c>
      <c r="M45" s="72">
        <f>SUMIF('CHIRP Payment Calc'!H:H,A45,'CHIRP Payment Calc'!AJ:AJ)</f>
        <v>0</v>
      </c>
      <c r="N45" s="72">
        <f>SUMIF('CHIRP Payment Calc'!H:H,A45,'CHIRP Payment Calc'!AK:AK)</f>
        <v>1326546.4397741463</v>
      </c>
      <c r="O45" s="70">
        <f t="shared" si="8"/>
        <v>1326546.4397741463</v>
      </c>
      <c r="P45" s="72">
        <f t="shared" si="9"/>
        <v>7793341.5968253659</v>
      </c>
      <c r="Q45" s="74">
        <f>COUNTIF('CHIRP Payment Calc'!H:H,A45)</f>
        <v>9</v>
      </c>
    </row>
    <row r="46" spans="1:17">
      <c r="A46" s="69" t="s">
        <v>2518</v>
      </c>
      <c r="B46" s="70">
        <f>SUMIF('CHIRP Payment Calc'!H:H,A46,'CHIRP Payment Calc'!L:L)</f>
        <v>1433512.03</v>
      </c>
      <c r="C46" s="70">
        <f>SUMIF('CHIRP Payment Calc'!H:H,A46,'CHIRP Payment Calc'!M:M)</f>
        <v>0</v>
      </c>
      <c r="D46" s="70">
        <f>SUMIF('CHIRP Payment Calc'!H:H,A46,'CHIRP Payment Calc'!N:N)</f>
        <v>1433512.03</v>
      </c>
      <c r="E46" s="70">
        <f>SUMIF('CHIRP Payment Calc'!H:H,A46,'CHIRP Payment Calc'!I:I)</f>
        <v>4873118.982326909</v>
      </c>
      <c r="F46" s="70">
        <f>SUMIF('CHIRP Payment Calc'!H:H,A46,'CHIRP Payment Calc'!J:J)</f>
        <v>0</v>
      </c>
      <c r="G46" s="70">
        <f>SUMIF('CHIRP Payment Calc'!H:H,A46,'CHIRP Payment Calc'!K:K)</f>
        <v>4873118.982326909</v>
      </c>
      <c r="H46" s="71">
        <f t="shared" si="5"/>
        <v>0.28999999999999998</v>
      </c>
      <c r="I46" s="71">
        <f t="shared" si="6"/>
        <v>0</v>
      </c>
      <c r="J46" s="72">
        <f t="shared" si="10"/>
        <v>1413204.5048748036</v>
      </c>
      <c r="K46" s="72">
        <f t="shared" si="11"/>
        <v>0</v>
      </c>
      <c r="L46" s="72">
        <f t="shared" si="7"/>
        <v>1413204.5048748036</v>
      </c>
      <c r="M46" s="72">
        <f>SUMIF('CHIRP Payment Calc'!H:H,A46,'CHIRP Payment Calc'!AJ:AJ)</f>
        <v>0</v>
      </c>
      <c r="N46" s="72">
        <f>SUMIF('CHIRP Payment Calc'!H:H,A46,'CHIRP Payment Calc'!AK:AK)</f>
        <v>0</v>
      </c>
      <c r="O46" s="70">
        <f t="shared" si="8"/>
        <v>0</v>
      </c>
      <c r="P46" s="72">
        <f t="shared" si="9"/>
        <v>1413204.5048748036</v>
      </c>
      <c r="Q46" s="74">
        <f>COUNTIF('CHIRP Payment Calc'!H:H,A46)</f>
        <v>6</v>
      </c>
    </row>
    <row r="47" spans="1:17">
      <c r="A47" s="69" t="s">
        <v>2519</v>
      </c>
      <c r="B47" s="70">
        <f>SUMIF('CHIRP Payment Calc'!H:H,A47,'CHIRP Payment Calc'!L:L)</f>
        <v>323863.51</v>
      </c>
      <c r="C47" s="70">
        <f>SUMIF('CHIRP Payment Calc'!H:H,A47,'CHIRP Payment Calc'!M:M)</f>
        <v>0</v>
      </c>
      <c r="D47" s="70">
        <f>SUMIF('CHIRP Payment Calc'!H:H,A47,'CHIRP Payment Calc'!N:N)</f>
        <v>323863.51</v>
      </c>
      <c r="E47" s="70">
        <f>SUMIF('CHIRP Payment Calc'!H:H,A47,'CHIRP Payment Calc'!I:I)</f>
        <v>2563439.2429037536</v>
      </c>
      <c r="F47" s="70">
        <f>SUMIF('CHIRP Payment Calc'!H:H,A47,'CHIRP Payment Calc'!J:J)</f>
        <v>0</v>
      </c>
      <c r="G47" s="70">
        <f>SUMIF('CHIRP Payment Calc'!H:H,A47,'CHIRP Payment Calc'!K:K)</f>
        <v>2563439.2429037536</v>
      </c>
      <c r="H47" s="71">
        <f t="shared" si="5"/>
        <v>0.13</v>
      </c>
      <c r="I47" s="71">
        <f t="shared" si="6"/>
        <v>0</v>
      </c>
      <c r="J47" s="72">
        <f t="shared" si="10"/>
        <v>333247.10157748801</v>
      </c>
      <c r="K47" s="72">
        <f t="shared" si="11"/>
        <v>0</v>
      </c>
      <c r="L47" s="72">
        <f t="shared" si="7"/>
        <v>333247.10157748801</v>
      </c>
      <c r="M47" s="72">
        <f>SUMIF('CHIRP Payment Calc'!H:H,A47,'CHIRP Payment Calc'!AJ:AJ)</f>
        <v>0</v>
      </c>
      <c r="N47" s="72">
        <f>SUMIF('CHIRP Payment Calc'!H:H,A47,'CHIRP Payment Calc'!AK:AK)</f>
        <v>0</v>
      </c>
      <c r="O47" s="70">
        <f t="shared" si="8"/>
        <v>0</v>
      </c>
      <c r="P47" s="72">
        <f t="shared" si="9"/>
        <v>333247.10157748801</v>
      </c>
      <c r="Q47" s="74">
        <f>COUNTIF('CHIRP Payment Calc'!H:H,A47)</f>
        <v>1</v>
      </c>
    </row>
    <row r="48" spans="1:17">
      <c r="A48" s="69" t="s">
        <v>2520</v>
      </c>
      <c r="B48" s="70">
        <f>SUMIF('CHIRP Payment Calc'!H:H,A48,'CHIRP Payment Calc'!L:L)</f>
        <v>1146972.3500000001</v>
      </c>
      <c r="C48" s="70">
        <f>SUMIF('CHIRP Payment Calc'!H:H,A48,'CHIRP Payment Calc'!M:M)</f>
        <v>1528929.28</v>
      </c>
      <c r="D48" s="70">
        <f>SUMIF('CHIRP Payment Calc'!H:H,A48,'CHIRP Payment Calc'!N:N)</f>
        <v>2675901.63</v>
      </c>
      <c r="E48" s="70">
        <f>SUMIF('CHIRP Payment Calc'!H:H,A48,'CHIRP Payment Calc'!I:I)</f>
        <v>10576729.577078573</v>
      </c>
      <c r="F48" s="70">
        <f>SUMIF('CHIRP Payment Calc'!H:H,A48,'CHIRP Payment Calc'!J:J)</f>
        <v>16186446.245522758</v>
      </c>
      <c r="G48" s="70">
        <f>SUMIF('CHIRP Payment Calc'!H:H,A48,'CHIRP Payment Calc'!K:K)</f>
        <v>26763175.822601333</v>
      </c>
      <c r="H48" s="71">
        <f t="shared" si="5"/>
        <v>0.11</v>
      </c>
      <c r="I48" s="71">
        <f t="shared" si="6"/>
        <v>0.09</v>
      </c>
      <c r="J48" s="72">
        <f t="shared" si="10"/>
        <v>1163440.253478643</v>
      </c>
      <c r="K48" s="72">
        <f t="shared" si="11"/>
        <v>1456780.1620970482</v>
      </c>
      <c r="L48" s="72">
        <f t="shared" si="7"/>
        <v>2620220.4155756915</v>
      </c>
      <c r="M48" s="72">
        <f>SUMIF('CHIRP Payment Calc'!H:H,A48,'CHIRP Payment Calc'!AJ:AJ)</f>
        <v>1204570.9772486319</v>
      </c>
      <c r="N48" s="72">
        <f>SUMIF('CHIRP Payment Calc'!H:H,A48,'CHIRP Payment Calc'!AK:AK)</f>
        <v>4498574.0380909331</v>
      </c>
      <c r="O48" s="70">
        <f t="shared" si="8"/>
        <v>5703145.0153395645</v>
      </c>
      <c r="P48" s="72">
        <f t="shared" si="9"/>
        <v>8323365.430915256</v>
      </c>
      <c r="Q48" s="74">
        <f>COUNTIF('CHIRP Payment Calc'!H:H,A48)</f>
        <v>24</v>
      </c>
    </row>
    <row r="49" spans="1:17">
      <c r="A49" s="69" t="s">
        <v>2521</v>
      </c>
      <c r="B49" s="70">
        <f>SUMIF('CHIRP Payment Calc'!H:H,A49,'CHIRP Payment Calc'!L:L)</f>
        <v>1282893.6100000001</v>
      </c>
      <c r="C49" s="70">
        <f>SUMIF('CHIRP Payment Calc'!H:H,A49,'CHIRP Payment Calc'!M:M)</f>
        <v>0</v>
      </c>
      <c r="D49" s="70">
        <f>SUMIF('CHIRP Payment Calc'!H:H,A49,'CHIRP Payment Calc'!N:N)</f>
        <v>1282893.6100000001</v>
      </c>
      <c r="E49" s="70">
        <f>SUMIF('CHIRP Payment Calc'!H:H,A49,'CHIRP Payment Calc'!I:I)</f>
        <v>2330625.7615446094</v>
      </c>
      <c r="F49" s="70">
        <f>SUMIF('CHIRP Payment Calc'!H:H,A49,'CHIRP Payment Calc'!J:J)</f>
        <v>0</v>
      </c>
      <c r="G49" s="70">
        <f>SUMIF('CHIRP Payment Calc'!H:H,A49,'CHIRP Payment Calc'!K:K)</f>
        <v>2330625.7615446094</v>
      </c>
      <c r="H49" s="71">
        <f t="shared" si="5"/>
        <v>0.55000000000000004</v>
      </c>
      <c r="I49" s="71">
        <f t="shared" si="6"/>
        <v>0</v>
      </c>
      <c r="J49" s="72">
        <f t="shared" si="10"/>
        <v>1281844.1688495353</v>
      </c>
      <c r="K49" s="72">
        <f t="shared" si="11"/>
        <v>0</v>
      </c>
      <c r="L49" s="72">
        <f t="shared" si="7"/>
        <v>1281844.1688495353</v>
      </c>
      <c r="M49" s="72">
        <f>SUMIF('CHIRP Payment Calc'!H:H,A49,'CHIRP Payment Calc'!AJ:AJ)</f>
        <v>0</v>
      </c>
      <c r="N49" s="72">
        <f>SUMIF('CHIRP Payment Calc'!H:H,A49,'CHIRP Payment Calc'!AK:AK)</f>
        <v>0</v>
      </c>
      <c r="O49" s="70">
        <f t="shared" si="8"/>
        <v>0</v>
      </c>
      <c r="P49" s="72">
        <f t="shared" si="9"/>
        <v>1281844.1688495353</v>
      </c>
      <c r="Q49" s="74">
        <f>COUNTIF('CHIRP Payment Calc'!H:H,A49)</f>
        <v>2</v>
      </c>
    </row>
    <row r="50" spans="1:17">
      <c r="A50" s="69" t="s">
        <v>2522</v>
      </c>
      <c r="B50" s="70">
        <f>SUMIF('CHIRP Payment Calc'!H:H,A50,'CHIRP Payment Calc'!L:L)</f>
        <v>0</v>
      </c>
      <c r="C50" s="70">
        <f>SUMIF('CHIRP Payment Calc'!H:H,A50,'CHIRP Payment Calc'!M:M)</f>
        <v>0</v>
      </c>
      <c r="D50" s="70">
        <f>SUMIF('CHIRP Payment Calc'!H:H,A50,'CHIRP Payment Calc'!N:N)</f>
        <v>0</v>
      </c>
      <c r="E50" s="70">
        <f>SUMIF('CHIRP Payment Calc'!H:H,A50,'CHIRP Payment Calc'!I:I)</f>
        <v>0</v>
      </c>
      <c r="F50" s="70">
        <f>SUMIF('CHIRP Payment Calc'!H:H,A50,'CHIRP Payment Calc'!J:J)</f>
        <v>0</v>
      </c>
      <c r="G50" s="70">
        <f>SUMIF('CHIRP Payment Calc'!H:H,A50,'CHIRP Payment Calc'!K:K)</f>
        <v>0</v>
      </c>
      <c r="H50" s="71">
        <f t="shared" si="5"/>
        <v>0</v>
      </c>
      <c r="I50" s="71">
        <f t="shared" si="6"/>
        <v>0</v>
      </c>
      <c r="J50" s="72">
        <f t="shared" si="10"/>
        <v>0</v>
      </c>
      <c r="K50" s="72">
        <f t="shared" si="11"/>
        <v>0</v>
      </c>
      <c r="L50" s="72">
        <f t="shared" si="7"/>
        <v>0</v>
      </c>
      <c r="M50" s="72">
        <f>SUMIF('CHIRP Payment Calc'!H:H,A50,'CHIRP Payment Calc'!AJ:AJ)</f>
        <v>0</v>
      </c>
      <c r="N50" s="72">
        <f>SUMIF('CHIRP Payment Calc'!H:H,A50,'CHIRP Payment Calc'!AK:AK)</f>
        <v>0</v>
      </c>
      <c r="O50" s="70">
        <f t="shared" si="8"/>
        <v>0</v>
      </c>
      <c r="P50" s="72">
        <f t="shared" si="9"/>
        <v>0</v>
      </c>
      <c r="Q50" s="74">
        <f>COUNTIF('CHIRP Payment Calc'!H:H,A50)</f>
        <v>0</v>
      </c>
    </row>
    <row r="51" spans="1:17">
      <c r="A51" s="69" t="s">
        <v>2523</v>
      </c>
      <c r="B51" s="70">
        <f>SUMIF('CHIRP Payment Calc'!H:H,A51,'CHIRP Payment Calc'!L:L)</f>
        <v>932316.91999999993</v>
      </c>
      <c r="C51" s="70">
        <f>SUMIF('CHIRP Payment Calc'!H:H,A51,'CHIRP Payment Calc'!M:M)</f>
        <v>0</v>
      </c>
      <c r="D51" s="70">
        <f>SUMIF('CHIRP Payment Calc'!H:H,A51,'CHIRP Payment Calc'!N:N)</f>
        <v>932316.91999999993</v>
      </c>
      <c r="E51" s="70">
        <f>SUMIF('CHIRP Payment Calc'!H:H,A51,'CHIRP Payment Calc'!I:I)</f>
        <v>5414839.1809754735</v>
      </c>
      <c r="F51" s="70">
        <f>SUMIF('CHIRP Payment Calc'!H:H,A51,'CHIRP Payment Calc'!J:J)</f>
        <v>0</v>
      </c>
      <c r="G51" s="70">
        <f>SUMIF('CHIRP Payment Calc'!H:H,A51,'CHIRP Payment Calc'!K:K)</f>
        <v>5414839.1809754735</v>
      </c>
      <c r="H51" s="71">
        <f t="shared" si="5"/>
        <v>0.17</v>
      </c>
      <c r="I51" s="71">
        <f t="shared" si="6"/>
        <v>0</v>
      </c>
      <c r="J51" s="72">
        <f t="shared" si="10"/>
        <v>920522.66076583054</v>
      </c>
      <c r="K51" s="72">
        <f t="shared" si="11"/>
        <v>0</v>
      </c>
      <c r="L51" s="72">
        <f t="shared" si="7"/>
        <v>920522.66076583054</v>
      </c>
      <c r="M51" s="72">
        <f>SUMIF('CHIRP Payment Calc'!H:H,A51,'CHIRP Payment Calc'!AJ:AJ)</f>
        <v>0</v>
      </c>
      <c r="N51" s="72">
        <f>SUMIF('CHIRP Payment Calc'!H:H,A51,'CHIRP Payment Calc'!AK:AK)</f>
        <v>0</v>
      </c>
      <c r="O51" s="70">
        <f t="shared" si="8"/>
        <v>0</v>
      </c>
      <c r="P51" s="72">
        <f t="shared" si="9"/>
        <v>920522.66076583054</v>
      </c>
      <c r="Q51" s="74">
        <f>COUNTIF('CHIRP Payment Calc'!H:H,A51)</f>
        <v>4</v>
      </c>
    </row>
    <row r="52" spans="1:17">
      <c r="A52" s="69" t="s">
        <v>2524</v>
      </c>
      <c r="B52" s="70">
        <f>SUMIF('CHIRP Payment Calc'!H:H,A52,'CHIRP Payment Calc'!L:L)</f>
        <v>53210.38</v>
      </c>
      <c r="C52" s="70">
        <f>SUMIF('CHIRP Payment Calc'!H:H,A52,'CHIRP Payment Calc'!M:M)</f>
        <v>0</v>
      </c>
      <c r="D52" s="70">
        <f>SUMIF('CHIRP Payment Calc'!H:H,A52,'CHIRP Payment Calc'!N:N)</f>
        <v>53210.38</v>
      </c>
      <c r="E52" s="70">
        <f>SUMIF('CHIRP Payment Calc'!H:H,A52,'CHIRP Payment Calc'!I:I)</f>
        <v>280548.32437879522</v>
      </c>
      <c r="F52" s="70">
        <f>SUMIF('CHIRP Payment Calc'!H:H,A52,'CHIRP Payment Calc'!J:J)</f>
        <v>0</v>
      </c>
      <c r="G52" s="70">
        <f>SUMIF('CHIRP Payment Calc'!H:H,A52,'CHIRP Payment Calc'!K:K)</f>
        <v>280548.32437879522</v>
      </c>
      <c r="H52" s="71">
        <f t="shared" si="5"/>
        <v>0.19</v>
      </c>
      <c r="I52" s="71">
        <f t="shared" si="6"/>
        <v>0</v>
      </c>
      <c r="J52" s="72">
        <f t="shared" si="10"/>
        <v>53304.181631971092</v>
      </c>
      <c r="K52" s="72">
        <f t="shared" si="11"/>
        <v>0</v>
      </c>
      <c r="L52" s="72">
        <f t="shared" si="7"/>
        <v>53304.181631971092</v>
      </c>
      <c r="M52" s="72">
        <f>SUMIF('CHIRP Payment Calc'!H:H,A52,'CHIRP Payment Calc'!AJ:AJ)</f>
        <v>0</v>
      </c>
      <c r="N52" s="72">
        <f>SUMIF('CHIRP Payment Calc'!H:H,A52,'CHIRP Payment Calc'!AK:AK)</f>
        <v>0</v>
      </c>
      <c r="O52" s="70">
        <f t="shared" si="8"/>
        <v>0</v>
      </c>
      <c r="P52" s="72">
        <f t="shared" si="9"/>
        <v>53304.181631971092</v>
      </c>
      <c r="Q52" s="74">
        <f>COUNTIF('CHIRP Payment Calc'!H:H,A52)</f>
        <v>1</v>
      </c>
    </row>
    <row r="53" spans="1:17">
      <c r="A53" s="69" t="s">
        <v>2525</v>
      </c>
      <c r="B53" s="70">
        <f>SUMIF('CHIRP Payment Calc'!H:H,A53,'CHIRP Payment Calc'!L:L)</f>
        <v>350612</v>
      </c>
      <c r="C53" s="70">
        <f>SUMIF('CHIRP Payment Calc'!H:H,A53,'CHIRP Payment Calc'!M:M)</f>
        <v>0</v>
      </c>
      <c r="D53" s="70">
        <f>SUMIF('CHIRP Payment Calc'!H:H,A53,'CHIRP Payment Calc'!N:N)</f>
        <v>350612</v>
      </c>
      <c r="E53" s="70">
        <f>SUMIF('CHIRP Payment Calc'!H:H,A53,'CHIRP Payment Calc'!I:I)</f>
        <v>137454.67531284908</v>
      </c>
      <c r="F53" s="70">
        <f>SUMIF('CHIRP Payment Calc'!H:H,A53,'CHIRP Payment Calc'!J:J)</f>
        <v>0</v>
      </c>
      <c r="G53" s="70">
        <f>SUMIF('CHIRP Payment Calc'!H:H,A53,'CHIRP Payment Calc'!K:K)</f>
        <v>137454.67531284908</v>
      </c>
      <c r="H53" s="71">
        <f t="shared" si="5"/>
        <v>2.5499999999999998</v>
      </c>
      <c r="I53" s="71">
        <f t="shared" si="6"/>
        <v>0</v>
      </c>
      <c r="J53" s="72">
        <f t="shared" si="10"/>
        <v>350509.42204776511</v>
      </c>
      <c r="K53" s="72">
        <f t="shared" si="11"/>
        <v>0</v>
      </c>
      <c r="L53" s="72">
        <f t="shared" si="7"/>
        <v>350509.42204776511</v>
      </c>
      <c r="M53" s="72">
        <f>SUMIF('CHIRP Payment Calc'!H:H,A53,'CHIRP Payment Calc'!AJ:AJ)</f>
        <v>0</v>
      </c>
      <c r="N53" s="72">
        <f>SUMIF('CHIRP Payment Calc'!H:H,A53,'CHIRP Payment Calc'!AK:AK)</f>
        <v>0</v>
      </c>
      <c r="O53" s="70">
        <f t="shared" si="8"/>
        <v>0</v>
      </c>
      <c r="P53" s="72">
        <f t="shared" si="9"/>
        <v>350509.42204776511</v>
      </c>
      <c r="Q53" s="74">
        <f>COUNTIF('CHIRP Payment Calc'!H:H,A53)</f>
        <v>1</v>
      </c>
    </row>
    <row r="54" spans="1:17">
      <c r="A54" s="69" t="s">
        <v>2526</v>
      </c>
      <c r="B54" s="70">
        <f>SUMIF('CHIRP Payment Calc'!H:H,A54,'CHIRP Payment Calc'!L:L)</f>
        <v>1302672.6200000001</v>
      </c>
      <c r="C54" s="70">
        <f>SUMIF('CHIRP Payment Calc'!H:H,A54,'CHIRP Payment Calc'!M:M)</f>
        <v>0</v>
      </c>
      <c r="D54" s="70">
        <f>SUMIF('CHIRP Payment Calc'!H:H,A54,'CHIRP Payment Calc'!N:N)</f>
        <v>1302672.6200000001</v>
      </c>
      <c r="E54" s="70">
        <f>SUMIF('CHIRP Payment Calc'!H:H,A54,'CHIRP Payment Calc'!I:I)</f>
        <v>356082.10916071507</v>
      </c>
      <c r="F54" s="70">
        <f>SUMIF('CHIRP Payment Calc'!H:H,A54,'CHIRP Payment Calc'!J:J)</f>
        <v>0</v>
      </c>
      <c r="G54" s="70">
        <f>SUMIF('CHIRP Payment Calc'!H:H,A54,'CHIRP Payment Calc'!K:K)</f>
        <v>356082.10916071507</v>
      </c>
      <c r="H54" s="71">
        <f t="shared" si="5"/>
        <v>3.66</v>
      </c>
      <c r="I54" s="71">
        <f t="shared" si="6"/>
        <v>0</v>
      </c>
      <c r="J54" s="72">
        <f t="shared" si="10"/>
        <v>1303260.5195282171</v>
      </c>
      <c r="K54" s="72">
        <f t="shared" si="11"/>
        <v>0</v>
      </c>
      <c r="L54" s="72">
        <f t="shared" si="7"/>
        <v>1303260.5195282171</v>
      </c>
      <c r="M54" s="72">
        <f>SUMIF('CHIRP Payment Calc'!H:H,A54,'CHIRP Payment Calc'!AJ:AJ)</f>
        <v>0</v>
      </c>
      <c r="N54" s="72">
        <f>SUMIF('CHIRP Payment Calc'!H:H,A54,'CHIRP Payment Calc'!AK:AK)</f>
        <v>0</v>
      </c>
      <c r="O54" s="70">
        <f t="shared" si="8"/>
        <v>0</v>
      </c>
      <c r="P54" s="72">
        <f t="shared" si="9"/>
        <v>1303260.5195282171</v>
      </c>
      <c r="Q54" s="74">
        <f>COUNTIF('CHIRP Payment Calc'!H:H,A54)</f>
        <v>1</v>
      </c>
    </row>
    <row r="55" spans="1:17">
      <c r="A55" s="69" t="s">
        <v>2527</v>
      </c>
      <c r="B55" s="70">
        <f>SUMIF('CHIRP Payment Calc'!H:H,A55,'CHIRP Payment Calc'!L:L)</f>
        <v>882.6</v>
      </c>
      <c r="C55" s="70">
        <f>SUMIF('CHIRP Payment Calc'!H:H,A55,'CHIRP Payment Calc'!M:M)</f>
        <v>0</v>
      </c>
      <c r="D55" s="70">
        <f>SUMIF('CHIRP Payment Calc'!H:H,A55,'CHIRP Payment Calc'!N:N)</f>
        <v>882.6</v>
      </c>
      <c r="E55" s="70">
        <f>SUMIF('CHIRP Payment Calc'!H:H,A55,'CHIRP Payment Calc'!I:I)</f>
        <v>5872.5329898181408</v>
      </c>
      <c r="F55" s="70">
        <f>SUMIF('CHIRP Payment Calc'!H:H,A55,'CHIRP Payment Calc'!J:J)</f>
        <v>0</v>
      </c>
      <c r="G55" s="70">
        <f>SUMIF('CHIRP Payment Calc'!H:H,A55,'CHIRP Payment Calc'!K:K)</f>
        <v>5872.5329898181408</v>
      </c>
      <c r="H55" s="71">
        <f t="shared" si="5"/>
        <v>0.15</v>
      </c>
      <c r="I55" s="71">
        <f t="shared" si="6"/>
        <v>0</v>
      </c>
      <c r="J55" s="72">
        <f t="shared" si="10"/>
        <v>880.87994847272114</v>
      </c>
      <c r="K55" s="72">
        <f t="shared" si="11"/>
        <v>0</v>
      </c>
      <c r="L55" s="72">
        <f t="shared" si="7"/>
        <v>880.87994847272114</v>
      </c>
      <c r="M55" s="72">
        <f>SUMIF('CHIRP Payment Calc'!H:H,A55,'CHIRP Payment Calc'!AJ:AJ)</f>
        <v>0</v>
      </c>
      <c r="N55" s="72">
        <f>SUMIF('CHIRP Payment Calc'!H:H,A55,'CHIRP Payment Calc'!AK:AK)</f>
        <v>0</v>
      </c>
      <c r="O55" s="70">
        <f t="shared" si="8"/>
        <v>0</v>
      </c>
      <c r="P55" s="72">
        <f t="shared" si="9"/>
        <v>880.87994847272114</v>
      </c>
      <c r="Q55" s="74">
        <f>COUNTIF('CHIRP Payment Calc'!H:H,A55)</f>
        <v>1</v>
      </c>
    </row>
    <row r="56" spans="1:17">
      <c r="A56" s="69" t="s">
        <v>2528</v>
      </c>
      <c r="B56" s="70">
        <f>SUMIF('CHIRP Payment Calc'!H:H,A56,'CHIRP Payment Calc'!L:L)</f>
        <v>47146.92</v>
      </c>
      <c r="C56" s="70">
        <f>SUMIF('CHIRP Payment Calc'!H:H,A56,'CHIRP Payment Calc'!M:M)</f>
        <v>0</v>
      </c>
      <c r="D56" s="70">
        <f>SUMIF('CHIRP Payment Calc'!H:H,A56,'CHIRP Payment Calc'!N:N)</f>
        <v>47146.92</v>
      </c>
      <c r="E56" s="70">
        <f>SUMIF('CHIRP Payment Calc'!H:H,A56,'CHIRP Payment Calc'!I:I)</f>
        <v>127118.69229477836</v>
      </c>
      <c r="F56" s="70">
        <f>SUMIF('CHIRP Payment Calc'!H:H,A56,'CHIRP Payment Calc'!J:J)</f>
        <v>0</v>
      </c>
      <c r="G56" s="70">
        <f>SUMIF('CHIRP Payment Calc'!H:H,A56,'CHIRP Payment Calc'!K:K)</f>
        <v>127118.69229477836</v>
      </c>
      <c r="H56" s="71">
        <f t="shared" si="5"/>
        <v>0.37</v>
      </c>
      <c r="I56" s="71">
        <f t="shared" si="6"/>
        <v>0</v>
      </c>
      <c r="J56" s="72">
        <f t="shared" si="10"/>
        <v>47033.916149067991</v>
      </c>
      <c r="K56" s="72">
        <f t="shared" si="11"/>
        <v>0</v>
      </c>
      <c r="L56" s="72">
        <f t="shared" si="7"/>
        <v>47033.916149067991</v>
      </c>
      <c r="M56" s="72">
        <f>SUMIF('CHIRP Payment Calc'!H:H,A56,'CHIRP Payment Calc'!AJ:AJ)</f>
        <v>0</v>
      </c>
      <c r="N56" s="72">
        <f>SUMIF('CHIRP Payment Calc'!H:H,A56,'CHIRP Payment Calc'!AK:AK)</f>
        <v>0</v>
      </c>
      <c r="O56" s="70">
        <f t="shared" si="8"/>
        <v>0</v>
      </c>
      <c r="P56" s="72">
        <f t="shared" si="9"/>
        <v>47033.916149067991</v>
      </c>
      <c r="Q56" s="74">
        <f>COUNTIF('CHIRP Payment Calc'!H:H,A56)</f>
        <v>1</v>
      </c>
    </row>
    <row r="57" spans="1:17">
      <c r="A57" s="69" t="s">
        <v>2529</v>
      </c>
      <c r="B57" s="70">
        <f>SUMIF('CHIRP Payment Calc'!H:H,A57,'CHIRP Payment Calc'!L:L)</f>
        <v>192568.44</v>
      </c>
      <c r="C57" s="70">
        <f>SUMIF('CHIRP Payment Calc'!H:H,A57,'CHIRP Payment Calc'!M:M)</f>
        <v>0</v>
      </c>
      <c r="D57" s="70">
        <f>SUMIF('CHIRP Payment Calc'!H:H,A57,'CHIRP Payment Calc'!N:N)</f>
        <v>192568.44</v>
      </c>
      <c r="E57" s="70">
        <f>SUMIF('CHIRP Payment Calc'!H:H,A57,'CHIRP Payment Calc'!I:I)</f>
        <v>0</v>
      </c>
      <c r="F57" s="70">
        <f>SUMIF('CHIRP Payment Calc'!H:H,A57,'CHIRP Payment Calc'!J:J)</f>
        <v>0</v>
      </c>
      <c r="G57" s="70">
        <f>SUMIF('CHIRP Payment Calc'!H:H,A57,'CHIRP Payment Calc'!K:K)</f>
        <v>0</v>
      </c>
      <c r="H57" s="71">
        <f t="shared" si="5"/>
        <v>0</v>
      </c>
      <c r="I57" s="71">
        <f t="shared" si="6"/>
        <v>0</v>
      </c>
      <c r="J57" s="72">
        <f t="shared" si="10"/>
        <v>0</v>
      </c>
      <c r="K57" s="72">
        <f t="shared" si="11"/>
        <v>0</v>
      </c>
      <c r="L57" s="72">
        <f t="shared" si="7"/>
        <v>0</v>
      </c>
      <c r="M57" s="72">
        <f>SUMIF('CHIRP Payment Calc'!H:H,A57,'CHIRP Payment Calc'!AJ:AJ)</f>
        <v>0</v>
      </c>
      <c r="N57" s="72">
        <f>SUMIF('CHIRP Payment Calc'!H:H,A57,'CHIRP Payment Calc'!AK:AK)</f>
        <v>0</v>
      </c>
      <c r="O57" s="70">
        <f t="shared" si="8"/>
        <v>0</v>
      </c>
      <c r="P57" s="72">
        <f t="shared" si="9"/>
        <v>0</v>
      </c>
      <c r="Q57" s="74">
        <f>COUNTIF('CHIRP Payment Calc'!H:H,A57)</f>
        <v>1</v>
      </c>
    </row>
    <row r="58" spans="1:17">
      <c r="A58" s="69" t="s">
        <v>2530</v>
      </c>
      <c r="B58" s="70">
        <f>SUMIF('CHIRP Payment Calc'!H:H,A58,'CHIRP Payment Calc'!L:L)</f>
        <v>1361.6</v>
      </c>
      <c r="C58" s="70">
        <f>SUMIF('CHIRP Payment Calc'!H:H,A58,'CHIRP Payment Calc'!M:M)</f>
        <v>0</v>
      </c>
      <c r="D58" s="70">
        <f>SUMIF('CHIRP Payment Calc'!H:H,A58,'CHIRP Payment Calc'!N:N)</f>
        <v>1361.6</v>
      </c>
      <c r="E58" s="70">
        <f>SUMIF('CHIRP Payment Calc'!H:H,A58,'CHIRP Payment Calc'!I:I)</f>
        <v>3830.5887872679623</v>
      </c>
      <c r="F58" s="70">
        <f>SUMIF('CHIRP Payment Calc'!H:H,A58,'CHIRP Payment Calc'!J:J)</f>
        <v>0</v>
      </c>
      <c r="G58" s="70">
        <f>SUMIF('CHIRP Payment Calc'!H:H,A58,'CHIRP Payment Calc'!K:K)</f>
        <v>3830.5887872679623</v>
      </c>
      <c r="H58" s="71">
        <f t="shared" si="5"/>
        <v>0.36</v>
      </c>
      <c r="I58" s="71">
        <f t="shared" si="6"/>
        <v>0</v>
      </c>
      <c r="J58" s="72">
        <f>+H58*E58</f>
        <v>1379.0119634164664</v>
      </c>
      <c r="K58" s="72">
        <f t="shared" si="11"/>
        <v>0</v>
      </c>
      <c r="L58" s="72">
        <f t="shared" si="7"/>
        <v>1379.0119634164664</v>
      </c>
      <c r="M58" s="72">
        <f>SUMIF('CHIRP Payment Calc'!H:H,A58,'CHIRP Payment Calc'!AJ:AJ)</f>
        <v>0</v>
      </c>
      <c r="N58" s="72">
        <f>SUMIF('CHIRP Payment Calc'!H:H,A58,'CHIRP Payment Calc'!AK:AK)</f>
        <v>0</v>
      </c>
      <c r="O58" s="70">
        <f t="shared" si="8"/>
        <v>0</v>
      </c>
      <c r="P58" s="72">
        <f t="shared" si="9"/>
        <v>1379.0119634164664</v>
      </c>
      <c r="Q58" s="74">
        <f>COUNTIF('CHIRP Payment Calc'!H:H,A58)</f>
        <v>1</v>
      </c>
    </row>
    <row r="59" spans="1:17">
      <c r="A59" s="69" t="s">
        <v>2531</v>
      </c>
      <c r="B59" s="70">
        <f>SUMIF('CHIRP Payment Calc'!H:H,A59,'CHIRP Payment Calc'!L:L)</f>
        <v>0</v>
      </c>
      <c r="C59" s="70">
        <f>SUMIF('CHIRP Payment Calc'!H:H,A59,'CHIRP Payment Calc'!M:M)</f>
        <v>0</v>
      </c>
      <c r="D59" s="70">
        <f>SUMIF('CHIRP Payment Calc'!H:H,A59,'CHIRP Payment Calc'!N:N)</f>
        <v>0</v>
      </c>
      <c r="E59" s="70">
        <f>SUMIF('CHIRP Payment Calc'!H:H,A59,'CHIRP Payment Calc'!I:I)</f>
        <v>0</v>
      </c>
      <c r="F59" s="70">
        <f>SUMIF('CHIRP Payment Calc'!H:H,A59,'CHIRP Payment Calc'!J:J)</f>
        <v>0</v>
      </c>
      <c r="G59" s="70">
        <f>SUMIF('CHIRP Payment Calc'!H:H,A59,'CHIRP Payment Calc'!K:K)</f>
        <v>0</v>
      </c>
      <c r="H59" s="71">
        <f t="shared" si="5"/>
        <v>0</v>
      </c>
      <c r="I59" s="71">
        <f t="shared" si="6"/>
        <v>0</v>
      </c>
      <c r="J59" s="72">
        <f t="shared" si="10"/>
        <v>0</v>
      </c>
      <c r="K59" s="72">
        <f t="shared" si="11"/>
        <v>0</v>
      </c>
      <c r="L59" s="72">
        <f t="shared" si="7"/>
        <v>0</v>
      </c>
      <c r="M59" s="72">
        <f>SUMIF('CHIRP Payment Calc'!H:H,A59,'CHIRP Payment Calc'!AJ:AJ)</f>
        <v>0</v>
      </c>
      <c r="N59" s="72">
        <f>SUMIF('CHIRP Payment Calc'!H:H,A59,'CHIRP Payment Calc'!AK:AK)</f>
        <v>0</v>
      </c>
      <c r="O59" s="70">
        <f t="shared" si="8"/>
        <v>0</v>
      </c>
      <c r="P59" s="72">
        <f t="shared" si="9"/>
        <v>0</v>
      </c>
      <c r="Q59" s="74">
        <f>COUNTIF('CHIRP Payment Calc'!H:H,A59)</f>
        <v>1</v>
      </c>
    </row>
    <row r="60" spans="1:17">
      <c r="A60" s="69" t="s">
        <v>2532</v>
      </c>
      <c r="B60" s="70">
        <f>SUMIF('CHIRP Payment Calc'!H:H,A60,'CHIRP Payment Calc'!L:L)</f>
        <v>0</v>
      </c>
      <c r="C60" s="70">
        <f>SUMIF('CHIRP Payment Calc'!H:H,A60,'CHIRP Payment Calc'!M:M)</f>
        <v>0</v>
      </c>
      <c r="D60" s="70">
        <f>SUMIF('CHIRP Payment Calc'!H:H,A60,'CHIRP Payment Calc'!N:N)</f>
        <v>0</v>
      </c>
      <c r="E60" s="70">
        <f>SUMIF('CHIRP Payment Calc'!H:H,A60,'CHIRP Payment Calc'!I:I)</f>
        <v>0</v>
      </c>
      <c r="F60" s="70">
        <f>SUMIF('CHIRP Payment Calc'!H:H,A60,'CHIRP Payment Calc'!J:J)</f>
        <v>0</v>
      </c>
      <c r="G60" s="70">
        <f>SUMIF('CHIRP Payment Calc'!H:H,A60,'CHIRP Payment Calc'!K:K)</f>
        <v>0</v>
      </c>
      <c r="H60" s="71">
        <f t="shared" si="5"/>
        <v>0</v>
      </c>
      <c r="I60" s="71">
        <f t="shared" si="6"/>
        <v>0</v>
      </c>
      <c r="J60" s="72">
        <f t="shared" si="10"/>
        <v>0</v>
      </c>
      <c r="K60" s="72">
        <f t="shared" si="11"/>
        <v>0</v>
      </c>
      <c r="L60" s="72">
        <f t="shared" si="7"/>
        <v>0</v>
      </c>
      <c r="M60" s="72">
        <f>SUMIF('CHIRP Payment Calc'!H:H,A60,'CHIRP Payment Calc'!AJ:AJ)</f>
        <v>0</v>
      </c>
      <c r="N60" s="72">
        <f>SUMIF('CHIRP Payment Calc'!H:H,A60,'CHIRP Payment Calc'!AK:AK)</f>
        <v>0</v>
      </c>
      <c r="O60" s="70">
        <f t="shared" si="8"/>
        <v>0</v>
      </c>
      <c r="P60" s="72">
        <f t="shared" si="9"/>
        <v>0</v>
      </c>
      <c r="Q60" s="74">
        <f>COUNTIF('CHIRP Payment Calc'!H:H,A60)</f>
        <v>1</v>
      </c>
    </row>
    <row r="61" spans="1:17" ht="15.75" thickBot="1">
      <c r="A61" s="25" t="s">
        <v>2533</v>
      </c>
      <c r="B61" s="75">
        <f>SUMIF('CHIRP Payment Calc'!H:H,A61,'CHIRP Payment Calc'!L:L)</f>
        <v>0</v>
      </c>
      <c r="C61" s="75">
        <f>SUMIF('CHIRP Payment Calc'!H:H,A61,'CHIRP Payment Calc'!M:M)</f>
        <v>0</v>
      </c>
      <c r="D61" s="75">
        <f>SUMIF('CHIRP Payment Calc'!H:H,A61,'CHIRP Payment Calc'!N:N)</f>
        <v>0</v>
      </c>
      <c r="E61" s="75">
        <f>SUMIF('CHIRP Payment Calc'!H:H,A61,'CHIRP Payment Calc'!I:I)</f>
        <v>0</v>
      </c>
      <c r="F61" s="75">
        <f>SUMIF('CHIRP Payment Calc'!H:H,A61,'CHIRP Payment Calc'!J:J)</f>
        <v>0</v>
      </c>
      <c r="G61" s="75">
        <f>SUMIF('CHIRP Payment Calc'!H:H,A61,'CHIRP Payment Calc'!K:K)</f>
        <v>0</v>
      </c>
      <c r="H61" s="98">
        <f t="shared" si="5"/>
        <v>0</v>
      </c>
      <c r="I61" s="98">
        <f t="shared" si="6"/>
        <v>0</v>
      </c>
      <c r="J61" s="122">
        <f t="shared" si="10"/>
        <v>0</v>
      </c>
      <c r="K61" s="122">
        <f t="shared" si="11"/>
        <v>0</v>
      </c>
      <c r="L61" s="122">
        <f t="shared" si="7"/>
        <v>0</v>
      </c>
      <c r="M61" s="122">
        <f>SUMIF('CHIRP Payment Calc'!H:H,A61,'CHIRP Payment Calc'!AJ:AJ)</f>
        <v>0</v>
      </c>
      <c r="N61" s="122">
        <f>SUMIF('CHIRP Payment Calc'!H:H,A61,'CHIRP Payment Calc'!AK:AK)</f>
        <v>0</v>
      </c>
      <c r="O61" s="75">
        <f t="shared" si="8"/>
        <v>0</v>
      </c>
      <c r="P61" s="122">
        <f t="shared" si="9"/>
        <v>0</v>
      </c>
      <c r="Q61" s="76">
        <f>COUNTIF('CHIRP Payment Calc'!H:H,A61)</f>
        <v>0</v>
      </c>
    </row>
    <row r="62" spans="1:17">
      <c r="J62" s="10"/>
      <c r="K62" s="10"/>
      <c r="L62" s="10"/>
      <c r="M62" s="10"/>
      <c r="N62" s="10"/>
      <c r="O62" s="8"/>
      <c r="P62" s="10"/>
    </row>
    <row r="63" spans="1:17">
      <c r="J63" s="10"/>
      <c r="K63" s="10"/>
      <c r="L63" s="10"/>
      <c r="M63" s="10"/>
      <c r="N63" s="10"/>
      <c r="O63" s="8"/>
      <c r="P63" s="10"/>
    </row>
    <row r="64" spans="1:17">
      <c r="H64" s="114"/>
      <c r="J64" s="10"/>
      <c r="K64" s="10"/>
      <c r="L64" s="10"/>
      <c r="M64" s="10"/>
      <c r="N64" s="10"/>
      <c r="O64" s="8"/>
      <c r="P64" s="10"/>
    </row>
    <row r="65" spans="10:16">
      <c r="J65" s="10"/>
      <c r="K65" s="10"/>
      <c r="L65" s="10"/>
      <c r="M65" s="10"/>
      <c r="N65" s="10"/>
      <c r="O65" s="8"/>
      <c r="P65" s="10"/>
    </row>
    <row r="66" spans="10:16">
      <c r="J66" s="10"/>
      <c r="K66" s="10"/>
      <c r="L66" s="10"/>
      <c r="M66" s="10"/>
      <c r="N66" s="10"/>
      <c r="O66" s="8"/>
      <c r="P66" s="10"/>
    </row>
    <row r="67" spans="10:16">
      <c r="J67" s="10"/>
      <c r="K67" s="10"/>
      <c r="L67" s="10"/>
      <c r="M67" s="10"/>
      <c r="N67" s="10"/>
      <c r="O67" s="8"/>
      <c r="P67" s="10"/>
    </row>
    <row r="68" spans="10:16">
      <c r="J68" s="10"/>
      <c r="K68" s="10"/>
      <c r="L68" s="10"/>
      <c r="M68" s="10"/>
      <c r="N68" s="10"/>
      <c r="O68" s="8"/>
      <c r="P68" s="10"/>
    </row>
  </sheetData>
  <pageMargins left="0.7" right="0.7" top="0.75" bottom="0.75" header="0.3" footer="0.3"/>
  <pageSetup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09A0-D9A9-43FE-B293-28A2C81FFBBB}">
  <sheetPr>
    <tabColor rgb="FFFFFF00"/>
  </sheetPr>
  <dimension ref="A1:R62"/>
  <sheetViews>
    <sheetView zoomScale="70" zoomScaleNormal="70" workbookViewId="0">
      <selection activeCell="H75" sqref="H75"/>
    </sheetView>
  </sheetViews>
  <sheetFormatPr defaultColWidth="8.796875" defaultRowHeight="15"/>
  <cols>
    <col min="1" max="1" width="29" style="9" customWidth="1"/>
    <col min="2" max="2" width="20.296875" style="7" customWidth="1"/>
    <col min="3" max="4" width="16.3984375" style="7" customWidth="1"/>
    <col min="5" max="5" width="19.796875" style="9" customWidth="1"/>
    <col min="6" max="7" width="17" style="9" customWidth="1"/>
    <col min="8" max="8" width="19.796875" style="9" customWidth="1"/>
    <col min="9" max="9" width="16.8984375" style="9" customWidth="1"/>
    <col min="10" max="10" width="14.8984375" customWidth="1"/>
    <col min="11" max="11" width="14.8984375" style="9" customWidth="1"/>
    <col min="12" max="12" width="14.796875" style="9" customWidth="1"/>
    <col min="13" max="13" width="13.69921875" style="9" customWidth="1"/>
    <col min="14" max="14" width="13.5" style="9" customWidth="1"/>
    <col min="15" max="15" width="16.19921875" style="9" customWidth="1"/>
    <col min="16" max="18" width="16.8984375" style="9" customWidth="1"/>
    <col min="19" max="16384" width="8.796875" style="9"/>
  </cols>
  <sheetData>
    <row r="1" spans="1:18" ht="19.5">
      <c r="A1" s="66" t="s">
        <v>2780</v>
      </c>
      <c r="B1" s="28"/>
      <c r="C1" s="28"/>
      <c r="D1" s="90"/>
    </row>
    <row r="2" spans="1:18" ht="16.5" customHeight="1" thickBot="1">
      <c r="A2" s="66"/>
      <c r="B2" s="87"/>
      <c r="C2" s="87"/>
      <c r="D2" s="91">
        <v>7055173100.1566172</v>
      </c>
      <c r="E2" s="91">
        <v>2502713481.2000003</v>
      </c>
      <c r="F2" s="91">
        <v>274197418</v>
      </c>
      <c r="G2" s="91">
        <f t="shared" ref="G2:H2" si="0">SUM(G4:G60)</f>
        <v>2264561325.7348557</v>
      </c>
      <c r="H2" s="91">
        <f t="shared" si="0"/>
        <v>1627199941.6851318</v>
      </c>
      <c r="I2" s="105"/>
      <c r="J2" s="91">
        <f>SUM(J4:J60)</f>
        <v>1465758816.2594583</v>
      </c>
      <c r="L2" s="91">
        <v>2377706959.0458508</v>
      </c>
      <c r="M2" s="91">
        <v>875788927.31999993</v>
      </c>
      <c r="N2" s="91">
        <f t="shared" ref="N2:O2" si="1">SUM(N4:N60)</f>
        <v>629980463.47809994</v>
      </c>
      <c r="O2" s="91">
        <f t="shared" si="1"/>
        <v>616940652.017681</v>
      </c>
      <c r="P2" s="105"/>
      <c r="Q2" s="91">
        <f>SUM(Q4:Q60)</f>
        <v>589854779.75879931</v>
      </c>
      <c r="R2" s="105"/>
    </row>
    <row r="3" spans="1:18" ht="75" customHeight="1">
      <c r="A3" s="57" t="s">
        <v>2730</v>
      </c>
      <c r="B3" s="58" t="s">
        <v>2409</v>
      </c>
      <c r="C3" s="58" t="s">
        <v>3</v>
      </c>
      <c r="D3" s="104" t="s">
        <v>2747</v>
      </c>
      <c r="E3" s="104" t="s">
        <v>2423</v>
      </c>
      <c r="F3" s="104" t="s">
        <v>2424</v>
      </c>
      <c r="G3" s="104" t="s">
        <v>2742</v>
      </c>
      <c r="H3" s="104" t="s">
        <v>2778</v>
      </c>
      <c r="I3" s="104" t="s">
        <v>2767</v>
      </c>
      <c r="J3" s="104" t="s">
        <v>2771</v>
      </c>
      <c r="K3" s="104" t="s">
        <v>2769</v>
      </c>
      <c r="L3" s="107" t="s">
        <v>2748</v>
      </c>
      <c r="M3" s="107" t="s">
        <v>2425</v>
      </c>
      <c r="N3" s="107" t="s">
        <v>2763</v>
      </c>
      <c r="O3" s="107" t="s">
        <v>2779</v>
      </c>
      <c r="P3" s="107" t="s">
        <v>2768</v>
      </c>
      <c r="Q3" s="107" t="s">
        <v>2772</v>
      </c>
      <c r="R3" s="110" t="s">
        <v>2773</v>
      </c>
    </row>
    <row r="4" spans="1:18">
      <c r="A4" s="24" t="s">
        <v>2522</v>
      </c>
      <c r="B4" s="88" t="s">
        <v>2398</v>
      </c>
      <c r="C4" s="88" t="s">
        <v>300</v>
      </c>
      <c r="D4" s="67">
        <v>0</v>
      </c>
      <c r="E4" s="67">
        <v>0</v>
      </c>
      <c r="F4" s="67">
        <v>0</v>
      </c>
      <c r="G4" s="67">
        <f>SUMIFS('CHIRP Payment Calc'!V:V,'CHIRP Payment Calc'!H:H,A4)</f>
        <v>0</v>
      </c>
      <c r="H4" s="67">
        <f>SUMIFS('CHIRP Payment Calc'!AE:AE,'CHIRP Payment Calc'!H:H,A4)</f>
        <v>0</v>
      </c>
      <c r="I4" s="106">
        <f>IFERROR(SUM(E4:H4)/D4,0)</f>
        <v>0</v>
      </c>
      <c r="J4" s="67">
        <f>MAX(MIN(0.9*D4-E4-F4-G4,H4),0)</f>
        <v>0</v>
      </c>
      <c r="K4" s="106">
        <f>IFERROR(J4/H4,0)</f>
        <v>0</v>
      </c>
      <c r="L4" s="67">
        <v>0</v>
      </c>
      <c r="M4" s="67">
        <v>0</v>
      </c>
      <c r="N4" s="67">
        <f>SUMIFS('CHIRP Payment Calc'!W:W,'CHIRP Payment Calc'!H:H,A4)</f>
        <v>0</v>
      </c>
      <c r="O4" s="67">
        <f>SUMIFS('CHIRP Payment Calc'!AF:AF,'CHIRP Payment Calc'!H:H,A4)</f>
        <v>0</v>
      </c>
      <c r="P4" s="106">
        <f>IFERROR(SUM(M4:O4)/L4,0)</f>
        <v>0</v>
      </c>
      <c r="Q4" s="67">
        <f>MAX(MIN(0.9*L4-M4-N4,O4),0)</f>
        <v>0</v>
      </c>
      <c r="R4" s="111">
        <f>IFERROR(Q4/O4,0)</f>
        <v>0</v>
      </c>
    </row>
    <row r="5" spans="1:18">
      <c r="A5" s="24" t="s">
        <v>2529</v>
      </c>
      <c r="B5" s="88" t="s">
        <v>2397</v>
      </c>
      <c r="C5" s="88" t="s">
        <v>487</v>
      </c>
      <c r="D5" s="67">
        <v>0</v>
      </c>
      <c r="E5" s="67">
        <v>8276.6</v>
      </c>
      <c r="F5" s="67">
        <v>0</v>
      </c>
      <c r="G5" s="67">
        <f>SUMIFS('CHIRP Payment Calc'!V:V,'CHIRP Payment Calc'!H:H,A5)</f>
        <v>0</v>
      </c>
      <c r="H5" s="67">
        <f>SUMIFS('CHIRP Payment Calc'!AE:AE,'CHIRP Payment Calc'!H:H,A5)</f>
        <v>0</v>
      </c>
      <c r="I5" s="106">
        <f t="shared" ref="I5:I60" si="2">IFERROR(SUM(E5:H5)/D5,0)</f>
        <v>0</v>
      </c>
      <c r="J5" s="67">
        <f t="shared" ref="J5:J60" si="3">MAX(MIN(0.9*D5-E5-F5-G5,H5),0)</f>
        <v>0</v>
      </c>
      <c r="K5" s="106">
        <f t="shared" ref="K5:K60" si="4">IFERROR(J5/H5,0)</f>
        <v>0</v>
      </c>
      <c r="L5" s="67">
        <v>0</v>
      </c>
      <c r="M5" s="67">
        <v>0</v>
      </c>
      <c r="N5" s="67">
        <f>SUMIFS('CHIRP Payment Calc'!W:W,'CHIRP Payment Calc'!H:H,A5)</f>
        <v>0</v>
      </c>
      <c r="O5" s="67">
        <f>SUMIFS('CHIRP Payment Calc'!AF:AF,'CHIRP Payment Calc'!H:H,A5)</f>
        <v>0</v>
      </c>
      <c r="P5" s="106">
        <f t="shared" ref="P5:P60" si="5">IFERROR(SUM(M5:O5)/L5,0)</f>
        <v>0</v>
      </c>
      <c r="Q5" s="67">
        <f t="shared" ref="Q5:Q60" si="6">MAX(MIN(0.9*L5-M5-N5,O5),0)</f>
        <v>0</v>
      </c>
      <c r="R5" s="111">
        <f t="shared" ref="R5:R60" si="7">IFERROR(Q5/O5,0)</f>
        <v>0</v>
      </c>
    </row>
    <row r="6" spans="1:18">
      <c r="A6" s="24" t="s">
        <v>2531</v>
      </c>
      <c r="B6" s="88" t="s">
        <v>2398</v>
      </c>
      <c r="C6" s="88" t="s">
        <v>1486</v>
      </c>
      <c r="D6" s="67">
        <v>0</v>
      </c>
      <c r="E6" s="67">
        <v>0</v>
      </c>
      <c r="F6" s="67">
        <v>0</v>
      </c>
      <c r="G6" s="67">
        <f>SUMIFS('CHIRP Payment Calc'!V:V,'CHIRP Payment Calc'!H:H,A6)</f>
        <v>0</v>
      </c>
      <c r="H6" s="67">
        <f>SUMIFS('CHIRP Payment Calc'!AE:AE,'CHIRP Payment Calc'!H:H,A6)</f>
        <v>0</v>
      </c>
      <c r="I6" s="106">
        <f t="shared" si="2"/>
        <v>0</v>
      </c>
      <c r="J6" s="67">
        <f t="shared" si="3"/>
        <v>0</v>
      </c>
      <c r="K6" s="106">
        <f t="shared" si="4"/>
        <v>0</v>
      </c>
      <c r="L6" s="67">
        <v>0</v>
      </c>
      <c r="M6" s="67">
        <v>0</v>
      </c>
      <c r="N6" s="67">
        <f>SUMIFS('CHIRP Payment Calc'!W:W,'CHIRP Payment Calc'!H:H,A6)</f>
        <v>0</v>
      </c>
      <c r="O6" s="67">
        <f>SUMIFS('CHIRP Payment Calc'!AF:AF,'CHIRP Payment Calc'!H:H,A6)</f>
        <v>0</v>
      </c>
      <c r="P6" s="106">
        <f t="shared" si="5"/>
        <v>0</v>
      </c>
      <c r="Q6" s="67">
        <f t="shared" si="6"/>
        <v>0</v>
      </c>
      <c r="R6" s="111">
        <f t="shared" si="7"/>
        <v>0</v>
      </c>
    </row>
    <row r="7" spans="1:18">
      <c r="A7" s="24" t="s">
        <v>2532</v>
      </c>
      <c r="B7" s="88" t="s">
        <v>2398</v>
      </c>
      <c r="C7" s="88" t="s">
        <v>310</v>
      </c>
      <c r="D7" s="67">
        <v>0</v>
      </c>
      <c r="E7" s="67">
        <v>0</v>
      </c>
      <c r="F7" s="67">
        <v>0</v>
      </c>
      <c r="G7" s="67">
        <f>SUMIFS('CHIRP Payment Calc'!V:V,'CHIRP Payment Calc'!H:H,A7)</f>
        <v>0</v>
      </c>
      <c r="H7" s="67">
        <f>SUMIFS('CHIRP Payment Calc'!AE:AE,'CHIRP Payment Calc'!H:H,A7)</f>
        <v>0</v>
      </c>
      <c r="I7" s="106">
        <f t="shared" si="2"/>
        <v>0</v>
      </c>
      <c r="J7" s="67">
        <f t="shared" si="3"/>
        <v>0</v>
      </c>
      <c r="K7" s="106">
        <f t="shared" si="4"/>
        <v>0</v>
      </c>
      <c r="L7" s="67">
        <v>0</v>
      </c>
      <c r="M7" s="67">
        <v>0</v>
      </c>
      <c r="N7" s="67">
        <f>SUMIFS('CHIRP Payment Calc'!W:W,'CHIRP Payment Calc'!H:H,A7)</f>
        <v>0</v>
      </c>
      <c r="O7" s="67">
        <f>SUMIFS('CHIRP Payment Calc'!AF:AF,'CHIRP Payment Calc'!H:H,A7)</f>
        <v>0</v>
      </c>
      <c r="P7" s="106">
        <f t="shared" si="5"/>
        <v>0</v>
      </c>
      <c r="Q7" s="67">
        <f t="shared" si="6"/>
        <v>0</v>
      </c>
      <c r="R7" s="111">
        <f t="shared" si="7"/>
        <v>0</v>
      </c>
    </row>
    <row r="8" spans="1:18">
      <c r="A8" s="24" t="s">
        <v>2533</v>
      </c>
      <c r="B8" s="88" t="s">
        <v>2396</v>
      </c>
      <c r="C8" s="88" t="s">
        <v>310</v>
      </c>
      <c r="D8" s="67">
        <v>0</v>
      </c>
      <c r="E8" s="67">
        <v>0</v>
      </c>
      <c r="F8" s="67">
        <v>0</v>
      </c>
      <c r="G8" s="67">
        <f>SUMIFS('CHIRP Payment Calc'!V:V,'CHIRP Payment Calc'!H:H,A8)</f>
        <v>0</v>
      </c>
      <c r="H8" s="67">
        <f>SUMIFS('CHIRP Payment Calc'!AE:AE,'CHIRP Payment Calc'!H:H,A8)</f>
        <v>0</v>
      </c>
      <c r="I8" s="106">
        <f t="shared" si="2"/>
        <v>0</v>
      </c>
      <c r="J8" s="67">
        <f t="shared" si="3"/>
        <v>0</v>
      </c>
      <c r="K8" s="106">
        <f t="shared" si="4"/>
        <v>0</v>
      </c>
      <c r="L8" s="67">
        <v>0</v>
      </c>
      <c r="M8" s="67">
        <v>0</v>
      </c>
      <c r="N8" s="67">
        <f>SUMIFS('CHIRP Payment Calc'!W:W,'CHIRP Payment Calc'!H:H,A8)</f>
        <v>0</v>
      </c>
      <c r="O8" s="67">
        <f>SUMIFS('CHIRP Payment Calc'!AF:AF,'CHIRP Payment Calc'!H:H,A8)</f>
        <v>0</v>
      </c>
      <c r="P8" s="106">
        <f t="shared" si="5"/>
        <v>0</v>
      </c>
      <c r="Q8" s="67">
        <f t="shared" si="6"/>
        <v>0</v>
      </c>
      <c r="R8" s="111">
        <f t="shared" si="7"/>
        <v>0</v>
      </c>
    </row>
    <row r="9" spans="1:18">
      <c r="A9" s="24" t="s">
        <v>2527</v>
      </c>
      <c r="B9" s="88" t="s">
        <v>2396</v>
      </c>
      <c r="C9" s="88" t="s">
        <v>1526</v>
      </c>
      <c r="D9" s="67">
        <v>839.80071122451238</v>
      </c>
      <c r="E9" s="67">
        <v>2625</v>
      </c>
      <c r="F9" s="67">
        <v>0</v>
      </c>
      <c r="G9" s="67">
        <f>SUMIFS('CHIRP Payment Calc'!V:V,'CHIRP Payment Calc'!H:H,A9)</f>
        <v>880.87994847272114</v>
      </c>
      <c r="H9" s="67">
        <f>SUMIFS('CHIRP Payment Calc'!AE:AE,'CHIRP Payment Calc'!H:H,A9)</f>
        <v>0</v>
      </c>
      <c r="I9" s="106">
        <f t="shared" si="2"/>
        <v>4.1746570366209879</v>
      </c>
      <c r="J9" s="67">
        <f t="shared" si="3"/>
        <v>0</v>
      </c>
      <c r="K9" s="106">
        <f t="shared" si="4"/>
        <v>0</v>
      </c>
      <c r="L9" s="67">
        <v>0</v>
      </c>
      <c r="M9" s="67">
        <v>0</v>
      </c>
      <c r="N9" s="67">
        <f>SUMIFS('CHIRP Payment Calc'!W:W,'CHIRP Payment Calc'!H:H,A9)</f>
        <v>0</v>
      </c>
      <c r="O9" s="67">
        <f>SUMIFS('CHIRP Payment Calc'!AF:AF,'CHIRP Payment Calc'!H:H,A9)</f>
        <v>0</v>
      </c>
      <c r="P9" s="106">
        <f t="shared" si="5"/>
        <v>0</v>
      </c>
      <c r="Q9" s="67">
        <f t="shared" si="6"/>
        <v>0</v>
      </c>
      <c r="R9" s="111">
        <f t="shared" si="7"/>
        <v>0</v>
      </c>
    </row>
    <row r="10" spans="1:18">
      <c r="A10" s="24" t="s">
        <v>2528</v>
      </c>
      <c r="B10" s="88" t="s">
        <v>2398</v>
      </c>
      <c r="C10" s="88" t="s">
        <v>487</v>
      </c>
      <c r="D10" s="67">
        <v>2826.3788990412745</v>
      </c>
      <c r="E10" s="67">
        <v>134036.16</v>
      </c>
      <c r="F10" s="67">
        <v>0</v>
      </c>
      <c r="G10" s="67">
        <f>SUMIFS('CHIRP Payment Calc'!V:V,'CHIRP Payment Calc'!H:H,A10)</f>
        <v>47033.916149067991</v>
      </c>
      <c r="H10" s="67">
        <f>SUMIFS('CHIRP Payment Calc'!AE:AE,'CHIRP Payment Calc'!H:H,A10)</f>
        <v>0</v>
      </c>
      <c r="I10" s="106">
        <f t="shared" si="2"/>
        <v>64.064332001094442</v>
      </c>
      <c r="J10" s="67">
        <f t="shared" si="3"/>
        <v>0</v>
      </c>
      <c r="K10" s="106">
        <f t="shared" si="4"/>
        <v>0</v>
      </c>
      <c r="L10" s="67">
        <v>0</v>
      </c>
      <c r="M10" s="67">
        <v>0</v>
      </c>
      <c r="N10" s="67">
        <f>SUMIFS('CHIRP Payment Calc'!W:W,'CHIRP Payment Calc'!H:H,A10)</f>
        <v>0</v>
      </c>
      <c r="O10" s="67">
        <f>SUMIFS('CHIRP Payment Calc'!AF:AF,'CHIRP Payment Calc'!H:H,A10)</f>
        <v>0</v>
      </c>
      <c r="P10" s="106">
        <f t="shared" si="5"/>
        <v>0</v>
      </c>
      <c r="Q10" s="67">
        <f t="shared" si="6"/>
        <v>0</v>
      </c>
      <c r="R10" s="111">
        <f t="shared" si="7"/>
        <v>0</v>
      </c>
    </row>
    <row r="11" spans="1:18">
      <c r="A11" s="24" t="s">
        <v>2510</v>
      </c>
      <c r="B11" s="88" t="s">
        <v>2398</v>
      </c>
      <c r="C11" s="88" t="s">
        <v>227</v>
      </c>
      <c r="D11" s="67">
        <v>96348.837336725206</v>
      </c>
      <c r="E11" s="67">
        <v>1232813.81</v>
      </c>
      <c r="F11" s="67">
        <v>0</v>
      </c>
      <c r="G11" s="67">
        <f>SUMIFS('CHIRP Payment Calc'!V:V,'CHIRP Payment Calc'!H:H,A11)</f>
        <v>433594.81316351477</v>
      </c>
      <c r="H11" s="67">
        <f>SUMIFS('CHIRP Payment Calc'!AE:AE,'CHIRP Payment Calc'!H:H,A11)</f>
        <v>0</v>
      </c>
      <c r="I11" s="106">
        <f t="shared" si="2"/>
        <v>17.295575839069635</v>
      </c>
      <c r="J11" s="67">
        <f t="shared" si="3"/>
        <v>0</v>
      </c>
      <c r="K11" s="106">
        <f t="shared" si="4"/>
        <v>0</v>
      </c>
      <c r="L11" s="67">
        <v>0</v>
      </c>
      <c r="M11" s="67">
        <v>0</v>
      </c>
      <c r="N11" s="67">
        <f>SUMIFS('CHIRP Payment Calc'!W:W,'CHIRP Payment Calc'!H:H,A11)</f>
        <v>0</v>
      </c>
      <c r="O11" s="67">
        <f>SUMIFS('CHIRP Payment Calc'!AF:AF,'CHIRP Payment Calc'!H:H,A11)</f>
        <v>0</v>
      </c>
      <c r="P11" s="106">
        <f t="shared" si="5"/>
        <v>0</v>
      </c>
      <c r="Q11" s="67">
        <f t="shared" si="6"/>
        <v>0</v>
      </c>
      <c r="R11" s="111">
        <f t="shared" si="7"/>
        <v>0</v>
      </c>
    </row>
    <row r="12" spans="1:18">
      <c r="A12" s="24" t="s">
        <v>2509</v>
      </c>
      <c r="B12" s="88" t="s">
        <v>2396</v>
      </c>
      <c r="C12" s="88" t="s">
        <v>487</v>
      </c>
      <c r="D12" s="67">
        <v>9529567.6477204822</v>
      </c>
      <c r="E12" s="67">
        <v>11704557.33</v>
      </c>
      <c r="F12" s="67">
        <v>0</v>
      </c>
      <c r="G12" s="67">
        <f>SUMIFS('CHIRP Payment Calc'!V:V,'CHIRP Payment Calc'!H:H,A12)</f>
        <v>1287415.3605565524</v>
      </c>
      <c r="H12" s="67">
        <f>SUMIFS('CHIRP Payment Calc'!AE:AE,'CHIRP Payment Calc'!H:H,A12)</f>
        <v>1060154.7942151392</v>
      </c>
      <c r="I12" s="106">
        <f t="shared" si="2"/>
        <v>1.4745818492755047</v>
      </c>
      <c r="J12" s="67">
        <f t="shared" si="3"/>
        <v>0</v>
      </c>
      <c r="K12" s="106">
        <f t="shared" si="4"/>
        <v>0</v>
      </c>
      <c r="L12" s="67">
        <v>0</v>
      </c>
      <c r="M12" s="67">
        <v>0</v>
      </c>
      <c r="N12" s="67">
        <f>SUMIFS('CHIRP Payment Calc'!W:W,'CHIRP Payment Calc'!H:H,A12)</f>
        <v>0</v>
      </c>
      <c r="O12" s="67">
        <f>SUMIFS('CHIRP Payment Calc'!AF:AF,'CHIRP Payment Calc'!H:H,A12)</f>
        <v>0</v>
      </c>
      <c r="P12" s="106">
        <f t="shared" si="5"/>
        <v>0</v>
      </c>
      <c r="Q12" s="67">
        <f t="shared" si="6"/>
        <v>0</v>
      </c>
      <c r="R12" s="111">
        <f t="shared" si="7"/>
        <v>0</v>
      </c>
    </row>
    <row r="13" spans="1:18">
      <c r="A13" s="24" t="s">
        <v>2525</v>
      </c>
      <c r="B13" s="88" t="s">
        <v>2398</v>
      </c>
      <c r="C13" s="88" t="s">
        <v>1202</v>
      </c>
      <c r="D13" s="67">
        <v>0</v>
      </c>
      <c r="E13" s="67">
        <v>349931.2</v>
      </c>
      <c r="F13" s="67">
        <v>0</v>
      </c>
      <c r="G13" s="67">
        <f>SUMIFS('CHIRP Payment Calc'!V:V,'CHIRP Payment Calc'!H:H,A13)</f>
        <v>350509.42204776511</v>
      </c>
      <c r="H13" s="67">
        <f>SUMIFS('CHIRP Payment Calc'!AE:AE,'CHIRP Payment Calc'!H:H,A13)</f>
        <v>0</v>
      </c>
      <c r="I13" s="106">
        <f t="shared" si="2"/>
        <v>0</v>
      </c>
      <c r="J13" s="67">
        <f t="shared" si="3"/>
        <v>0</v>
      </c>
      <c r="K13" s="106">
        <f t="shared" si="4"/>
        <v>0</v>
      </c>
      <c r="L13" s="67">
        <v>0</v>
      </c>
      <c r="M13" s="67">
        <v>0</v>
      </c>
      <c r="N13" s="67">
        <f>SUMIFS('CHIRP Payment Calc'!W:W,'CHIRP Payment Calc'!H:H,A13)</f>
        <v>0</v>
      </c>
      <c r="O13" s="67">
        <f>SUMIFS('CHIRP Payment Calc'!AF:AF,'CHIRP Payment Calc'!H:H,A13)</f>
        <v>0</v>
      </c>
      <c r="P13" s="106">
        <f t="shared" si="5"/>
        <v>0</v>
      </c>
      <c r="Q13" s="67">
        <f t="shared" si="6"/>
        <v>0</v>
      </c>
      <c r="R13" s="111">
        <f t="shared" si="7"/>
        <v>0</v>
      </c>
    </row>
    <row r="14" spans="1:18">
      <c r="A14" s="24" t="s">
        <v>2511</v>
      </c>
      <c r="B14" s="88" t="s">
        <v>2295</v>
      </c>
      <c r="C14" s="88" t="s">
        <v>300</v>
      </c>
      <c r="D14" s="67">
        <v>1942889.2208213881</v>
      </c>
      <c r="E14" s="67">
        <v>3086533.0599999996</v>
      </c>
      <c r="F14" s="67">
        <v>0</v>
      </c>
      <c r="G14" s="67">
        <f>SUMIFS('CHIRP Payment Calc'!V:V,'CHIRP Payment Calc'!H:H,A14)</f>
        <v>49412.739128765294</v>
      </c>
      <c r="H14" s="67">
        <f>SUMIFS('CHIRP Payment Calc'!AE:AE,'CHIRP Payment Calc'!H:H,A14)</f>
        <v>29027.047569875427</v>
      </c>
      <c r="I14" s="106">
        <f t="shared" si="2"/>
        <v>1.6290032456717201</v>
      </c>
      <c r="J14" s="67">
        <f t="shared" si="3"/>
        <v>0</v>
      </c>
      <c r="K14" s="106">
        <f t="shared" si="4"/>
        <v>0</v>
      </c>
      <c r="L14" s="67">
        <v>3763446.5810807194</v>
      </c>
      <c r="M14" s="67">
        <v>1910839.94</v>
      </c>
      <c r="N14" s="67">
        <f>SUMIFS('CHIRP Payment Calc'!W:W,'CHIRP Payment Calc'!H:H,A14)</f>
        <v>1593713.2915904946</v>
      </c>
      <c r="O14" s="67">
        <f>SUMIFS('CHIRP Payment Calc'!AF:AF,'CHIRP Payment Calc'!H:H,A14)</f>
        <v>366678.24248216616</v>
      </c>
      <c r="P14" s="106">
        <f t="shared" si="5"/>
        <v>1.0286399423161174</v>
      </c>
      <c r="Q14" s="67">
        <f t="shared" si="6"/>
        <v>0</v>
      </c>
      <c r="R14" s="111">
        <f t="shared" si="7"/>
        <v>0</v>
      </c>
    </row>
    <row r="15" spans="1:18">
      <c r="A15" s="24" t="s">
        <v>2526</v>
      </c>
      <c r="B15" s="88" t="s">
        <v>2398</v>
      </c>
      <c r="C15" s="88" t="s">
        <v>223</v>
      </c>
      <c r="D15" s="67">
        <v>41599.091150630302</v>
      </c>
      <c r="E15" s="67">
        <v>223413.87</v>
      </c>
      <c r="F15" s="67">
        <v>0</v>
      </c>
      <c r="G15" s="67">
        <f>SUMIFS('CHIRP Payment Calc'!V:V,'CHIRP Payment Calc'!H:H,A15)</f>
        <v>1303260.5195282171</v>
      </c>
      <c r="H15" s="67">
        <f>SUMIFS('CHIRP Payment Calc'!AE:AE,'CHIRP Payment Calc'!H:H,A15)</f>
        <v>0</v>
      </c>
      <c r="I15" s="106">
        <f t="shared" si="2"/>
        <v>36.699705385392427</v>
      </c>
      <c r="J15" s="67">
        <f t="shared" si="3"/>
        <v>0</v>
      </c>
      <c r="K15" s="106">
        <f t="shared" si="4"/>
        <v>0</v>
      </c>
      <c r="L15" s="67">
        <v>0</v>
      </c>
      <c r="M15" s="67">
        <v>0</v>
      </c>
      <c r="N15" s="67">
        <f>SUMIFS('CHIRP Payment Calc'!W:W,'CHIRP Payment Calc'!H:H,A15)</f>
        <v>0</v>
      </c>
      <c r="O15" s="67">
        <f>SUMIFS('CHIRP Payment Calc'!AF:AF,'CHIRP Payment Calc'!H:H,A15)</f>
        <v>0</v>
      </c>
      <c r="P15" s="106">
        <f t="shared" si="5"/>
        <v>0</v>
      </c>
      <c r="Q15" s="67">
        <f t="shared" si="6"/>
        <v>0</v>
      </c>
      <c r="R15" s="111">
        <f t="shared" si="7"/>
        <v>0</v>
      </c>
    </row>
    <row r="16" spans="1:18">
      <c r="A16" s="24" t="s">
        <v>2518</v>
      </c>
      <c r="B16" s="88" t="s">
        <v>2396</v>
      </c>
      <c r="C16" s="88" t="s">
        <v>1202</v>
      </c>
      <c r="D16" s="67">
        <v>5833799.0541529423</v>
      </c>
      <c r="E16" s="67">
        <v>4539451.91</v>
      </c>
      <c r="F16" s="67">
        <v>0</v>
      </c>
      <c r="G16" s="67">
        <f>SUMIFS('CHIRP Payment Calc'!V:V,'CHIRP Payment Calc'!H:H,A16)</f>
        <v>1413204.5048748034</v>
      </c>
      <c r="H16" s="67">
        <f>SUMIFS('CHIRP Payment Calc'!AE:AE,'CHIRP Payment Calc'!H:H,A16)</f>
        <v>167355.72670897117</v>
      </c>
      <c r="I16" s="106">
        <f t="shared" si="2"/>
        <v>1.0490611837627632</v>
      </c>
      <c r="J16" s="67">
        <f t="shared" si="3"/>
        <v>0</v>
      </c>
      <c r="K16" s="106">
        <f t="shared" si="4"/>
        <v>0</v>
      </c>
      <c r="L16" s="67">
        <v>0</v>
      </c>
      <c r="M16" s="67">
        <v>0</v>
      </c>
      <c r="N16" s="67">
        <f>SUMIFS('CHIRP Payment Calc'!W:W,'CHIRP Payment Calc'!H:H,A16)</f>
        <v>0</v>
      </c>
      <c r="O16" s="67">
        <f>SUMIFS('CHIRP Payment Calc'!AF:AF,'CHIRP Payment Calc'!H:H,A16)</f>
        <v>0</v>
      </c>
      <c r="P16" s="106">
        <f t="shared" si="5"/>
        <v>0</v>
      </c>
      <c r="Q16" s="67">
        <f t="shared" si="6"/>
        <v>0</v>
      </c>
      <c r="R16" s="111">
        <f t="shared" si="7"/>
        <v>0</v>
      </c>
    </row>
    <row r="17" spans="1:18">
      <c r="A17" s="24" t="s">
        <v>2523</v>
      </c>
      <c r="B17" s="88" t="s">
        <v>2396</v>
      </c>
      <c r="C17" s="88" t="s">
        <v>227</v>
      </c>
      <c r="D17" s="67">
        <v>3573251.1463823579</v>
      </c>
      <c r="E17" s="67">
        <v>2939532.75</v>
      </c>
      <c r="F17" s="67">
        <v>0</v>
      </c>
      <c r="G17" s="67">
        <f>SUMIFS('CHIRP Payment Calc'!V:V,'CHIRP Payment Calc'!H:H,A17)</f>
        <v>920522.66076583066</v>
      </c>
      <c r="H17" s="67">
        <f>SUMIFS('CHIRP Payment Calc'!AE:AE,'CHIRP Payment Calc'!H:H,A17)</f>
        <v>0</v>
      </c>
      <c r="I17" s="106">
        <f t="shared" si="2"/>
        <v>1.0802642335045047</v>
      </c>
      <c r="J17" s="67">
        <f t="shared" si="3"/>
        <v>0</v>
      </c>
      <c r="K17" s="106">
        <f t="shared" si="4"/>
        <v>0</v>
      </c>
      <c r="L17" s="67">
        <v>0</v>
      </c>
      <c r="M17" s="67">
        <v>0</v>
      </c>
      <c r="N17" s="67">
        <f>SUMIFS('CHIRP Payment Calc'!W:W,'CHIRP Payment Calc'!H:H,A17)</f>
        <v>0</v>
      </c>
      <c r="O17" s="67">
        <f>SUMIFS('CHIRP Payment Calc'!AF:AF,'CHIRP Payment Calc'!H:H,A17)</f>
        <v>0</v>
      </c>
      <c r="P17" s="106">
        <f t="shared" si="5"/>
        <v>0</v>
      </c>
      <c r="Q17" s="67">
        <f t="shared" si="6"/>
        <v>0</v>
      </c>
      <c r="R17" s="111">
        <f t="shared" si="7"/>
        <v>0</v>
      </c>
    </row>
    <row r="18" spans="1:18">
      <c r="A18" s="24" t="s">
        <v>2505</v>
      </c>
      <c r="B18" s="88" t="s">
        <v>2396</v>
      </c>
      <c r="C18" s="88" t="s">
        <v>1365</v>
      </c>
      <c r="D18" s="67">
        <v>5846439.4464067714</v>
      </c>
      <c r="E18" s="67">
        <v>4309099.24</v>
      </c>
      <c r="F18" s="67">
        <v>0</v>
      </c>
      <c r="G18" s="67">
        <f>SUMIFS('CHIRP Payment Calc'!V:V,'CHIRP Payment Calc'!H:H,A18)</f>
        <v>1739856.000237254</v>
      </c>
      <c r="H18" s="67">
        <f>SUMIFS('CHIRP Payment Calc'!AE:AE,'CHIRP Payment Calc'!H:H,A18)</f>
        <v>138130.98855127365</v>
      </c>
      <c r="I18" s="106">
        <f t="shared" si="2"/>
        <v>1.0582656821308769</v>
      </c>
      <c r="J18" s="67">
        <f t="shared" si="3"/>
        <v>0</v>
      </c>
      <c r="K18" s="106">
        <f t="shared" si="4"/>
        <v>0</v>
      </c>
      <c r="L18" s="67">
        <v>0</v>
      </c>
      <c r="M18" s="67">
        <v>0</v>
      </c>
      <c r="N18" s="67">
        <f>SUMIFS('CHIRP Payment Calc'!W:W,'CHIRP Payment Calc'!H:H,A18)</f>
        <v>0</v>
      </c>
      <c r="O18" s="67">
        <f>SUMIFS('CHIRP Payment Calc'!AF:AF,'CHIRP Payment Calc'!H:H,A18)</f>
        <v>0</v>
      </c>
      <c r="P18" s="106">
        <f t="shared" si="5"/>
        <v>0</v>
      </c>
      <c r="Q18" s="67">
        <f t="shared" si="6"/>
        <v>0</v>
      </c>
      <c r="R18" s="111">
        <f t="shared" si="7"/>
        <v>0</v>
      </c>
    </row>
    <row r="19" spans="1:18">
      <c r="A19" s="24" t="s">
        <v>2503</v>
      </c>
      <c r="B19" s="88" t="s">
        <v>2295</v>
      </c>
      <c r="C19" s="88" t="s">
        <v>227</v>
      </c>
      <c r="D19" s="67">
        <v>28370176.005236272</v>
      </c>
      <c r="E19" s="67">
        <v>24067897.130000003</v>
      </c>
      <c r="F19" s="67">
        <v>8146563</v>
      </c>
      <c r="G19" s="67">
        <f>SUMIFS('CHIRP Payment Calc'!V:V,'CHIRP Payment Calc'!H:H,A19)</f>
        <v>0</v>
      </c>
      <c r="H19" s="67">
        <f>SUMIFS('CHIRP Payment Calc'!AE:AE,'CHIRP Payment Calc'!H:H,A19)</f>
        <v>4118134.0281963618</v>
      </c>
      <c r="I19" s="106">
        <f t="shared" si="2"/>
        <v>1.2806615704989097</v>
      </c>
      <c r="J19" s="67">
        <f t="shared" si="3"/>
        <v>0</v>
      </c>
      <c r="K19" s="106">
        <f t="shared" si="4"/>
        <v>0</v>
      </c>
      <c r="L19" s="67">
        <v>29586991.003777571</v>
      </c>
      <c r="M19" s="67">
        <v>12186874.310000002</v>
      </c>
      <c r="N19" s="67">
        <f>SUMIFS('CHIRP Payment Calc'!W:W,'CHIRP Payment Calc'!H:H,A19)</f>
        <v>5973517.3143537967</v>
      </c>
      <c r="O19" s="67">
        <f>SUMIFS('CHIRP Payment Calc'!AF:AF,'CHIRP Payment Calc'!H:H,A19)</f>
        <v>8645980.7656220123</v>
      </c>
      <c r="P19" s="106">
        <f t="shared" si="5"/>
        <v>0.9060188779099998</v>
      </c>
      <c r="Q19" s="67">
        <f t="shared" si="6"/>
        <v>8467900.279046014</v>
      </c>
      <c r="R19" s="111">
        <f t="shared" si="7"/>
        <v>0.97940309012899052</v>
      </c>
    </row>
    <row r="20" spans="1:18">
      <c r="A20" s="24" t="s">
        <v>2521</v>
      </c>
      <c r="B20" s="88" t="s">
        <v>2396</v>
      </c>
      <c r="C20" s="88" t="s">
        <v>1486</v>
      </c>
      <c r="D20" s="67">
        <v>1927440.8372615185</v>
      </c>
      <c r="E20" s="67">
        <v>1892650.12</v>
      </c>
      <c r="F20" s="67">
        <v>0</v>
      </c>
      <c r="G20" s="67">
        <f>SUMIFS('CHIRP Payment Calc'!V:V,'CHIRP Payment Calc'!H:H,A20)</f>
        <v>1281844.1688495353</v>
      </c>
      <c r="H20" s="67">
        <f>SUMIFS('CHIRP Payment Calc'!AE:AE,'CHIRP Payment Calc'!H:H,A20)</f>
        <v>0</v>
      </c>
      <c r="I20" s="106">
        <f t="shared" si="2"/>
        <v>1.6469996004441898</v>
      </c>
      <c r="J20" s="67">
        <f t="shared" si="3"/>
        <v>0</v>
      </c>
      <c r="K20" s="106">
        <f t="shared" si="4"/>
        <v>0</v>
      </c>
      <c r="L20" s="67">
        <v>0</v>
      </c>
      <c r="M20" s="67">
        <v>0</v>
      </c>
      <c r="N20" s="67">
        <f>SUMIFS('CHIRP Payment Calc'!W:W,'CHIRP Payment Calc'!H:H,A20)</f>
        <v>0</v>
      </c>
      <c r="O20" s="67">
        <f>SUMIFS('CHIRP Payment Calc'!AF:AF,'CHIRP Payment Calc'!H:H,A20)</f>
        <v>0</v>
      </c>
      <c r="P20" s="106">
        <f t="shared" si="5"/>
        <v>0</v>
      </c>
      <c r="Q20" s="67">
        <f t="shared" si="6"/>
        <v>0</v>
      </c>
      <c r="R20" s="111">
        <f t="shared" si="7"/>
        <v>0</v>
      </c>
    </row>
    <row r="21" spans="1:18">
      <c r="A21" s="24" t="s">
        <v>2517</v>
      </c>
      <c r="B21" s="88" t="s">
        <v>2295</v>
      </c>
      <c r="C21" s="88" t="s">
        <v>1526</v>
      </c>
      <c r="D21" s="67">
        <v>8791828.8471129593</v>
      </c>
      <c r="E21" s="67">
        <v>4742633.33</v>
      </c>
      <c r="F21" s="67">
        <v>0</v>
      </c>
      <c r="G21" s="67">
        <f>SUMIFS('CHIRP Payment Calc'!V:V,'CHIRP Payment Calc'!H:H,A21)</f>
        <v>4721135.4847906269</v>
      </c>
      <c r="H21" s="67">
        <f>SUMIFS('CHIRP Payment Calc'!AE:AE,'CHIRP Payment Calc'!H:H,A21)</f>
        <v>809873.75816842879</v>
      </c>
      <c r="I21" s="106">
        <f t="shared" si="2"/>
        <v>1.1685444236477252</v>
      </c>
      <c r="J21" s="67">
        <f t="shared" si="3"/>
        <v>0</v>
      </c>
      <c r="K21" s="106">
        <f t="shared" si="4"/>
        <v>0</v>
      </c>
      <c r="L21" s="67">
        <v>6308591.65404897</v>
      </c>
      <c r="M21" s="67">
        <v>2584936.4499999997</v>
      </c>
      <c r="N21" s="67">
        <f>SUMIFS('CHIRP Payment Calc'!W:W,'CHIRP Payment Calc'!H:H,A21)</f>
        <v>1745659.6722605932</v>
      </c>
      <c r="O21" s="67">
        <f>SUMIFS('CHIRP Payment Calc'!AF:AF,'CHIRP Payment Calc'!H:H,A21)</f>
        <v>1671487.4387060993</v>
      </c>
      <c r="P21" s="106">
        <f t="shared" si="5"/>
        <v>0.95141418086783991</v>
      </c>
      <c r="Q21" s="67">
        <f t="shared" si="6"/>
        <v>1347136.3663834799</v>
      </c>
      <c r="R21" s="111">
        <f t="shared" si="7"/>
        <v>0.8059506372517522</v>
      </c>
    </row>
    <row r="22" spans="1:18">
      <c r="A22" s="24" t="s">
        <v>2500</v>
      </c>
      <c r="B22" s="88" t="s">
        <v>2397</v>
      </c>
      <c r="C22" s="88" t="s">
        <v>310</v>
      </c>
      <c r="D22" s="67">
        <v>535724.78218861099</v>
      </c>
      <c r="E22" s="67">
        <v>447076.56</v>
      </c>
      <c r="F22" s="67">
        <v>0</v>
      </c>
      <c r="G22" s="67">
        <f>SUMIFS('CHIRP Payment Calc'!V:V,'CHIRP Payment Calc'!H:H,A22)</f>
        <v>31588.271653853328</v>
      </c>
      <c r="H22" s="67">
        <f>SUMIFS('CHIRP Payment Calc'!AE:AE,'CHIRP Payment Calc'!H:H,A22)</f>
        <v>37905.925984623995</v>
      </c>
      <c r="I22" s="106">
        <f t="shared" si="2"/>
        <v>0.96424652137262867</v>
      </c>
      <c r="J22" s="67">
        <f t="shared" si="3"/>
        <v>3487.4723158965644</v>
      </c>
      <c r="K22" s="106">
        <f t="shared" si="4"/>
        <v>9.2003353705465696E-2</v>
      </c>
      <c r="L22" s="67">
        <v>4759237.4002117133</v>
      </c>
      <c r="M22" s="67">
        <v>3332559.5</v>
      </c>
      <c r="N22" s="67">
        <f>SUMIFS('CHIRP Payment Calc'!W:W,'CHIRP Payment Calc'!H:H,A22)</f>
        <v>1886940.9877581219</v>
      </c>
      <c r="O22" s="67">
        <f>SUMIFS('CHIRP Payment Calc'!AF:AF,'CHIRP Payment Calc'!H:H,A22)</f>
        <v>0</v>
      </c>
      <c r="P22" s="106">
        <f t="shared" si="5"/>
        <v>1.0967094197750955</v>
      </c>
      <c r="Q22" s="67">
        <f t="shared" si="6"/>
        <v>0</v>
      </c>
      <c r="R22" s="111">
        <f t="shared" si="7"/>
        <v>0</v>
      </c>
    </row>
    <row r="23" spans="1:18">
      <c r="A23" s="24" t="s">
        <v>2512</v>
      </c>
      <c r="B23" s="88" t="s">
        <v>2295</v>
      </c>
      <c r="C23" s="88" t="s">
        <v>1550</v>
      </c>
      <c r="D23" s="67">
        <v>3652996.7623415552</v>
      </c>
      <c r="E23" s="67">
        <v>4491985.3900000006</v>
      </c>
      <c r="F23" s="67">
        <v>0</v>
      </c>
      <c r="G23" s="67">
        <f>SUMIFS('CHIRP Payment Calc'!V:V,'CHIRP Payment Calc'!H:H,A23)</f>
        <v>0</v>
      </c>
      <c r="H23" s="67">
        <f>SUMIFS('CHIRP Payment Calc'!AE:AE,'CHIRP Payment Calc'!H:H,A23)</f>
        <v>39236.717655595181</v>
      </c>
      <c r="I23" s="106">
        <f t="shared" si="2"/>
        <v>1.2404122977516963</v>
      </c>
      <c r="J23" s="67">
        <f t="shared" si="3"/>
        <v>0</v>
      </c>
      <c r="K23" s="106">
        <f t="shared" si="4"/>
        <v>0</v>
      </c>
      <c r="L23" s="67">
        <v>6330595.712992656</v>
      </c>
      <c r="M23" s="67">
        <v>2022067.0200000003</v>
      </c>
      <c r="N23" s="67">
        <f>SUMIFS('CHIRP Payment Calc'!W:W,'CHIRP Payment Calc'!H:H,A23)</f>
        <v>1323588.6791969691</v>
      </c>
      <c r="O23" s="67">
        <f>SUMIFS('CHIRP Payment Calc'!AF:AF,'CHIRP Payment Calc'!H:H,A23)</f>
        <v>2266999.3253023345</v>
      </c>
      <c r="P23" s="106">
        <f t="shared" si="5"/>
        <v>0.88659192261798048</v>
      </c>
      <c r="Q23" s="67">
        <f t="shared" si="6"/>
        <v>2266999.3253023345</v>
      </c>
      <c r="R23" s="111">
        <f t="shared" si="7"/>
        <v>1</v>
      </c>
    </row>
    <row r="24" spans="1:18">
      <c r="A24" s="24" t="s">
        <v>2485</v>
      </c>
      <c r="B24" s="88" t="s">
        <v>2283</v>
      </c>
      <c r="C24" s="88" t="s">
        <v>300</v>
      </c>
      <c r="D24" s="67">
        <v>1257555182.1345558</v>
      </c>
      <c r="E24" s="67">
        <v>371047039.81</v>
      </c>
      <c r="F24" s="67">
        <v>47657861</v>
      </c>
      <c r="G24" s="67">
        <f>SUMIFS('CHIRP Payment Calc'!V:V,'CHIRP Payment Calc'!H:H,A24)</f>
        <v>828664206.65006435</v>
      </c>
      <c r="H24" s="67">
        <f>SUMIFS('CHIRP Payment Calc'!AE:AE,'CHIRP Payment Calc'!H:H,A24)</f>
        <v>92071015.748934433</v>
      </c>
      <c r="I24" s="106">
        <f t="shared" si="2"/>
        <v>1.0651143919867221</v>
      </c>
      <c r="J24" s="67">
        <f t="shared" si="3"/>
        <v>0</v>
      </c>
      <c r="K24" s="106">
        <f t="shared" si="4"/>
        <v>0</v>
      </c>
      <c r="L24" s="67">
        <v>273232155.37995261</v>
      </c>
      <c r="M24" s="67">
        <v>111919225.55000001</v>
      </c>
      <c r="N24" s="67">
        <f>SUMIFS('CHIRP Payment Calc'!W:W,'CHIRP Payment Calc'!H:H,A24)</f>
        <v>88910088.094495058</v>
      </c>
      <c r="O24" s="67">
        <f>SUMIFS('CHIRP Payment Calc'!AF:AF,'CHIRP Payment Calc'!H:H,A24)</f>
        <v>48368705.458246261</v>
      </c>
      <c r="P24" s="106">
        <f t="shared" si="5"/>
        <v>0.91203767271172842</v>
      </c>
      <c r="Q24" s="67">
        <f t="shared" si="6"/>
        <v>45079626.197462291</v>
      </c>
      <c r="R24" s="111">
        <f t="shared" si="7"/>
        <v>0.93199984929050395</v>
      </c>
    </row>
    <row r="25" spans="1:18">
      <c r="A25" s="24" t="s">
        <v>2492</v>
      </c>
      <c r="B25" s="88" t="s">
        <v>2283</v>
      </c>
      <c r="C25" s="88" t="s">
        <v>1526</v>
      </c>
      <c r="D25" s="67">
        <v>131956559.8561044</v>
      </c>
      <c r="E25" s="67">
        <v>47260815.189999998</v>
      </c>
      <c r="F25" s="67">
        <v>57556245</v>
      </c>
      <c r="G25" s="67">
        <f>SUMIFS('CHIRP Payment Calc'!V:V,'CHIRP Payment Calc'!H:H,A25)</f>
        <v>0</v>
      </c>
      <c r="H25" s="67">
        <f>SUMIFS('CHIRP Payment Calc'!AE:AE,'CHIRP Payment Calc'!H:H,A25)</f>
        <v>37652483.17991548</v>
      </c>
      <c r="I25" s="106">
        <f t="shared" si="2"/>
        <v>1.0796700332690943</v>
      </c>
      <c r="J25" s="67">
        <f t="shared" si="3"/>
        <v>13943843.680493966</v>
      </c>
      <c r="K25" s="106">
        <f t="shared" si="4"/>
        <v>0.37032998896423025</v>
      </c>
      <c r="L25" s="67">
        <v>61800446.113711029</v>
      </c>
      <c r="M25" s="67">
        <v>16633720.68</v>
      </c>
      <c r="N25" s="67">
        <f>SUMIFS('CHIRP Payment Calc'!W:W,'CHIRP Payment Calc'!H:H,A25)</f>
        <v>23046869.382907026</v>
      </c>
      <c r="O25" s="67">
        <f>SUMIFS('CHIRP Payment Calc'!AF:AF,'CHIRP Payment Calc'!H:H,A25)</f>
        <v>17531332.78499271</v>
      </c>
      <c r="P25" s="106">
        <f t="shared" si="5"/>
        <v>0.92575258668248861</v>
      </c>
      <c r="Q25" s="67">
        <f t="shared" si="6"/>
        <v>15939811.439432904</v>
      </c>
      <c r="R25" s="111">
        <f t="shared" si="7"/>
        <v>0.9092184624478642</v>
      </c>
    </row>
    <row r="26" spans="1:18">
      <c r="A26" s="24" t="s">
        <v>2506</v>
      </c>
      <c r="B26" s="88" t="s">
        <v>2396</v>
      </c>
      <c r="C26" s="88" t="s">
        <v>300</v>
      </c>
      <c r="D26" s="67">
        <v>25545529.248235717</v>
      </c>
      <c r="E26" s="67">
        <v>18864999.639999997</v>
      </c>
      <c r="F26" s="67">
        <v>0</v>
      </c>
      <c r="G26" s="67">
        <f>SUMIFS('CHIRP Payment Calc'!V:V,'CHIRP Payment Calc'!H:H,A26)</f>
        <v>7176309.5696003065</v>
      </c>
      <c r="H26" s="67">
        <f>SUMIFS('CHIRP Payment Calc'!AE:AE,'CHIRP Payment Calc'!H:H,A26)</f>
        <v>0</v>
      </c>
      <c r="I26" s="106">
        <f t="shared" si="2"/>
        <v>1.0194076997406043</v>
      </c>
      <c r="J26" s="67">
        <f t="shared" si="3"/>
        <v>0</v>
      </c>
      <c r="K26" s="106">
        <f t="shared" si="4"/>
        <v>0</v>
      </c>
      <c r="L26" s="67">
        <v>0</v>
      </c>
      <c r="M26" s="67">
        <v>0</v>
      </c>
      <c r="N26" s="67">
        <f>SUMIFS('CHIRP Payment Calc'!W:W,'CHIRP Payment Calc'!H:H,A26)</f>
        <v>0</v>
      </c>
      <c r="O26" s="67">
        <f>SUMIFS('CHIRP Payment Calc'!AF:AF,'CHIRP Payment Calc'!H:H,A26)</f>
        <v>0</v>
      </c>
      <c r="P26" s="106">
        <f t="shared" si="5"/>
        <v>0</v>
      </c>
      <c r="Q26" s="67">
        <f t="shared" si="6"/>
        <v>0</v>
      </c>
      <c r="R26" s="111">
        <f t="shared" si="7"/>
        <v>0</v>
      </c>
    </row>
    <row r="27" spans="1:18">
      <c r="A27" s="24" t="s">
        <v>2508</v>
      </c>
      <c r="B27" s="88" t="s">
        <v>2396</v>
      </c>
      <c r="C27" s="88" t="s">
        <v>223</v>
      </c>
      <c r="D27" s="67">
        <v>7117143.9515842516</v>
      </c>
      <c r="E27" s="67">
        <v>4501549.5199999996</v>
      </c>
      <c r="F27" s="67">
        <v>0</v>
      </c>
      <c r="G27" s="67">
        <f>SUMIFS('CHIRP Payment Calc'!V:V,'CHIRP Payment Calc'!H:H,A27)</f>
        <v>2037510.5260125762</v>
      </c>
      <c r="H27" s="67">
        <f>SUMIFS('CHIRP Payment Calc'!AE:AE,'CHIRP Payment Calc'!H:H,A27)</f>
        <v>593399.94981610798</v>
      </c>
      <c r="I27" s="106">
        <f t="shared" si="2"/>
        <v>1.0021519930394303</v>
      </c>
      <c r="J27" s="67">
        <f t="shared" si="3"/>
        <v>0</v>
      </c>
      <c r="K27" s="106">
        <f t="shared" si="4"/>
        <v>0</v>
      </c>
      <c r="L27" s="67">
        <v>0</v>
      </c>
      <c r="M27" s="67">
        <v>0</v>
      </c>
      <c r="N27" s="67">
        <f>SUMIFS('CHIRP Payment Calc'!W:W,'CHIRP Payment Calc'!H:H,A27)</f>
        <v>0</v>
      </c>
      <c r="O27" s="67">
        <f>SUMIFS('CHIRP Payment Calc'!AF:AF,'CHIRP Payment Calc'!H:H,A27)</f>
        <v>0</v>
      </c>
      <c r="P27" s="106">
        <f t="shared" si="5"/>
        <v>0</v>
      </c>
      <c r="Q27" s="67">
        <f t="shared" si="6"/>
        <v>0</v>
      </c>
      <c r="R27" s="111">
        <f t="shared" si="7"/>
        <v>0</v>
      </c>
    </row>
    <row r="28" spans="1:18">
      <c r="A28" s="24" t="s">
        <v>2514</v>
      </c>
      <c r="B28" s="88" t="s">
        <v>2295</v>
      </c>
      <c r="C28" s="88" t="s">
        <v>1548</v>
      </c>
      <c r="D28" s="67">
        <v>8206580.3293955717</v>
      </c>
      <c r="E28" s="67">
        <v>5767440.3599999994</v>
      </c>
      <c r="F28" s="67">
        <v>0</v>
      </c>
      <c r="G28" s="67">
        <f>SUMIFS('CHIRP Payment Calc'!V:V,'CHIRP Payment Calc'!H:H,A28)</f>
        <v>1636894.8257439509</v>
      </c>
      <c r="H28" s="67">
        <f>SUMIFS('CHIRP Payment Calc'!AE:AE,'CHIRP Payment Calc'!H:H,A28)</f>
        <v>627870.46424991102</v>
      </c>
      <c r="I28" s="106">
        <f t="shared" si="2"/>
        <v>0.9787518463961038</v>
      </c>
      <c r="J28" s="67">
        <f t="shared" si="3"/>
        <v>0</v>
      </c>
      <c r="K28" s="106">
        <f t="shared" si="4"/>
        <v>0</v>
      </c>
      <c r="L28" s="67">
        <v>8869586.062479822</v>
      </c>
      <c r="M28" s="67">
        <v>2993929.0600000005</v>
      </c>
      <c r="N28" s="67">
        <f>SUMIFS('CHIRP Payment Calc'!W:W,'CHIRP Payment Calc'!H:H,A28)</f>
        <v>1285010.9563352503</v>
      </c>
      <c r="O28" s="67">
        <f>SUMIFS('CHIRP Payment Calc'!AF:AF,'CHIRP Payment Calc'!H:H,A28)</f>
        <v>3261718.335349171</v>
      </c>
      <c r="P28" s="106">
        <f t="shared" si="5"/>
        <v>0.85017026708641585</v>
      </c>
      <c r="Q28" s="67">
        <f t="shared" si="6"/>
        <v>3261718.335349171</v>
      </c>
      <c r="R28" s="111">
        <f t="shared" si="7"/>
        <v>1</v>
      </c>
    </row>
    <row r="29" spans="1:18">
      <c r="A29" s="24" t="s">
        <v>2488</v>
      </c>
      <c r="B29" s="88" t="s">
        <v>2397</v>
      </c>
      <c r="C29" s="88" t="s">
        <v>300</v>
      </c>
      <c r="D29" s="67">
        <v>99870277.962841347</v>
      </c>
      <c r="E29" s="67">
        <v>78616530.299999997</v>
      </c>
      <c r="F29" s="67">
        <v>0</v>
      </c>
      <c r="G29" s="67">
        <f>SUMIFS('CHIRP Payment Calc'!V:V,'CHIRP Payment Calc'!H:H,A29)</f>
        <v>22217812.634537175</v>
      </c>
      <c r="H29" s="67">
        <f>SUMIFS('CHIRP Payment Calc'!AE:AE,'CHIRP Payment Calc'!H:H,A29)</f>
        <v>0</v>
      </c>
      <c r="I29" s="106">
        <f t="shared" si="2"/>
        <v>1.0096531720083379</v>
      </c>
      <c r="J29" s="67">
        <f t="shared" si="3"/>
        <v>0</v>
      </c>
      <c r="K29" s="106">
        <f t="shared" si="4"/>
        <v>0</v>
      </c>
      <c r="L29" s="67">
        <v>49977844.056091249</v>
      </c>
      <c r="M29" s="67">
        <v>28988341.949999999</v>
      </c>
      <c r="N29" s="67">
        <f>SUMIFS('CHIRP Payment Calc'!W:W,'CHIRP Payment Calc'!H:H,A29)</f>
        <v>20285288.09333694</v>
      </c>
      <c r="O29" s="67">
        <f>SUMIFS('CHIRP Payment Calc'!AF:AF,'CHIRP Payment Calc'!H:H,A29)</f>
        <v>654364.13204312709</v>
      </c>
      <c r="P29" s="106">
        <f t="shared" si="5"/>
        <v>0.99900256040146052</v>
      </c>
      <c r="Q29" s="67">
        <f t="shared" si="6"/>
        <v>0</v>
      </c>
      <c r="R29" s="111">
        <f t="shared" si="7"/>
        <v>0</v>
      </c>
    </row>
    <row r="30" spans="1:18">
      <c r="A30" s="24" t="s">
        <v>2487</v>
      </c>
      <c r="B30" s="88" t="s">
        <v>2283</v>
      </c>
      <c r="C30" s="88" t="s">
        <v>487</v>
      </c>
      <c r="D30" s="67">
        <v>547317688.73071194</v>
      </c>
      <c r="E30" s="67">
        <v>190088287.63</v>
      </c>
      <c r="F30" s="67">
        <v>57139991</v>
      </c>
      <c r="G30" s="67">
        <f>SUMIFS('CHIRP Payment Calc'!V:V,'CHIRP Payment Calc'!H:H,A30)</f>
        <v>105091983.23748393</v>
      </c>
      <c r="H30" s="67">
        <f>SUMIFS('CHIRP Payment Calc'!AE:AE,'CHIRP Payment Calc'!H:H,A30)</f>
        <v>158716572.94421971</v>
      </c>
      <c r="I30" s="106">
        <f t="shared" si="2"/>
        <v>0.93371152684075043</v>
      </c>
      <c r="J30" s="67">
        <f t="shared" si="3"/>
        <v>140265657.99015683</v>
      </c>
      <c r="K30" s="106">
        <f t="shared" si="4"/>
        <v>0.88374928583830137</v>
      </c>
      <c r="L30" s="67">
        <v>122507483.90133083</v>
      </c>
      <c r="M30" s="67">
        <v>45294303.439999998</v>
      </c>
      <c r="N30" s="67">
        <f>SUMIFS('CHIRP Payment Calc'!W:W,'CHIRP Payment Calc'!H:H,A30)</f>
        <v>52340666.763827115</v>
      </c>
      <c r="O30" s="67">
        <f>SUMIFS('CHIRP Payment Calc'!AF:AF,'CHIRP Payment Calc'!H:H,A30)</f>
        <v>19017863.747702997</v>
      </c>
      <c r="P30" s="106">
        <f t="shared" si="5"/>
        <v>0.95220985883183984</v>
      </c>
      <c r="Q30" s="67">
        <f t="shared" si="6"/>
        <v>12621765.307370633</v>
      </c>
      <c r="R30" s="111">
        <f t="shared" si="7"/>
        <v>0.66367944764012243</v>
      </c>
    </row>
    <row r="31" spans="1:18">
      <c r="A31" s="24" t="s">
        <v>2519</v>
      </c>
      <c r="B31" s="88" t="s">
        <v>2396</v>
      </c>
      <c r="C31" s="88" t="s">
        <v>1514</v>
      </c>
      <c r="D31" s="67">
        <v>1840096.918180766</v>
      </c>
      <c r="E31" s="67">
        <v>1501216.85</v>
      </c>
      <c r="F31" s="67">
        <v>0</v>
      </c>
      <c r="G31" s="67">
        <f>SUMIFS('CHIRP Payment Calc'!V:V,'CHIRP Payment Calc'!H:H,A31)</f>
        <v>333247.10157748801</v>
      </c>
      <c r="H31" s="67">
        <f>SUMIFS('CHIRP Payment Calc'!AE:AE,'CHIRP Payment Calc'!H:H,A31)</f>
        <v>0</v>
      </c>
      <c r="I31" s="106">
        <f t="shared" si="2"/>
        <v>0.9969387663510425</v>
      </c>
      <c r="J31" s="67">
        <f t="shared" si="3"/>
        <v>0</v>
      </c>
      <c r="K31" s="106">
        <f t="shared" si="4"/>
        <v>0</v>
      </c>
      <c r="L31" s="67">
        <v>0</v>
      </c>
      <c r="M31" s="67">
        <v>0</v>
      </c>
      <c r="N31" s="67">
        <f>SUMIFS('CHIRP Payment Calc'!W:W,'CHIRP Payment Calc'!H:H,A31)</f>
        <v>0</v>
      </c>
      <c r="O31" s="67">
        <f>SUMIFS('CHIRP Payment Calc'!AF:AF,'CHIRP Payment Calc'!H:H,A31)</f>
        <v>0</v>
      </c>
      <c r="P31" s="106">
        <f t="shared" si="5"/>
        <v>0</v>
      </c>
      <c r="Q31" s="67">
        <f t="shared" si="6"/>
        <v>0</v>
      </c>
      <c r="R31" s="111">
        <f t="shared" si="7"/>
        <v>0</v>
      </c>
    </row>
    <row r="32" spans="1:18">
      <c r="A32" s="24" t="s">
        <v>2507</v>
      </c>
      <c r="B32" s="88" t="s">
        <v>2396</v>
      </c>
      <c r="C32" s="88" t="s">
        <v>1189</v>
      </c>
      <c r="D32" s="67">
        <v>5170643.3480292913</v>
      </c>
      <c r="E32" s="67">
        <v>514370.64</v>
      </c>
      <c r="F32" s="67">
        <v>0</v>
      </c>
      <c r="G32" s="67">
        <f>SUMIFS('CHIRP Payment Calc'!V:V,'CHIRP Payment Calc'!H:H,A32)</f>
        <v>111390.46413165113</v>
      </c>
      <c r="H32" s="67">
        <f>SUMIFS('CHIRP Payment Calc'!AE:AE,'CHIRP Payment Calc'!H:H,A32)</f>
        <v>1274763.2531631268</v>
      </c>
      <c r="I32" s="106">
        <f t="shared" si="2"/>
        <v>0.36756051991463162</v>
      </c>
      <c r="J32" s="67">
        <f t="shared" si="3"/>
        <v>1274763.2531631268</v>
      </c>
      <c r="K32" s="106">
        <f t="shared" si="4"/>
        <v>1</v>
      </c>
      <c r="L32" s="67">
        <v>0</v>
      </c>
      <c r="M32" s="67">
        <v>0</v>
      </c>
      <c r="N32" s="67">
        <f>SUMIFS('CHIRP Payment Calc'!W:W,'CHIRP Payment Calc'!H:H,A32)</f>
        <v>0</v>
      </c>
      <c r="O32" s="67">
        <f>SUMIFS('CHIRP Payment Calc'!AF:AF,'CHIRP Payment Calc'!H:H,A32)</f>
        <v>0</v>
      </c>
      <c r="P32" s="106">
        <f t="shared" si="5"/>
        <v>0</v>
      </c>
      <c r="Q32" s="67">
        <f t="shared" si="6"/>
        <v>0</v>
      </c>
      <c r="R32" s="111">
        <f t="shared" si="7"/>
        <v>0</v>
      </c>
    </row>
    <row r="33" spans="1:18">
      <c r="A33" s="24" t="s">
        <v>2524</v>
      </c>
      <c r="B33" s="88" t="s">
        <v>2398</v>
      </c>
      <c r="C33" s="88" t="s">
        <v>1189</v>
      </c>
      <c r="D33" s="67">
        <v>80061.405605356587</v>
      </c>
      <c r="E33" s="67">
        <v>188938.66</v>
      </c>
      <c r="F33" s="67">
        <v>0</v>
      </c>
      <c r="G33" s="67">
        <f>SUMIFS('CHIRP Payment Calc'!V:V,'CHIRP Payment Calc'!H:H,A33)</f>
        <v>53304.181631971092</v>
      </c>
      <c r="H33" s="67">
        <f>SUMIFS('CHIRP Payment Calc'!AE:AE,'CHIRP Payment Calc'!H:H,A33)</f>
        <v>0</v>
      </c>
      <c r="I33" s="106">
        <f t="shared" si="2"/>
        <v>3.0257130736131317</v>
      </c>
      <c r="J33" s="67">
        <f t="shared" si="3"/>
        <v>0</v>
      </c>
      <c r="K33" s="106">
        <f t="shared" si="4"/>
        <v>0</v>
      </c>
      <c r="L33" s="67">
        <v>0</v>
      </c>
      <c r="M33" s="67">
        <v>0</v>
      </c>
      <c r="N33" s="67">
        <f>SUMIFS('CHIRP Payment Calc'!W:W,'CHIRP Payment Calc'!H:H,A33)</f>
        <v>0</v>
      </c>
      <c r="O33" s="67">
        <f>SUMIFS('CHIRP Payment Calc'!AF:AF,'CHIRP Payment Calc'!H:H,A33)</f>
        <v>0</v>
      </c>
      <c r="P33" s="106">
        <f t="shared" si="5"/>
        <v>0</v>
      </c>
      <c r="Q33" s="67">
        <f t="shared" si="6"/>
        <v>0</v>
      </c>
      <c r="R33" s="111">
        <f t="shared" si="7"/>
        <v>0</v>
      </c>
    </row>
    <row r="34" spans="1:18">
      <c r="A34" s="24" t="s">
        <v>2494</v>
      </c>
      <c r="B34" s="88" t="s">
        <v>2283</v>
      </c>
      <c r="C34" s="88" t="s">
        <v>1189</v>
      </c>
      <c r="D34" s="67">
        <v>192449419.44083714</v>
      </c>
      <c r="E34" s="67">
        <v>49319974.640000001</v>
      </c>
      <c r="F34" s="67">
        <v>27849997</v>
      </c>
      <c r="G34" s="67">
        <f>SUMIFS('CHIRP Payment Calc'!V:V,'CHIRP Payment Calc'!H:H,A34)</f>
        <v>7132955.6253652144</v>
      </c>
      <c r="H34" s="67">
        <f>SUMIFS('CHIRP Payment Calc'!AE:AE,'CHIRP Payment Calc'!H:H,A34)</f>
        <v>92313943.98471202</v>
      </c>
      <c r="I34" s="106">
        <f t="shared" si="2"/>
        <v>0.91773137982561104</v>
      </c>
      <c r="J34" s="67">
        <f t="shared" si="3"/>
        <v>88901550.231388211</v>
      </c>
      <c r="K34" s="106">
        <f t="shared" si="4"/>
        <v>0.96303490452223628</v>
      </c>
      <c r="L34" s="67">
        <v>58876350.236361682</v>
      </c>
      <c r="M34" s="67">
        <v>17563495.970000003</v>
      </c>
      <c r="N34" s="67">
        <f>SUMIFS('CHIRP Payment Calc'!W:W,'CHIRP Payment Calc'!H:H,A34)</f>
        <v>18147957.424613956</v>
      </c>
      <c r="O34" s="67">
        <f>SUMIFS('CHIRP Payment Calc'!AF:AF,'CHIRP Payment Calc'!H:H,A34)</f>
        <v>16192887.159011353</v>
      </c>
      <c r="P34" s="106">
        <f t="shared" si="5"/>
        <v>0.88158216916050458</v>
      </c>
      <c r="Q34" s="67">
        <f t="shared" si="6"/>
        <v>16192887.159011353</v>
      </c>
      <c r="R34" s="111">
        <f t="shared" si="7"/>
        <v>1</v>
      </c>
    </row>
    <row r="35" spans="1:18">
      <c r="A35" s="24" t="s">
        <v>2477</v>
      </c>
      <c r="B35" s="88" t="s">
        <v>1547</v>
      </c>
      <c r="C35" s="88" t="s">
        <v>487</v>
      </c>
      <c r="D35" s="67">
        <v>126479954.23113717</v>
      </c>
      <c r="E35" s="67">
        <v>60794838.979999997</v>
      </c>
      <c r="F35" s="67">
        <v>0</v>
      </c>
      <c r="G35" s="67">
        <f>SUMIFS('CHIRP Payment Calc'!V:V,'CHIRP Payment Calc'!H:H,A35)</f>
        <v>20266738.623579666</v>
      </c>
      <c r="H35" s="67">
        <f>SUMIFS('CHIRP Payment Calc'!AE:AE,'CHIRP Payment Calc'!H:H,A35)</f>
        <v>31448387.519347757</v>
      </c>
      <c r="I35" s="106">
        <f t="shared" si="2"/>
        <v>0.88954780073148876</v>
      </c>
      <c r="J35" s="67">
        <f t="shared" si="3"/>
        <v>31448387.519347757</v>
      </c>
      <c r="K35" s="106">
        <f t="shared" si="4"/>
        <v>1</v>
      </c>
      <c r="L35" s="67">
        <v>50814484.410023317</v>
      </c>
      <c r="M35" s="67">
        <v>12173540.75</v>
      </c>
      <c r="N35" s="67">
        <f>SUMIFS('CHIRP Payment Calc'!W:W,'CHIRP Payment Calc'!H:H,A35)</f>
        <v>13147274.11277673</v>
      </c>
      <c r="O35" s="67">
        <f>SUMIFS('CHIRP Payment Calc'!AF:AF,'CHIRP Payment Calc'!H:H,A35)</f>
        <v>17708573.294760495</v>
      </c>
      <c r="P35" s="106">
        <f t="shared" si="5"/>
        <v>0.84679375688105063</v>
      </c>
      <c r="Q35" s="67">
        <f t="shared" si="6"/>
        <v>17708573.294760495</v>
      </c>
      <c r="R35" s="111">
        <f t="shared" si="7"/>
        <v>1</v>
      </c>
    </row>
    <row r="36" spans="1:18">
      <c r="A36" s="24" t="s">
        <v>2502</v>
      </c>
      <c r="B36" s="88" t="s">
        <v>2295</v>
      </c>
      <c r="C36" s="88" t="s">
        <v>310</v>
      </c>
      <c r="D36" s="67">
        <v>53342541.533867404</v>
      </c>
      <c r="E36" s="67">
        <v>41748852.290000007</v>
      </c>
      <c r="F36" s="67">
        <v>0</v>
      </c>
      <c r="G36" s="67">
        <f>SUMIFS('CHIRP Payment Calc'!V:V,'CHIRP Payment Calc'!H:H,A36)</f>
        <v>0</v>
      </c>
      <c r="H36" s="67">
        <f>SUMIFS('CHIRP Payment Calc'!AE:AE,'CHIRP Payment Calc'!H:H,A36)</f>
        <v>9203497.2152926177</v>
      </c>
      <c r="I36" s="106">
        <f t="shared" si="2"/>
        <v>0.95519163579678268</v>
      </c>
      <c r="J36" s="67">
        <f t="shared" si="3"/>
        <v>6259435.0904806554</v>
      </c>
      <c r="K36" s="106">
        <f t="shared" si="4"/>
        <v>0.68011484591747573</v>
      </c>
      <c r="L36" s="67">
        <v>38149679.899763629</v>
      </c>
      <c r="M36" s="67">
        <v>11702059.220000001</v>
      </c>
      <c r="N36" s="67">
        <f>SUMIFS('CHIRP Payment Calc'!W:W,'CHIRP Payment Calc'!H:H,A36)</f>
        <v>10566772.354456354</v>
      </c>
      <c r="O36" s="67">
        <f>SUMIFS('CHIRP Payment Calc'!AF:AF,'CHIRP Payment Calc'!H:H,A36)</f>
        <v>11339896.821855064</v>
      </c>
      <c r="P36" s="106">
        <f t="shared" si="5"/>
        <v>0.88097012831081845</v>
      </c>
      <c r="Q36" s="67">
        <f t="shared" si="6"/>
        <v>11339896.821855064</v>
      </c>
      <c r="R36" s="111">
        <f t="shared" si="7"/>
        <v>1</v>
      </c>
    </row>
    <row r="37" spans="1:18">
      <c r="A37" s="24" t="s">
        <v>2516</v>
      </c>
      <c r="B37" s="88" t="s">
        <v>2295</v>
      </c>
      <c r="C37" s="88" t="s">
        <v>487</v>
      </c>
      <c r="D37" s="67">
        <v>3109328.5316229523</v>
      </c>
      <c r="E37" s="67">
        <v>1533272.2000000002</v>
      </c>
      <c r="F37" s="67">
        <v>0</v>
      </c>
      <c r="G37" s="67">
        <f>SUMIFS('CHIRP Payment Calc'!V:V,'CHIRP Payment Calc'!H:H,A37)</f>
        <v>1319305.8716776622</v>
      </c>
      <c r="H37" s="67">
        <f>SUMIFS('CHIRP Payment Calc'!AE:AE,'CHIRP Payment Calc'!H:H,A37)</f>
        <v>315053.74261044647</v>
      </c>
      <c r="I37" s="106">
        <f t="shared" si="2"/>
        <v>1.0187510847027557</v>
      </c>
      <c r="J37" s="67">
        <f t="shared" si="3"/>
        <v>0</v>
      </c>
      <c r="K37" s="106">
        <f t="shared" si="4"/>
        <v>0</v>
      </c>
      <c r="L37" s="67">
        <v>3812136.3324503656</v>
      </c>
      <c r="M37" s="67">
        <v>1573272.5</v>
      </c>
      <c r="N37" s="67">
        <f>SUMIFS('CHIRP Payment Calc'!W:W,'CHIRP Payment Calc'!H:H,A37)</f>
        <v>631353.72723490174</v>
      </c>
      <c r="O37" s="67">
        <f>SUMIFS('CHIRP Payment Calc'!AF:AF,'CHIRP Payment Calc'!H:H,A37)</f>
        <v>1104382.9174769588</v>
      </c>
      <c r="P37" s="106">
        <f t="shared" si="5"/>
        <v>0.86801962368037744</v>
      </c>
      <c r="Q37" s="67">
        <f t="shared" si="6"/>
        <v>1104382.9174769588</v>
      </c>
      <c r="R37" s="111">
        <f t="shared" si="7"/>
        <v>1</v>
      </c>
    </row>
    <row r="38" spans="1:18">
      <c r="A38" s="24" t="s">
        <v>2520</v>
      </c>
      <c r="B38" s="88" t="s">
        <v>2295</v>
      </c>
      <c r="C38" s="88" t="s">
        <v>1486</v>
      </c>
      <c r="D38" s="67">
        <v>11217865.162970953</v>
      </c>
      <c r="E38" s="67">
        <v>7698821.4399999985</v>
      </c>
      <c r="F38" s="67">
        <v>0</v>
      </c>
      <c r="G38" s="67">
        <f>SUMIFS('CHIRP Payment Calc'!V:V,'CHIRP Payment Calc'!H:H,A38)</f>
        <v>1163440.253478643</v>
      </c>
      <c r="H38" s="67">
        <f>SUMIFS('CHIRP Payment Calc'!AE:AE,'CHIRP Payment Calc'!H:H,A38)</f>
        <v>2383071.6852824683</v>
      </c>
      <c r="I38" s="106">
        <f t="shared" si="2"/>
        <v>1.002448613474231</v>
      </c>
      <c r="J38" s="67">
        <f t="shared" si="3"/>
        <v>1233816.9531952166</v>
      </c>
      <c r="K38" s="106">
        <f t="shared" si="4"/>
        <v>0.51774227389595739</v>
      </c>
      <c r="L38" s="67">
        <v>13249258.318091864</v>
      </c>
      <c r="M38" s="67">
        <v>5866112.0199999996</v>
      </c>
      <c r="N38" s="67">
        <f>SUMIFS('CHIRP Payment Calc'!W:W,'CHIRP Payment Calc'!H:H,A38)</f>
        <v>1456780.1620970487</v>
      </c>
      <c r="O38" s="67">
        <f>SUMIFS('CHIRP Payment Calc'!AF:AF,'CHIRP Payment Calc'!H:H,A38)</f>
        <v>4553311.3958893474</v>
      </c>
      <c r="P38" s="106">
        <f t="shared" si="5"/>
        <v>0.89636742622562049</v>
      </c>
      <c r="Q38" s="67">
        <f t="shared" si="6"/>
        <v>4553311.3958893474</v>
      </c>
      <c r="R38" s="111">
        <f t="shared" si="7"/>
        <v>1</v>
      </c>
    </row>
    <row r="39" spans="1:18">
      <c r="A39" s="24" t="s">
        <v>2515</v>
      </c>
      <c r="B39" s="88" t="s">
        <v>2295</v>
      </c>
      <c r="C39" s="88" t="s">
        <v>1202</v>
      </c>
      <c r="D39" s="67">
        <v>4516407.9732214026</v>
      </c>
      <c r="E39" s="67">
        <v>2460262.2199999997</v>
      </c>
      <c r="F39" s="67">
        <v>0</v>
      </c>
      <c r="G39" s="67">
        <f>SUMIFS('CHIRP Payment Calc'!V:V,'CHIRP Payment Calc'!H:H,A39)</f>
        <v>244566.3881213264</v>
      </c>
      <c r="H39" s="67">
        <f>SUMIFS('CHIRP Payment Calc'!AE:AE,'CHIRP Payment Calc'!H:H,A39)</f>
        <v>1262935.9739000639</v>
      </c>
      <c r="I39" s="106">
        <f t="shared" si="2"/>
        <v>0.87852218080097766</v>
      </c>
      <c r="J39" s="67">
        <f t="shared" si="3"/>
        <v>1262935.9739000639</v>
      </c>
      <c r="K39" s="106">
        <f t="shared" si="4"/>
        <v>1</v>
      </c>
      <c r="L39" s="67">
        <v>3466680.5071457955</v>
      </c>
      <c r="M39" s="67">
        <v>1781541.01</v>
      </c>
      <c r="N39" s="67">
        <f>SUMIFS('CHIRP Payment Calc'!W:W,'CHIRP Payment Calc'!H:H,A39)</f>
        <v>911475.98147626105</v>
      </c>
      <c r="O39" s="67">
        <f>SUMIFS('CHIRP Payment Calc'!AF:AF,'CHIRP Payment Calc'!H:H,A39)</f>
        <v>524097.27568099927</v>
      </c>
      <c r="P39" s="106">
        <f t="shared" si="5"/>
        <v>0.92801002588092285</v>
      </c>
      <c r="Q39" s="67">
        <f t="shared" si="6"/>
        <v>426995.46495495504</v>
      </c>
      <c r="R39" s="111">
        <f t="shared" si="7"/>
        <v>0.81472559535847133</v>
      </c>
    </row>
    <row r="40" spans="1:18">
      <c r="A40" s="24" t="s">
        <v>2478</v>
      </c>
      <c r="B40" s="88" t="s">
        <v>1547</v>
      </c>
      <c r="C40" s="88" t="s">
        <v>223</v>
      </c>
      <c r="D40" s="67">
        <v>388872345.47248197</v>
      </c>
      <c r="E40" s="67">
        <v>158390315.19</v>
      </c>
      <c r="F40" s="67">
        <v>0</v>
      </c>
      <c r="G40" s="67">
        <f>SUMIFS('CHIRP Payment Calc'!V:V,'CHIRP Payment Calc'!H:H,A40)</f>
        <v>133384095.52212425</v>
      </c>
      <c r="H40" s="67">
        <f>SUMIFS('CHIRP Payment Calc'!AE:AE,'CHIRP Payment Calc'!H:H,A40)</f>
        <v>69982889.154730365</v>
      </c>
      <c r="I40" s="106">
        <f t="shared" si="2"/>
        <v>0.93027263079692013</v>
      </c>
      <c r="J40" s="67">
        <f t="shared" si="3"/>
        <v>58210700.213109538</v>
      </c>
      <c r="K40" s="106">
        <f t="shared" si="4"/>
        <v>0.83178475361894788</v>
      </c>
      <c r="L40" s="67">
        <v>238940169.57890114</v>
      </c>
      <c r="M40" s="67">
        <v>125723216.62</v>
      </c>
      <c r="N40" s="67">
        <f>SUMIFS('CHIRP Payment Calc'!W:W,'CHIRP Payment Calc'!H:H,A40)</f>
        <v>0</v>
      </c>
      <c r="O40" s="67">
        <f>SUMIFS('CHIRP Payment Calc'!AF:AF,'CHIRP Payment Calc'!H:H,A40)</f>
        <v>78574161.379499346</v>
      </c>
      <c r="P40" s="106">
        <f t="shared" si="5"/>
        <v>0.85501478616820725</v>
      </c>
      <c r="Q40" s="67">
        <f t="shared" si="6"/>
        <v>78574161.379499346</v>
      </c>
      <c r="R40" s="111">
        <f t="shared" si="7"/>
        <v>1</v>
      </c>
    </row>
    <row r="41" spans="1:18">
      <c r="A41" s="24" t="s">
        <v>2530</v>
      </c>
      <c r="B41" s="88" t="s">
        <v>2398</v>
      </c>
      <c r="C41" s="88" t="s">
        <v>1514</v>
      </c>
      <c r="D41" s="67">
        <v>1554.4622007494813</v>
      </c>
      <c r="E41" s="67">
        <v>2185</v>
      </c>
      <c r="F41" s="67">
        <v>0</v>
      </c>
      <c r="G41" s="67">
        <f>SUMIFS('CHIRP Payment Calc'!V:V,'CHIRP Payment Calc'!H:H,A41)</f>
        <v>1379.0119634164664</v>
      </c>
      <c r="H41" s="67">
        <f>SUMIFS('CHIRP Payment Calc'!AE:AE,'CHIRP Payment Calc'!H:H,A41)</f>
        <v>0</v>
      </c>
      <c r="I41" s="106">
        <f t="shared" si="2"/>
        <v>2.2927620637530359</v>
      </c>
      <c r="J41" s="67">
        <f t="shared" si="3"/>
        <v>0</v>
      </c>
      <c r="K41" s="106">
        <f t="shared" si="4"/>
        <v>0</v>
      </c>
      <c r="L41" s="67">
        <v>0</v>
      </c>
      <c r="M41" s="67">
        <v>0</v>
      </c>
      <c r="N41" s="67">
        <f>SUMIFS('CHIRP Payment Calc'!W:W,'CHIRP Payment Calc'!H:H,A41)</f>
        <v>0</v>
      </c>
      <c r="O41" s="67">
        <f>SUMIFS('CHIRP Payment Calc'!AF:AF,'CHIRP Payment Calc'!H:H,A41)</f>
        <v>0</v>
      </c>
      <c r="P41" s="106">
        <f t="shared" si="5"/>
        <v>0</v>
      </c>
      <c r="Q41" s="67">
        <f t="shared" si="6"/>
        <v>0</v>
      </c>
      <c r="R41" s="111">
        <f t="shared" si="7"/>
        <v>0</v>
      </c>
    </row>
    <row r="42" spans="1:18">
      <c r="A42" s="24" t="s">
        <v>2501</v>
      </c>
      <c r="B42" s="88" t="s">
        <v>2295</v>
      </c>
      <c r="C42" s="88" t="s">
        <v>1514</v>
      </c>
      <c r="D42" s="67">
        <v>8852644.2247538082</v>
      </c>
      <c r="E42" s="67">
        <v>5843767.9900000002</v>
      </c>
      <c r="F42" s="67">
        <v>0</v>
      </c>
      <c r="G42" s="67">
        <f>SUMIFS('CHIRP Payment Calc'!V:V,'CHIRP Payment Calc'!H:H,A42)</f>
        <v>0</v>
      </c>
      <c r="H42" s="67">
        <f>SUMIFS('CHIRP Payment Calc'!AE:AE,'CHIRP Payment Calc'!H:H,A42)</f>
        <v>2092611.1810585971</v>
      </c>
      <c r="I42" s="106">
        <f t="shared" si="2"/>
        <v>0.89649815010828671</v>
      </c>
      <c r="J42" s="67">
        <f t="shared" si="3"/>
        <v>2092611.1810585971</v>
      </c>
      <c r="K42" s="106">
        <f t="shared" si="4"/>
        <v>1</v>
      </c>
      <c r="L42" s="67">
        <v>6690210.2840508567</v>
      </c>
      <c r="M42" s="67">
        <v>2479788.37</v>
      </c>
      <c r="N42" s="67">
        <f>SUMIFS('CHIRP Payment Calc'!W:W,'CHIRP Payment Calc'!H:H,A42)</f>
        <v>408039.1255370932</v>
      </c>
      <c r="O42" s="67">
        <f>SUMIFS('CHIRP Payment Calc'!AF:AF,'CHIRP Payment Calc'!H:H,A42)</f>
        <v>2660432.0461373404</v>
      </c>
      <c r="P42" s="106">
        <f t="shared" si="5"/>
        <v>0.82931018699086634</v>
      </c>
      <c r="Q42" s="67">
        <f t="shared" si="6"/>
        <v>2660432.0461373404</v>
      </c>
      <c r="R42" s="111">
        <f t="shared" si="7"/>
        <v>1</v>
      </c>
    </row>
    <row r="43" spans="1:18">
      <c r="A43" s="24" t="s">
        <v>2497</v>
      </c>
      <c r="B43" s="88" t="s">
        <v>2283</v>
      </c>
      <c r="C43" s="88" t="s">
        <v>227</v>
      </c>
      <c r="D43" s="67">
        <v>148127433.04338345</v>
      </c>
      <c r="E43" s="67">
        <v>45775975.920000002</v>
      </c>
      <c r="F43" s="67">
        <v>9696215</v>
      </c>
      <c r="G43" s="67">
        <f>SUMIFS('CHIRP Payment Calc'!V:V,'CHIRP Payment Calc'!H:H,A43)</f>
        <v>20755020.107686877</v>
      </c>
      <c r="H43" s="67">
        <f>SUMIFS('CHIRP Payment Calc'!AE:AE,'CHIRP Payment Calc'!H:H,A43)</f>
        <v>53296728.434802845</v>
      </c>
      <c r="I43" s="106">
        <f t="shared" si="2"/>
        <v>0.87440885730163742</v>
      </c>
      <c r="J43" s="67">
        <f t="shared" si="3"/>
        <v>53296728.434802845</v>
      </c>
      <c r="K43" s="106">
        <f t="shared" si="4"/>
        <v>1</v>
      </c>
      <c r="L43" s="67">
        <v>56906159.67887184</v>
      </c>
      <c r="M43" s="67">
        <v>12210781.92</v>
      </c>
      <c r="N43" s="67">
        <f>SUMIFS('CHIRP Payment Calc'!W:W,'CHIRP Payment Calc'!H:H,A43)</f>
        <v>25205061.044855218</v>
      </c>
      <c r="O43" s="67">
        <f>SUMIFS('CHIRP Payment Calc'!AF:AF,'CHIRP Payment Calc'!H:H,A43)</f>
        <v>14453976.945682336</v>
      </c>
      <c r="P43" s="106">
        <f t="shared" si="5"/>
        <v>0.91149745832867757</v>
      </c>
      <c r="Q43" s="67">
        <f t="shared" si="6"/>
        <v>13799700.746129435</v>
      </c>
      <c r="R43" s="111">
        <f t="shared" si="7"/>
        <v>0.9547338284811403</v>
      </c>
    </row>
    <row r="44" spans="1:18">
      <c r="A44" s="24" t="s">
        <v>2480</v>
      </c>
      <c r="B44" s="88" t="s">
        <v>1547</v>
      </c>
      <c r="C44" s="88" t="s">
        <v>300</v>
      </c>
      <c r="D44" s="67">
        <v>587204492.40903187</v>
      </c>
      <c r="E44" s="67">
        <v>300110631.77999997</v>
      </c>
      <c r="F44" s="67">
        <v>0</v>
      </c>
      <c r="G44" s="67">
        <f>SUMIFS('CHIRP Payment Calc'!V:V,'CHIRP Payment Calc'!H:H,A44)</f>
        <v>367941071.90567183</v>
      </c>
      <c r="H44" s="67">
        <f>SUMIFS('CHIRP Payment Calc'!AE:AE,'CHIRP Payment Calc'!H:H,A44)</f>
        <v>0</v>
      </c>
      <c r="I44" s="106">
        <f t="shared" si="2"/>
        <v>1.1376815271711576</v>
      </c>
      <c r="J44" s="67">
        <f t="shared" si="3"/>
        <v>0</v>
      </c>
      <c r="K44" s="106">
        <f t="shared" si="4"/>
        <v>0</v>
      </c>
      <c r="L44" s="67">
        <v>262206002.93236011</v>
      </c>
      <c r="M44" s="67">
        <v>130194090.37</v>
      </c>
      <c r="N44" s="67">
        <f>SUMIFS('CHIRP Payment Calc'!W:W,'CHIRP Payment Calc'!H:H,A44)</f>
        <v>11132408.30045592</v>
      </c>
      <c r="O44" s="67">
        <f>SUMIFS('CHIRP Payment Calc'!AF:AF,'CHIRP Payment Calc'!H:H,A44)</f>
        <v>83493062.253419399</v>
      </c>
      <c r="P44" s="106">
        <f t="shared" si="5"/>
        <v>0.85741576626630789</v>
      </c>
      <c r="Q44" s="67">
        <f t="shared" si="6"/>
        <v>83493062.253419399</v>
      </c>
      <c r="R44" s="111">
        <f t="shared" si="7"/>
        <v>1</v>
      </c>
    </row>
    <row r="45" spans="1:18">
      <c r="A45" s="24" t="s">
        <v>2490</v>
      </c>
      <c r="B45" s="88" t="s">
        <v>2283</v>
      </c>
      <c r="C45" s="88" t="s">
        <v>1514</v>
      </c>
      <c r="D45" s="67">
        <v>404411613.06198591</v>
      </c>
      <c r="E45" s="67">
        <v>125543137.39000002</v>
      </c>
      <c r="F45" s="67">
        <v>0</v>
      </c>
      <c r="G45" s="67">
        <f>SUMIFS('CHIRP Payment Calc'!V:V,'CHIRP Payment Calc'!H:H,A45)</f>
        <v>133679044.10321677</v>
      </c>
      <c r="H45" s="67">
        <f>SUMIFS('CHIRP Payment Calc'!AE:AE,'CHIRP Payment Calc'!H:H,A45)</f>
        <v>101271254.12575595</v>
      </c>
      <c r="I45" s="106">
        <f t="shared" si="2"/>
        <v>0.89140228414686584</v>
      </c>
      <c r="J45" s="67">
        <f t="shared" si="3"/>
        <v>101271254.12575595</v>
      </c>
      <c r="K45" s="106">
        <f t="shared" si="4"/>
        <v>1</v>
      </c>
      <c r="L45" s="67">
        <v>154123325.47673708</v>
      </c>
      <c r="M45" s="67">
        <v>46090404.939999998</v>
      </c>
      <c r="N45" s="67">
        <f>SUMIFS('CHIRP Payment Calc'!W:W,'CHIRP Payment Calc'!H:H,A45)</f>
        <v>59709657.025608793</v>
      </c>
      <c r="O45" s="67">
        <f>SUMIFS('CHIRP Payment Calc'!AF:AF,'CHIRP Payment Calc'!H:H,A45)</f>
        <v>34110921.355011933</v>
      </c>
      <c r="P45" s="106">
        <f t="shared" si="5"/>
        <v>0.90778591032762568</v>
      </c>
      <c r="Q45" s="67">
        <f t="shared" si="6"/>
        <v>32910930.963454589</v>
      </c>
      <c r="R45" s="111">
        <f t="shared" si="7"/>
        <v>0.96482093288925397</v>
      </c>
    </row>
    <row r="46" spans="1:18">
      <c r="A46" s="24" t="s">
        <v>2489</v>
      </c>
      <c r="B46" s="88" t="s">
        <v>2283</v>
      </c>
      <c r="C46" s="88" t="s">
        <v>1486</v>
      </c>
      <c r="D46" s="67">
        <v>189882899.51956052</v>
      </c>
      <c r="E46" s="67">
        <v>73985544.859999999</v>
      </c>
      <c r="F46" s="67">
        <v>0</v>
      </c>
      <c r="G46" s="67">
        <f>SUMIFS('CHIRP Payment Calc'!V:V,'CHIRP Payment Calc'!H:H,A46)</f>
        <v>45678326.262232654</v>
      </c>
      <c r="H46" s="67">
        <f>SUMIFS('CHIRP Payment Calc'!AE:AE,'CHIRP Payment Calc'!H:H,A46)</f>
        <v>48701565.985102259</v>
      </c>
      <c r="I46" s="106">
        <f t="shared" si="2"/>
        <v>0.88668035685852264</v>
      </c>
      <c r="J46" s="67">
        <f t="shared" si="3"/>
        <v>48701565.985102259</v>
      </c>
      <c r="K46" s="106">
        <f t="shared" si="4"/>
        <v>1</v>
      </c>
      <c r="L46" s="67">
        <v>82193602.301867843</v>
      </c>
      <c r="M46" s="67">
        <v>23406831.969999999</v>
      </c>
      <c r="N46" s="67">
        <f>SUMIFS('CHIRP Payment Calc'!W:W,'CHIRP Payment Calc'!H:H,A46)</f>
        <v>55185369.85645479</v>
      </c>
      <c r="O46" s="67">
        <f>SUMIFS('CHIRP Payment Calc'!AF:AF,'CHIRP Payment Calc'!H:H,A46)</f>
        <v>6035290.7119235909</v>
      </c>
      <c r="P46" s="106">
        <f t="shared" si="5"/>
        <v>1.029611674976499</v>
      </c>
      <c r="Q46" s="67">
        <f t="shared" si="6"/>
        <v>0</v>
      </c>
      <c r="R46" s="111">
        <f t="shared" si="7"/>
        <v>0</v>
      </c>
    </row>
    <row r="47" spans="1:18">
      <c r="A47" s="24" t="s">
        <v>2493</v>
      </c>
      <c r="B47" s="88" t="s">
        <v>2283</v>
      </c>
      <c r="C47" s="88" t="s">
        <v>1548</v>
      </c>
      <c r="D47" s="67">
        <v>132682716.21431135</v>
      </c>
      <c r="E47" s="67">
        <v>44217044.170000002</v>
      </c>
      <c r="F47" s="67">
        <v>17659406</v>
      </c>
      <c r="G47" s="67">
        <f>SUMIFS('CHIRP Payment Calc'!V:V,'CHIRP Payment Calc'!H:H,A47)</f>
        <v>19474639.399508718</v>
      </c>
      <c r="H47" s="67">
        <f>SUMIFS('CHIRP Payment Calc'!AE:AE,'CHIRP Payment Calc'!H:H,A47)</f>
        <v>35817325.681075022</v>
      </c>
      <c r="I47" s="106">
        <f t="shared" si="2"/>
        <v>0.88307217845413533</v>
      </c>
      <c r="J47" s="67">
        <f t="shared" si="3"/>
        <v>35817325.681075022</v>
      </c>
      <c r="K47" s="106">
        <f t="shared" si="4"/>
        <v>1</v>
      </c>
      <c r="L47" s="67">
        <v>35727704.226501063</v>
      </c>
      <c r="M47" s="67">
        <v>10401772.550000001</v>
      </c>
      <c r="N47" s="67">
        <f>SUMIFS('CHIRP Payment Calc'!W:W,'CHIRP Payment Calc'!H:H,A47)</f>
        <v>15927286.915221572</v>
      </c>
      <c r="O47" s="67">
        <f>SUMIFS('CHIRP Payment Calc'!AF:AF,'CHIRP Payment Calc'!H:H,A47)</f>
        <v>6561130.7103645075</v>
      </c>
      <c r="P47" s="106">
        <f t="shared" si="5"/>
        <v>0.92057944633312738</v>
      </c>
      <c r="Q47" s="67">
        <f t="shared" si="6"/>
        <v>5825874.3386293836</v>
      </c>
      <c r="R47" s="111">
        <f t="shared" si="7"/>
        <v>0.88793755159097021</v>
      </c>
    </row>
    <row r="48" spans="1:18">
      <c r="A48" s="24" t="s">
        <v>2479</v>
      </c>
      <c r="B48" s="88" t="s">
        <v>1547</v>
      </c>
      <c r="C48" s="88" t="s">
        <v>1189</v>
      </c>
      <c r="D48" s="67">
        <v>37558609.570703365</v>
      </c>
      <c r="E48" s="67">
        <v>20432365.010000002</v>
      </c>
      <c r="F48" s="67">
        <v>0</v>
      </c>
      <c r="G48" s="67">
        <f>SUMIFS('CHIRP Payment Calc'!V:V,'CHIRP Payment Calc'!H:H,A48)</f>
        <v>0</v>
      </c>
      <c r="H48" s="67">
        <f>SUMIFS('CHIRP Payment Calc'!AE:AE,'CHIRP Payment Calc'!H:H,A48)</f>
        <v>11864055.209354091</v>
      </c>
      <c r="I48" s="106">
        <f t="shared" si="2"/>
        <v>0.85989392548083277</v>
      </c>
      <c r="J48" s="67">
        <f t="shared" si="3"/>
        <v>11864055.209354091</v>
      </c>
      <c r="K48" s="106">
        <f t="shared" si="4"/>
        <v>1</v>
      </c>
      <c r="L48" s="67">
        <v>18129240.906315118</v>
      </c>
      <c r="M48" s="67">
        <v>2311396.52</v>
      </c>
      <c r="N48" s="67">
        <f>SUMIFS('CHIRP Payment Calc'!W:W,'CHIRP Payment Calc'!H:H,A48)</f>
        <v>4042206.7369817193</v>
      </c>
      <c r="O48" s="67">
        <f>SUMIFS('CHIRP Payment Calc'!AF:AF,'CHIRP Payment Calc'!H:H,A48)</f>
        <v>8199905.0950200586</v>
      </c>
      <c r="P48" s="106">
        <f t="shared" si="5"/>
        <v>0.80276435330131379</v>
      </c>
      <c r="Q48" s="67">
        <f t="shared" si="6"/>
        <v>8199905.0950200586</v>
      </c>
      <c r="R48" s="111">
        <f t="shared" si="7"/>
        <v>1</v>
      </c>
    </row>
    <row r="49" spans="1:18">
      <c r="A49" s="24" t="s">
        <v>2499</v>
      </c>
      <c r="B49" s="88" t="s">
        <v>2397</v>
      </c>
      <c r="C49" s="88" t="s">
        <v>223</v>
      </c>
      <c r="D49" s="67">
        <v>41192242.350352265</v>
      </c>
      <c r="E49" s="67">
        <v>10682906.84</v>
      </c>
      <c r="F49" s="67">
        <v>0</v>
      </c>
      <c r="G49" s="67">
        <f>SUMIFS('CHIRP Payment Calc'!V:V,'CHIRP Payment Calc'!H:H,A49)</f>
        <v>11432317.414768767</v>
      </c>
      <c r="H49" s="67">
        <f>SUMIFS('CHIRP Payment Calc'!AE:AE,'CHIRP Payment Calc'!H:H,A49)</f>
        <v>13337703.65056356</v>
      </c>
      <c r="I49" s="106">
        <f t="shared" si="2"/>
        <v>0.86067001654813147</v>
      </c>
      <c r="J49" s="67">
        <f t="shared" si="3"/>
        <v>13337703.65056356</v>
      </c>
      <c r="K49" s="106">
        <f t="shared" si="4"/>
        <v>1</v>
      </c>
      <c r="L49" s="67">
        <v>12479690.036862645</v>
      </c>
      <c r="M49" s="67">
        <v>2032005.81</v>
      </c>
      <c r="N49" s="67">
        <f>SUMIFS('CHIRP Payment Calc'!W:W,'CHIRP Payment Calc'!H:H,A49)</f>
        <v>5951026.0222347816</v>
      </c>
      <c r="O49" s="67">
        <f>SUMIFS('CHIRP Payment Calc'!AF:AF,'CHIRP Payment Calc'!H:H,A49)</f>
        <v>3114990.1835135189</v>
      </c>
      <c r="P49" s="106">
        <f t="shared" si="5"/>
        <v>0.88928667162139774</v>
      </c>
      <c r="Q49" s="67">
        <f t="shared" si="6"/>
        <v>3114990.1835135189</v>
      </c>
      <c r="R49" s="111">
        <f t="shared" si="7"/>
        <v>1</v>
      </c>
    </row>
    <row r="50" spans="1:18">
      <c r="A50" s="24" t="s">
        <v>2496</v>
      </c>
      <c r="B50" s="88" t="s">
        <v>2283</v>
      </c>
      <c r="C50" s="88" t="s">
        <v>310</v>
      </c>
      <c r="D50" s="67">
        <v>171559699.06240341</v>
      </c>
      <c r="E50" s="67">
        <v>51277082.040000007</v>
      </c>
      <c r="F50" s="67">
        <v>0</v>
      </c>
      <c r="G50" s="67">
        <f>SUMIFS('CHIRP Payment Calc'!V:V,'CHIRP Payment Calc'!H:H,A50)</f>
        <v>42961442.443216167</v>
      </c>
      <c r="H50" s="67">
        <f>SUMIFS('CHIRP Payment Calc'!AE:AE,'CHIRP Payment Calc'!H:H,A50)</f>
        <v>53956971.433134384</v>
      </c>
      <c r="I50" s="106">
        <f t="shared" si="2"/>
        <v>0.86381298595333667</v>
      </c>
      <c r="J50" s="67">
        <f t="shared" si="3"/>
        <v>53956971.433134384</v>
      </c>
      <c r="K50" s="106">
        <f t="shared" si="4"/>
        <v>1</v>
      </c>
      <c r="L50" s="67">
        <v>85966200.894142047</v>
      </c>
      <c r="M50" s="67">
        <v>13813835.559999999</v>
      </c>
      <c r="N50" s="67">
        <f>SUMIFS('CHIRP Payment Calc'!W:W,'CHIRP Payment Calc'!H:H,A50)</f>
        <v>36236606.897755057</v>
      </c>
      <c r="O50" s="67">
        <f>SUMIFS('CHIRP Payment Calc'!AF:AF,'CHIRP Payment Calc'!H:H,A50)</f>
        <v>25404767.438081272</v>
      </c>
      <c r="P50" s="106">
        <f t="shared" si="5"/>
        <v>0.87773112119670316</v>
      </c>
      <c r="Q50" s="67">
        <f t="shared" si="6"/>
        <v>25404767.438081272</v>
      </c>
      <c r="R50" s="111">
        <f t="shared" si="7"/>
        <v>1</v>
      </c>
    </row>
    <row r="51" spans="1:18">
      <c r="A51" s="24" t="s">
        <v>2498</v>
      </c>
      <c r="B51" s="88" t="s">
        <v>2283</v>
      </c>
      <c r="C51" s="88" t="s">
        <v>1550</v>
      </c>
      <c r="D51" s="67">
        <v>90881894.242626995</v>
      </c>
      <c r="E51" s="67">
        <v>19112738.59</v>
      </c>
      <c r="F51" s="67">
        <v>0</v>
      </c>
      <c r="G51" s="67">
        <f>SUMIFS('CHIRP Payment Calc'!V:V,'CHIRP Payment Calc'!H:H,A51)</f>
        <v>21065133.923357453</v>
      </c>
      <c r="H51" s="67">
        <f>SUMIFS('CHIRP Payment Calc'!AE:AE,'CHIRP Payment Calc'!H:H,A51)</f>
        <v>35337705.293589361</v>
      </c>
      <c r="I51" s="106">
        <f t="shared" si="2"/>
        <v>0.83091993665254382</v>
      </c>
      <c r="J51" s="67">
        <f t="shared" si="3"/>
        <v>35337705.293589361</v>
      </c>
      <c r="K51" s="106">
        <f t="shared" si="4"/>
        <v>1</v>
      </c>
      <c r="L51" s="67">
        <v>28968615.08396842</v>
      </c>
      <c r="M51" s="67">
        <v>6835561.54</v>
      </c>
      <c r="N51" s="67">
        <f>SUMIFS('CHIRP Payment Calc'!W:W,'CHIRP Payment Calc'!H:H,A51)</f>
        <v>15056266.515083225</v>
      </c>
      <c r="O51" s="67">
        <f>SUMIFS('CHIRP Payment Calc'!AF:AF,'CHIRP Payment Calc'!H:H,A51)</f>
        <v>4946929.856301466</v>
      </c>
      <c r="P51" s="106">
        <f t="shared" si="5"/>
        <v>0.92647707988766037</v>
      </c>
      <c r="Q51" s="67">
        <f t="shared" si="6"/>
        <v>4179925.5204883534</v>
      </c>
      <c r="R51" s="111">
        <f t="shared" si="7"/>
        <v>0.84495346445309061</v>
      </c>
    </row>
    <row r="52" spans="1:18">
      <c r="A52" s="24" t="s">
        <v>2486</v>
      </c>
      <c r="B52" s="88" t="s">
        <v>2283</v>
      </c>
      <c r="C52" s="88" t="s">
        <v>223</v>
      </c>
      <c r="D52" s="67">
        <v>737296066.3696357</v>
      </c>
      <c r="E52" s="67">
        <v>208487637.54999995</v>
      </c>
      <c r="F52" s="67">
        <v>48491140</v>
      </c>
      <c r="G52" s="67">
        <f>SUMIFS('CHIRP Payment Calc'!V:V,'CHIRP Payment Calc'!H:H,A52)</f>
        <v>153327019.76499081</v>
      </c>
      <c r="H52" s="67">
        <f>SUMIFS('CHIRP Payment Calc'!AE:AE,'CHIRP Payment Calc'!H:H,A52)</f>
        <v>229522497.12910947</v>
      </c>
      <c r="I52" s="106">
        <f t="shared" si="2"/>
        <v>0.86780375432428936</v>
      </c>
      <c r="J52" s="67">
        <f t="shared" si="3"/>
        <v>229522497.12910947</v>
      </c>
      <c r="K52" s="106">
        <f t="shared" si="4"/>
        <v>1</v>
      </c>
      <c r="L52" s="67">
        <v>198336684.15566424</v>
      </c>
      <c r="M52" s="67">
        <v>63056753.559999987</v>
      </c>
      <c r="N52" s="67">
        <f>SUMIFS('CHIRP Payment Calc'!W:W,'CHIRP Payment Calc'!H:H,A52)</f>
        <v>40731711.378347501</v>
      </c>
      <c r="O52" s="67">
        <f>SUMIFS('CHIRP Payment Calc'!AF:AF,'CHIRP Payment Calc'!H:H,A52)</f>
        <v>65473648.330498494</v>
      </c>
      <c r="P52" s="106">
        <f t="shared" si="5"/>
        <v>0.85340800159793373</v>
      </c>
      <c r="Q52" s="67">
        <f t="shared" si="6"/>
        <v>65473648.330498494</v>
      </c>
      <c r="R52" s="111">
        <f t="shared" si="7"/>
        <v>1</v>
      </c>
    </row>
    <row r="53" spans="1:18">
      <c r="A53" s="24" t="s">
        <v>2481</v>
      </c>
      <c r="B53" s="88" t="s">
        <v>1547</v>
      </c>
      <c r="C53" s="88" t="s">
        <v>1526</v>
      </c>
      <c r="D53" s="67">
        <v>45883636.554654323</v>
      </c>
      <c r="E53" s="67">
        <v>23982840.469999999</v>
      </c>
      <c r="F53" s="67">
        <v>0</v>
      </c>
      <c r="G53" s="67">
        <f>SUMIFS('CHIRP Payment Calc'!V:V,'CHIRP Payment Calc'!H:H,A53)</f>
        <v>2619589.7654266334</v>
      </c>
      <c r="H53" s="67">
        <f>SUMIFS('CHIRP Payment Calc'!AE:AE,'CHIRP Payment Calc'!H:H,A53)</f>
        <v>13425397.547811495</v>
      </c>
      <c r="I53" s="106">
        <f t="shared" si="2"/>
        <v>0.87237696897801364</v>
      </c>
      <c r="J53" s="67">
        <f t="shared" si="3"/>
        <v>13425397.547811495</v>
      </c>
      <c r="K53" s="106">
        <f t="shared" si="4"/>
        <v>1</v>
      </c>
      <c r="L53" s="67">
        <v>27583167.20944443</v>
      </c>
      <c r="M53" s="67">
        <v>4638787.26</v>
      </c>
      <c r="N53" s="67">
        <f>SUMIFS('CHIRP Payment Calc'!W:W,'CHIRP Payment Calc'!H:H,A53)</f>
        <v>6744726.6472986098</v>
      </c>
      <c r="O53" s="67">
        <f>SUMIFS('CHIRP Payment Calc'!AF:AF,'CHIRP Payment Calc'!H:H,A53)</f>
        <v>11310387.762393055</v>
      </c>
      <c r="P53" s="106">
        <f t="shared" si="5"/>
        <v>0.82274459264856692</v>
      </c>
      <c r="Q53" s="67">
        <f t="shared" si="6"/>
        <v>11310387.762393055</v>
      </c>
      <c r="R53" s="111">
        <f t="shared" si="7"/>
        <v>1</v>
      </c>
    </row>
    <row r="54" spans="1:18">
      <c r="A54" s="24" t="s">
        <v>2491</v>
      </c>
      <c r="B54" s="88" t="s">
        <v>2283</v>
      </c>
      <c r="C54" s="88" t="s">
        <v>1365</v>
      </c>
      <c r="D54" s="67">
        <v>489670605.08886522</v>
      </c>
      <c r="E54" s="67">
        <v>120682320.54999998</v>
      </c>
      <c r="F54" s="67">
        <v>0</v>
      </c>
      <c r="G54" s="67">
        <f>SUMIFS('CHIRP Payment Calc'!V:V,'CHIRP Payment Calc'!H:H,A54)</f>
        <v>129854533.15016554</v>
      </c>
      <c r="H54" s="67">
        <f>SUMIFS('CHIRP Payment Calc'!AE:AE,'CHIRP Payment Calc'!H:H,A54)</f>
        <v>165617592.2180728</v>
      </c>
      <c r="I54" s="106">
        <f t="shared" si="2"/>
        <v>0.84986609690960468</v>
      </c>
      <c r="J54" s="67">
        <f t="shared" si="3"/>
        <v>165617592.2180728</v>
      </c>
      <c r="K54" s="106">
        <f t="shared" si="4"/>
        <v>1</v>
      </c>
      <c r="L54" s="67">
        <v>117737164.56613156</v>
      </c>
      <c r="M54" s="67">
        <v>38307382.839999996</v>
      </c>
      <c r="N54" s="67">
        <f>SUMIFS('CHIRP Payment Calc'!W:W,'CHIRP Payment Calc'!H:H,A54)</f>
        <v>43137054.942207254</v>
      </c>
      <c r="O54" s="67">
        <f>SUMIFS('CHIRP Payment Calc'!AF:AF,'CHIRP Payment Calc'!H:H,A54)</f>
        <v>25505128.620089304</v>
      </c>
      <c r="P54" s="106">
        <f t="shared" si="5"/>
        <v>0.90837559063369711</v>
      </c>
      <c r="Q54" s="67">
        <f t="shared" si="6"/>
        <v>24519010.327311151</v>
      </c>
      <c r="R54" s="111">
        <f t="shared" si="7"/>
        <v>0.961336470501018</v>
      </c>
    </row>
    <row r="55" spans="1:18">
      <c r="A55" s="24" t="s">
        <v>2482</v>
      </c>
      <c r="B55" s="88" t="s">
        <v>1547</v>
      </c>
      <c r="C55" s="88" t="s">
        <v>1548</v>
      </c>
      <c r="D55" s="67">
        <v>164096358.44956633</v>
      </c>
      <c r="E55" s="67">
        <v>56443473.549999997</v>
      </c>
      <c r="F55" s="67">
        <v>0</v>
      </c>
      <c r="G55" s="67">
        <f>SUMIFS('CHIRP Payment Calc'!V:V,'CHIRP Payment Calc'!H:H,A55)</f>
        <v>41286448.348504156</v>
      </c>
      <c r="H55" s="67">
        <f>SUMIFS('CHIRP Payment Calc'!AE:AE,'CHIRP Payment Calc'!H:H,A55)</f>
        <v>46367857.376012363</v>
      </c>
      <c r="I55" s="106">
        <f t="shared" si="2"/>
        <v>0.87812904951698723</v>
      </c>
      <c r="J55" s="67">
        <f t="shared" si="3"/>
        <v>46367857.376012363</v>
      </c>
      <c r="K55" s="106">
        <f t="shared" si="4"/>
        <v>1</v>
      </c>
      <c r="L55" s="67">
        <v>62708361.213729672</v>
      </c>
      <c r="M55" s="67">
        <v>29936431.600000001</v>
      </c>
      <c r="N55" s="67">
        <f>SUMIFS('CHIRP Payment Calc'!W:W,'CHIRP Payment Calc'!H:H,A55)</f>
        <v>8879426.1440478452</v>
      </c>
      <c r="O55" s="67">
        <f>SUMIFS('CHIRP Payment Calc'!AF:AF,'CHIRP Payment Calc'!H:H,A55)</f>
        <v>16951631.729545884</v>
      </c>
      <c r="P55" s="106">
        <f t="shared" si="5"/>
        <v>0.88931505136166322</v>
      </c>
      <c r="Q55" s="67">
        <f t="shared" si="6"/>
        <v>16951631.729545884</v>
      </c>
      <c r="R55" s="111">
        <f t="shared" si="7"/>
        <v>1</v>
      </c>
    </row>
    <row r="56" spans="1:18">
      <c r="A56" s="24" t="s">
        <v>2495</v>
      </c>
      <c r="B56" s="88" t="s">
        <v>2283</v>
      </c>
      <c r="C56" s="88" t="s">
        <v>1202</v>
      </c>
      <c r="D56" s="67">
        <v>289791749.10905123</v>
      </c>
      <c r="E56" s="67">
        <v>94131124.559999987</v>
      </c>
      <c r="F56" s="67">
        <v>0</v>
      </c>
      <c r="G56" s="67">
        <f>SUMIFS('CHIRP Payment Calc'!V:V,'CHIRP Payment Calc'!H:H,A56)</f>
        <v>42703029.427012756</v>
      </c>
      <c r="H56" s="67">
        <f>SUMIFS('CHIRP Payment Calc'!AE:AE,'CHIRP Payment Calc'!H:H,A56)</f>
        <v>106571180.03692946</v>
      </c>
      <c r="I56" s="106">
        <f t="shared" si="2"/>
        <v>0.83993189858675588</v>
      </c>
      <c r="J56" s="67">
        <f t="shared" si="3"/>
        <v>106571180.03692946</v>
      </c>
      <c r="K56" s="106">
        <f t="shared" si="4"/>
        <v>1</v>
      </c>
      <c r="L56" s="67">
        <v>56584490.566936977</v>
      </c>
      <c r="M56" s="67">
        <v>15681936.889999999</v>
      </c>
      <c r="N56" s="67">
        <f>SUMIFS('CHIRP Payment Calc'!W:W,'CHIRP Payment Calc'!H:H,A56)</f>
        <v>32170272.574076407</v>
      </c>
      <c r="O56" s="67">
        <f>SUMIFS('CHIRP Payment Calc'!AF:AF,'CHIRP Payment Calc'!H:H,A56)</f>
        <v>6884493.2108622501</v>
      </c>
      <c r="P56" s="106">
        <f t="shared" si="5"/>
        <v>0.96734462264332899</v>
      </c>
      <c r="Q56" s="67">
        <f t="shared" si="6"/>
        <v>3073832.0461668745</v>
      </c>
      <c r="R56" s="111">
        <f>IFERROR(Q56/O56,0)</f>
        <v>0.44648632107255598</v>
      </c>
    </row>
    <row r="57" spans="1:18">
      <c r="A57" s="24" t="s">
        <v>2504</v>
      </c>
      <c r="B57" s="88" t="s">
        <v>2295</v>
      </c>
      <c r="C57" s="88" t="s">
        <v>1365</v>
      </c>
      <c r="D57" s="67">
        <v>15716616.423669685</v>
      </c>
      <c r="E57" s="67">
        <v>7343111.2599999998</v>
      </c>
      <c r="F57" s="67">
        <v>0</v>
      </c>
      <c r="G57" s="67">
        <f>SUMIFS('CHIRP Payment Calc'!V:V,'CHIRP Payment Calc'!H:H,A57)</f>
        <v>0</v>
      </c>
      <c r="H57" s="67">
        <f>SUMIFS('CHIRP Payment Calc'!AE:AE,'CHIRP Payment Calc'!H:H,A57)</f>
        <v>5819672.6626441739</v>
      </c>
      <c r="I57" s="106">
        <f t="shared" si="2"/>
        <v>0.8375074868418011</v>
      </c>
      <c r="J57" s="67">
        <f t="shared" si="3"/>
        <v>5819672.6626441739</v>
      </c>
      <c r="K57" s="106">
        <f t="shared" si="4"/>
        <v>1</v>
      </c>
      <c r="L57" s="67">
        <v>12300109.303347755</v>
      </c>
      <c r="M57" s="67">
        <v>1868058.68</v>
      </c>
      <c r="N57" s="67">
        <f>SUMIFS('CHIRP Payment Calc'!W:W,'CHIRP Payment Calc'!H:H,A57)</f>
        <v>2367511.0751227182</v>
      </c>
      <c r="O57" s="67">
        <f>SUMIFS('CHIRP Payment Calc'!AF:AF,'CHIRP Payment Calc'!H:H,A57)</f>
        <v>5609154.8956180578</v>
      </c>
      <c r="P57" s="106">
        <f t="shared" si="5"/>
        <v>0.80037700543533463</v>
      </c>
      <c r="Q57" s="67">
        <f t="shared" si="6"/>
        <v>5609154.8956180578</v>
      </c>
      <c r="R57" s="111">
        <f t="shared" si="7"/>
        <v>1</v>
      </c>
    </row>
    <row r="58" spans="1:18">
      <c r="A58" s="24" t="s">
        <v>2483</v>
      </c>
      <c r="B58" s="88" t="s">
        <v>1547</v>
      </c>
      <c r="C58" s="88" t="s">
        <v>1365</v>
      </c>
      <c r="D58" s="67">
        <v>369622195.55752361</v>
      </c>
      <c r="E58" s="67">
        <v>133434764.76000001</v>
      </c>
      <c r="F58" s="67">
        <v>0</v>
      </c>
      <c r="G58" s="67">
        <f>SUMIFS('CHIRP Payment Calc'!V:V,'CHIRP Payment Calc'!H:H,A58)</f>
        <v>86772392.828746989</v>
      </c>
      <c r="H58" s="67">
        <f>SUMIFS('CHIRP Payment Calc'!AE:AE,'CHIRP Payment Calc'!H:H,A58)</f>
        <v>103567049.50527866</v>
      </c>
      <c r="I58" s="106">
        <f t="shared" si="2"/>
        <v>0.87595986113782309</v>
      </c>
      <c r="J58" s="67">
        <f t="shared" si="3"/>
        <v>103567049.50527866</v>
      </c>
      <c r="K58" s="106">
        <f t="shared" si="4"/>
        <v>1</v>
      </c>
      <c r="L58" s="67">
        <v>130629670.06896619</v>
      </c>
      <c r="M58" s="67">
        <v>57397658.689999998</v>
      </c>
      <c r="N58" s="67">
        <f>SUMIFS('CHIRP Payment Calc'!W:W,'CHIRP Payment Calc'!H:H,A58)</f>
        <v>15177614.09921528</v>
      </c>
      <c r="O58" s="67">
        <f>SUMIFS('CHIRP Payment Calc'!AF:AF,'CHIRP Payment Calc'!H:H,A58)</f>
        <v>40473637.597907424</v>
      </c>
      <c r="P58" s="106">
        <f t="shared" si="5"/>
        <v>0.86541526383277478</v>
      </c>
      <c r="Q58" s="67">
        <f t="shared" si="6"/>
        <v>40473637.597907424</v>
      </c>
      <c r="R58" s="111">
        <f t="shared" si="7"/>
        <v>1</v>
      </c>
    </row>
    <row r="59" spans="1:18">
      <c r="A59" s="24" t="s">
        <v>2513</v>
      </c>
      <c r="B59" s="88" t="s">
        <v>2295</v>
      </c>
      <c r="C59" s="88" t="s">
        <v>223</v>
      </c>
      <c r="D59" s="67">
        <v>8156449.529022743</v>
      </c>
      <c r="E59" s="67">
        <v>2210245.6800000002</v>
      </c>
      <c r="F59" s="67">
        <v>0</v>
      </c>
      <c r="G59" s="67">
        <f>SUMIFS('CHIRP Payment Calc'!V:V,'CHIRP Payment Calc'!H:H,A59)</f>
        <v>595917.66156228096</v>
      </c>
      <c r="H59" s="67">
        <f>SUMIFS('CHIRP Payment Calc'!AE:AE,'CHIRP Payment Calc'!H:H,A59)</f>
        <v>3732326.4066269174</v>
      </c>
      <c r="I59" s="106">
        <f t="shared" si="2"/>
        <v>0.80163430484349496</v>
      </c>
      <c r="J59" s="67">
        <f t="shared" si="3"/>
        <v>3732326.4066269174</v>
      </c>
      <c r="K59" s="106">
        <f t="shared" si="4"/>
        <v>1</v>
      </c>
      <c r="L59" s="67">
        <v>4259027.1570513053</v>
      </c>
      <c r="M59" s="67">
        <v>662822.44999999995</v>
      </c>
      <c r="N59" s="67">
        <f>SUMIFS('CHIRP Payment Calc'!W:W,'CHIRP Payment Calc'!H:H,A59)</f>
        <v>1226905.1822840853</v>
      </c>
      <c r="O59" s="67">
        <f>SUMIFS('CHIRP Payment Calc'!AF:AF,'CHIRP Payment Calc'!H:H,A59)</f>
        <v>1653654.8109046365</v>
      </c>
      <c r="P59" s="106">
        <f t="shared" si="5"/>
        <v>0.83196991062201797</v>
      </c>
      <c r="Q59" s="67">
        <f t="shared" si="6"/>
        <v>1653654.8109046365</v>
      </c>
      <c r="R59" s="111">
        <f t="shared" si="7"/>
        <v>1</v>
      </c>
    </row>
    <row r="60" spans="1:18" ht="15.75" thickBot="1">
      <c r="A60" s="25" t="s">
        <v>2484</v>
      </c>
      <c r="B60" s="89" t="s">
        <v>1547</v>
      </c>
      <c r="C60" s="89" t="s">
        <v>1202</v>
      </c>
      <c r="D60" s="67">
        <v>187790270.82420689</v>
      </c>
      <c r="E60" s="67">
        <v>54544544.210000001</v>
      </c>
      <c r="F60" s="67">
        <v>0</v>
      </c>
      <c r="G60" s="67">
        <f>SUMIFS('CHIRP Payment Calc'!V:V,'CHIRP Payment Calc'!H:H,A60)</f>
        <v>0</v>
      </c>
      <c r="H60" s="67">
        <f>SUMIFS('CHIRP Payment Calc'!AE:AE,'CHIRP Payment Calc'!H:H,A60)</f>
        <v>92654744.004985854</v>
      </c>
      <c r="I60" s="106">
        <f t="shared" si="2"/>
        <v>0.78384938457637765</v>
      </c>
      <c r="J60" s="67">
        <f t="shared" si="3"/>
        <v>92654744.004985854</v>
      </c>
      <c r="K60" s="106">
        <f t="shared" si="4"/>
        <v>1</v>
      </c>
      <c r="L60" s="67">
        <v>49732395.834486321</v>
      </c>
      <c r="M60" s="67">
        <v>10212589.810000001</v>
      </c>
      <c r="N60" s="67">
        <f>SUMIFS('CHIRP Payment Calc'!W:W,'CHIRP Payment Calc'!H:H,A60)</f>
        <v>7438355.9965953529</v>
      </c>
      <c r="O60" s="67">
        <f>SUMIFS('CHIRP Payment Calc'!AF:AF,'CHIRP Payment Calc'!H:H,A60)</f>
        <v>22315067.989786055</v>
      </c>
      <c r="P60" s="112">
        <f t="shared" si="5"/>
        <v>0.80362132420468413</v>
      </c>
      <c r="Q60" s="67">
        <f t="shared" si="6"/>
        <v>22315067.989786055</v>
      </c>
      <c r="R60" s="113">
        <f t="shared" si="7"/>
        <v>1</v>
      </c>
    </row>
    <row r="62" spans="1:18">
      <c r="D62" s="85"/>
    </row>
  </sheetData>
  <autoFilter ref="A3:R60" xr:uid="{04DB4F5B-FD5F-4D83-924F-5F2B36BFB262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6E11-CE10-4728-B6D9-EFBCCE6243BC}">
  <sheetPr>
    <tabColor rgb="FF7030A0"/>
    <pageSetUpPr fitToPage="1"/>
  </sheetPr>
  <dimension ref="A1:AR411"/>
  <sheetViews>
    <sheetView topLeftCell="B1" zoomScale="80" zoomScaleNormal="80" workbookViewId="0">
      <selection activeCell="AQ7" sqref="AQ7"/>
    </sheetView>
  </sheetViews>
  <sheetFormatPr defaultColWidth="8.796875" defaultRowHeight="15"/>
  <cols>
    <col min="1" max="1" width="10.09765625" style="35" bestFit="1" customWidth="1"/>
    <col min="2" max="2" width="10.8984375" style="35" customWidth="1"/>
    <col min="3" max="3" width="11.3984375" style="35" customWidth="1"/>
    <col min="4" max="4" width="11.8984375" style="34" customWidth="1"/>
    <col min="5" max="5" width="49.19921875" style="34" customWidth="1"/>
    <col min="6" max="7" width="11.8984375" style="34" customWidth="1"/>
    <col min="8" max="8" width="17.3984375" style="36" hidden="1" customWidth="1"/>
    <col min="9" max="9" width="14.3984375" style="37" hidden="1" customWidth="1"/>
    <col min="10" max="10" width="12.3984375" style="37" hidden="1" customWidth="1"/>
    <col min="11" max="11" width="13.796875" style="37" hidden="1" customWidth="1"/>
    <col min="12" max="12" width="15.5" style="38" hidden="1" customWidth="1"/>
    <col min="13" max="13" width="13.59765625" style="38" hidden="1" customWidth="1"/>
    <col min="14" max="14" width="14.8984375" style="38" hidden="1" customWidth="1"/>
    <col min="15" max="15" width="15" style="38" hidden="1" customWidth="1"/>
    <col min="16" max="17" width="14.3984375" style="38" hidden="1" customWidth="1"/>
    <col min="18" max="21" width="16.3984375" style="38" hidden="1" customWidth="1"/>
    <col min="22" max="23" width="13.59765625" style="40" hidden="1" customWidth="1"/>
    <col min="24" max="25" width="15.59765625" style="39" hidden="1" customWidth="1"/>
    <col min="26" max="35" width="13.59765625" style="40" hidden="1" customWidth="1"/>
    <col min="36" max="36" width="16.09765625" style="40" hidden="1" customWidth="1"/>
    <col min="37" max="42" width="13.59765625" style="40" hidden="1" customWidth="1"/>
    <col min="43" max="43" width="13.59765625" style="40" customWidth="1"/>
    <col min="44" max="44" width="18.19921875" style="40" customWidth="1"/>
    <col min="45" max="16384" width="8.796875" style="35"/>
  </cols>
  <sheetData>
    <row r="1" spans="1:44" ht="19.5">
      <c r="A1" s="29" t="s">
        <v>2977</v>
      </c>
      <c r="O1" s="37"/>
      <c r="P1" s="37"/>
      <c r="AP1" s="101"/>
      <c r="AQ1" s="40" t="s">
        <v>2724</v>
      </c>
    </row>
    <row r="2" spans="1:44" ht="19.5">
      <c r="A2" s="29"/>
      <c r="O2" s="37"/>
      <c r="P2" s="37"/>
      <c r="AP2" s="101"/>
    </row>
    <row r="3" spans="1:44" ht="77.25" thickBot="1">
      <c r="A3" s="117" t="s">
        <v>2785</v>
      </c>
      <c r="B3" s="117" t="s">
        <v>2786</v>
      </c>
      <c r="C3" s="117" t="s">
        <v>2786</v>
      </c>
      <c r="D3" s="117" t="s">
        <v>2786</v>
      </c>
      <c r="E3" s="117" t="s">
        <v>2786</v>
      </c>
      <c r="F3" s="34" t="s">
        <v>2787</v>
      </c>
      <c r="G3" s="34" t="s">
        <v>2787</v>
      </c>
      <c r="I3" s="34" t="s">
        <v>2788</v>
      </c>
      <c r="J3" s="34" t="s">
        <v>2788</v>
      </c>
      <c r="L3" s="34" t="s">
        <v>2789</v>
      </c>
      <c r="M3" s="34" t="s">
        <v>2790</v>
      </c>
      <c r="O3" s="34" t="s">
        <v>2792</v>
      </c>
      <c r="P3" s="34" t="s">
        <v>2793</v>
      </c>
      <c r="R3" s="84" t="s">
        <v>2725</v>
      </c>
      <c r="S3" s="84"/>
      <c r="AI3" s="40" t="s">
        <v>2770</v>
      </c>
      <c r="AJ3" s="109">
        <f>AE4-AJ4</f>
        <v>169209947.75470686</v>
      </c>
      <c r="AK3" s="109">
        <f>AF4-AK4</f>
        <v>33529768.045771599</v>
      </c>
      <c r="AP3" s="151"/>
      <c r="AQ3" s="83">
        <v>0.3644</v>
      </c>
      <c r="AR3" s="83"/>
    </row>
    <row r="4" spans="1:44" s="41" customFormat="1" ht="15.75" thickBot="1">
      <c r="A4" s="31" t="s">
        <v>2408</v>
      </c>
      <c r="B4" s="53"/>
      <c r="C4" s="53"/>
      <c r="D4" s="32"/>
      <c r="E4" s="32"/>
      <c r="F4" s="120"/>
      <c r="G4" s="120"/>
      <c r="H4" s="54"/>
      <c r="I4" s="55">
        <f t="shared" ref="I4:Q4" si="0">SUM(I6:I411)</f>
        <v>3116814606.0663905</v>
      </c>
      <c r="J4" s="55">
        <f t="shared" si="0"/>
        <v>1968110870.026402</v>
      </c>
      <c r="K4" s="55">
        <f t="shared" si="0"/>
        <v>5084925476.0927935</v>
      </c>
      <c r="L4" s="55">
        <v>2200411504.5499988</v>
      </c>
      <c r="M4" s="55">
        <v>589167177.00999999</v>
      </c>
      <c r="N4" s="55">
        <f t="shared" si="0"/>
        <v>2789578681.5600014</v>
      </c>
      <c r="O4" s="55">
        <v>4275552366.0966163</v>
      </c>
      <c r="P4" s="55">
        <v>1487125215.5558507</v>
      </c>
      <c r="Q4" s="55">
        <f t="shared" si="0"/>
        <v>5762677581.6524639</v>
      </c>
      <c r="R4" s="56">
        <v>0.69664000000000004</v>
      </c>
      <c r="S4" s="56"/>
      <c r="T4" s="56"/>
      <c r="U4" s="56"/>
      <c r="V4" s="55">
        <f>SUM(V6:V411)</f>
        <v>2264561325.7348552</v>
      </c>
      <c r="W4" s="55">
        <f>SUM(W6:W411)</f>
        <v>629980463.47810006</v>
      </c>
      <c r="X4" s="55">
        <f>SUM(X6:X411)</f>
        <v>2894541789.2129555</v>
      </c>
      <c r="Y4" s="55"/>
      <c r="Z4" s="55"/>
      <c r="AA4" s="55"/>
      <c r="AB4" s="55"/>
      <c r="AC4" s="55"/>
      <c r="AD4" s="55"/>
      <c r="AE4" s="55">
        <f>SUM(AE6:AE411)</f>
        <v>1627199941.6851315</v>
      </c>
      <c r="AF4" s="55">
        <f>SUM(AF6:AF411)</f>
        <v>616940652.01768088</v>
      </c>
      <c r="AG4" s="55">
        <f>SUM(AG6:AG411)</f>
        <v>2244140593.7028131</v>
      </c>
      <c r="AH4" s="55"/>
      <c r="AI4" s="55"/>
      <c r="AJ4" s="55">
        <f>SUM(AJ6:AJ411)</f>
        <v>1457989993.9304247</v>
      </c>
      <c r="AK4" s="55">
        <f>SUM(AK6:AK411)</f>
        <v>583410883.97190928</v>
      </c>
      <c r="AL4" s="55"/>
      <c r="AM4" s="55"/>
      <c r="AN4" s="93">
        <f t="shared" ref="AN4:AR4" si="1">SUM(AN6:AN411)</f>
        <v>4935942667.1152868</v>
      </c>
      <c r="AO4" s="93">
        <f t="shared" si="1"/>
        <v>304252837.8278411</v>
      </c>
      <c r="AP4" s="100">
        <f>SUM(AP6:AP411)</f>
        <v>5240195504.9431324</v>
      </c>
      <c r="AQ4" s="55">
        <f t="shared" si="1"/>
        <v>2062289421.3613791</v>
      </c>
      <c r="AR4" s="55">
        <f t="shared" si="1"/>
        <v>946688312.93586242</v>
      </c>
    </row>
    <row r="5" spans="1:44" ht="56.25">
      <c r="A5" s="48" t="s">
        <v>2354</v>
      </c>
      <c r="B5" s="49" t="s">
        <v>2426</v>
      </c>
      <c r="C5" s="49" t="s">
        <v>1760</v>
      </c>
      <c r="D5" s="49" t="s">
        <v>1</v>
      </c>
      <c r="E5" s="49" t="s">
        <v>2</v>
      </c>
      <c r="F5" s="121" t="s">
        <v>2560</v>
      </c>
      <c r="G5" s="121" t="s">
        <v>3</v>
      </c>
      <c r="H5" s="116" t="s">
        <v>2389</v>
      </c>
      <c r="I5" s="49" t="s">
        <v>3026</v>
      </c>
      <c r="J5" s="49" t="s">
        <v>3027</v>
      </c>
      <c r="K5" s="116" t="s">
        <v>3028</v>
      </c>
      <c r="L5" s="51" t="s">
        <v>2975</v>
      </c>
      <c r="M5" s="51" t="s">
        <v>2976</v>
      </c>
      <c r="N5" s="118" t="s">
        <v>2391</v>
      </c>
      <c r="O5" s="52" t="s">
        <v>2335</v>
      </c>
      <c r="P5" s="52" t="s">
        <v>2337</v>
      </c>
      <c r="Q5" s="118" t="s">
        <v>2410</v>
      </c>
      <c r="R5" s="118" t="s">
        <v>2737</v>
      </c>
      <c r="S5" s="118" t="s">
        <v>2738</v>
      </c>
      <c r="T5" s="118" t="s">
        <v>2721</v>
      </c>
      <c r="U5" s="118" t="s">
        <v>2722</v>
      </c>
      <c r="V5" s="118" t="s">
        <v>2537</v>
      </c>
      <c r="W5" s="118" t="s">
        <v>2538</v>
      </c>
      <c r="X5" s="118" t="s">
        <v>2539</v>
      </c>
      <c r="Y5" s="78" t="s">
        <v>2764</v>
      </c>
      <c r="Z5" s="118" t="s">
        <v>2743</v>
      </c>
      <c r="AA5" s="118" t="s">
        <v>2745</v>
      </c>
      <c r="AB5" s="118" t="s">
        <v>2746</v>
      </c>
      <c r="AC5" s="118" t="s">
        <v>2719</v>
      </c>
      <c r="AD5" s="118" t="s">
        <v>2720</v>
      </c>
      <c r="AE5" s="78" t="s">
        <v>2781</v>
      </c>
      <c r="AF5" s="78" t="s">
        <v>2782</v>
      </c>
      <c r="AG5" s="78" t="s">
        <v>2723</v>
      </c>
      <c r="AH5" s="108" t="s">
        <v>2774</v>
      </c>
      <c r="AI5" s="108" t="s">
        <v>2775</v>
      </c>
      <c r="AJ5" s="108" t="s">
        <v>2776</v>
      </c>
      <c r="AK5" s="108" t="s">
        <v>2777</v>
      </c>
      <c r="AL5" s="78" t="s">
        <v>2740</v>
      </c>
      <c r="AM5" s="78" t="s">
        <v>2741</v>
      </c>
      <c r="AN5" s="78" t="s">
        <v>2749</v>
      </c>
      <c r="AO5" s="78" t="s">
        <v>2758</v>
      </c>
      <c r="AP5" s="78" t="s">
        <v>2759</v>
      </c>
      <c r="AQ5" s="50" t="s">
        <v>2728</v>
      </c>
      <c r="AR5" s="50" t="s">
        <v>2729</v>
      </c>
    </row>
    <row r="6" spans="1:44">
      <c r="A6" s="103" t="s">
        <v>462</v>
      </c>
      <c r="B6" s="30" t="s">
        <v>462</v>
      </c>
      <c r="C6" s="30" t="s">
        <v>463</v>
      </c>
      <c r="D6" s="42" t="s">
        <v>463</v>
      </c>
      <c r="E6" s="119" t="s">
        <v>2394</v>
      </c>
      <c r="F6" s="43" t="s">
        <v>2283</v>
      </c>
      <c r="G6" s="42" t="s">
        <v>227</v>
      </c>
      <c r="H6" s="42" t="str">
        <f t="shared" ref="H6:H68" si="2">CONCATENATE(F6," ",G6)</f>
        <v>Urban MRSA West</v>
      </c>
      <c r="I6" s="44">
        <f>INDEX(FeeCalc!M:M,MATCH(C:C,FeeCalc!F:F,0))</f>
        <v>12341781.942663198</v>
      </c>
      <c r="J6" s="44">
        <f>INDEX(FeeCalc!L:L,MATCH(C:C,FeeCalc!F:F,0))</f>
        <v>5277012.2214119621</v>
      </c>
      <c r="K6" s="44">
        <f t="shared" ref="K6:K68" si="3">I6+J6</f>
        <v>17618794.164075159</v>
      </c>
      <c r="L6" s="44">
        <v>7537281.8399999999</v>
      </c>
      <c r="M6" s="44">
        <v>7950971.2400000002</v>
      </c>
      <c r="N6" s="44">
        <f t="shared" ref="N6:N68" si="4">+L6+M6</f>
        <v>15488253.08</v>
      </c>
      <c r="O6" s="44">
        <v>26945864.818772368</v>
      </c>
      <c r="P6" s="44">
        <v>16029264.520917319</v>
      </c>
      <c r="Q6" s="44">
        <f t="shared" ref="Q6:Q68" si="5">O6+P6</f>
        <v>42975129.339689687</v>
      </c>
      <c r="R6" s="44" t="str">
        <f t="shared" ref="R6:R68" si="6">IF(O6&gt;0,"Yes","No")</f>
        <v>Yes</v>
      </c>
      <c r="S6" s="45" t="str">
        <f t="shared" ref="S6:S68" si="7">IF(P6&gt;0,"Yes","No")</f>
        <v>Yes</v>
      </c>
      <c r="T6" s="46">
        <f>ROUND(INDEX(Summary!H:H,MATCH(H:H,Summary!A:A,0)),2)</f>
        <v>0.33</v>
      </c>
      <c r="U6" s="46">
        <f>ROUND(INDEX(Summary!I:I,MATCH(H:H,Summary!A:A,0)),2)</f>
        <v>0.85</v>
      </c>
      <c r="V6" s="79">
        <f t="shared" ref="V6:V68" si="8">+T6*I6</f>
        <v>4072788.0410788557</v>
      </c>
      <c r="W6" s="79">
        <f t="shared" ref="W6:W68" si="9">+U6*J6</f>
        <v>4485460.3882001676</v>
      </c>
      <c r="X6" s="44">
        <f t="shared" ref="X6:X68" si="10">+V6+W6</f>
        <v>8558248.4292790238</v>
      </c>
      <c r="Y6" s="44" t="s">
        <v>2765</v>
      </c>
      <c r="Z6" s="44" t="str">
        <f t="shared" ref="Z6:Z68" si="11">IF(AJ6&gt;0,"Yes","No")</f>
        <v>Yes</v>
      </c>
      <c r="AA6" s="44" t="str">
        <f t="shared" ref="AA6:AA68" si="12">IF(AK6&gt;0,"Yes","No")</f>
        <v>Yes</v>
      </c>
      <c r="AB6" s="44" t="str">
        <f t="shared" ref="AB6:AB68" si="13">IF(AG6&gt;0,"Yes","No")</f>
        <v>Yes</v>
      </c>
      <c r="AC6" s="80">
        <f>IF(Y6="No",0,IFERROR(ROUND(IF(I6&gt;0,IF(O6&gt;0,$R$4*MAX(O6-V6,0),0),0)/I6,2),0))</f>
        <v>1.29</v>
      </c>
      <c r="AD6" s="80">
        <f>IF(Y6="No",0,IFERROR(ROUND(IF(J6&gt;0,IF(P6&gt;0,$R$4*MAX(P6-W6,0),0),0)/J6,2),0))</f>
        <v>1.52</v>
      </c>
      <c r="AE6" s="44">
        <f>AC6*I6</f>
        <v>15920898.706035526</v>
      </c>
      <c r="AF6" s="44">
        <f t="shared" ref="AF6:AF68" si="14">AD6*J6</f>
        <v>8021058.5765461829</v>
      </c>
      <c r="AG6" s="44">
        <f t="shared" ref="AG6:AG68" si="15">AE6+AF6</f>
        <v>23941957.282581709</v>
      </c>
      <c r="AH6" s="46">
        <f>IF(Y6="No",0,IFERROR(ROUNDDOWN(INDEX('90% of ACR'!K:K,MATCH(H:H,'90% of ACR'!A:A,0))*IF(I6&gt;0,IF(O6&gt;0,$R$4*MAX(O6-V6,0),0),0)/I6,2),0))</f>
        <v>1.29</v>
      </c>
      <c r="AI6" s="80">
        <f>IF(Y6="No",0,IFERROR(ROUNDDOWN(INDEX('90% of ACR'!R:R,MATCH(H:H,'90% of ACR'!A:A,0))*IF(J6&gt;0,IF(P6&gt;0,$R$4*MAX(P6-W6,0),0),0)/J6,2),0))</f>
        <v>1.45</v>
      </c>
      <c r="AJ6" s="44">
        <f t="shared" ref="AJ6:AJ68" si="16">I6*AH6</f>
        <v>15920898.706035526</v>
      </c>
      <c r="AK6" s="44">
        <f t="shared" ref="AK6:AK68" si="17">J6*AI6</f>
        <v>7651667.7210473446</v>
      </c>
      <c r="AL6" s="46">
        <f t="shared" ref="AL6:AL68" si="18">T6+AH6</f>
        <v>1.62</v>
      </c>
      <c r="AM6" s="46">
        <f t="shared" ref="AM6:AM68" si="19">U6+AI6</f>
        <v>2.2999999999999998</v>
      </c>
      <c r="AN6" s="81">
        <f>IFERROR(INDEX(FeeCalc!P:P,MATCH(C6,FeeCalc!F:F,0)),0)</f>
        <v>32130814.856361896</v>
      </c>
      <c r="AO6" s="81">
        <f>IFERROR(INDEX(FeeCalc!S:S,MATCH(C6,FeeCalc!F:F,0)),0)</f>
        <v>1997481.5674566072</v>
      </c>
      <c r="AP6" s="81">
        <f t="shared" ref="AP6:AP68" si="20">AN6+AO6</f>
        <v>34128296.423818506</v>
      </c>
      <c r="AQ6" s="68">
        <f>$AQ$3*AP6*1.08</f>
        <v>13431259.314186623</v>
      </c>
      <c r="AR6" s="68">
        <f>INDEX('IGT Commitment Suggestions'!H:H,MATCH(G6,'IGT Commitment Suggestions'!A:A,0))*AQ6</f>
        <v>6582171.9730258845</v>
      </c>
    </row>
    <row r="7" spans="1:44">
      <c r="A7" s="103" t="s">
        <v>713</v>
      </c>
      <c r="B7" s="30" t="s">
        <v>713</v>
      </c>
      <c r="C7" s="30" t="s">
        <v>714</v>
      </c>
      <c r="D7" s="42" t="s">
        <v>714</v>
      </c>
      <c r="E7" s="119" t="s">
        <v>2794</v>
      </c>
      <c r="F7" s="43" t="s">
        <v>2295</v>
      </c>
      <c r="G7" s="42" t="s">
        <v>227</v>
      </c>
      <c r="H7" s="42" t="str">
        <f t="shared" si="2"/>
        <v>Rural MRSA West</v>
      </c>
      <c r="I7" s="44">
        <f>INDEX(FeeCalc!M:M,MATCH(C:C,FeeCalc!F:F,0))</f>
        <v>710989.57662540779</v>
      </c>
      <c r="J7" s="44">
        <f>INDEX(FeeCalc!L:L,MATCH(C:C,FeeCalc!F:F,0))</f>
        <v>1195531.19873256</v>
      </c>
      <c r="K7" s="44">
        <f t="shared" si="3"/>
        <v>1906520.7753579677</v>
      </c>
      <c r="L7" s="44">
        <v>231775.57</v>
      </c>
      <c r="M7" s="44">
        <v>-142610.18</v>
      </c>
      <c r="N7" s="44">
        <f t="shared" si="4"/>
        <v>89165.390000000014</v>
      </c>
      <c r="O7" s="44">
        <v>-120974.71635833837</v>
      </c>
      <c r="P7" s="44">
        <v>257109.75159869372</v>
      </c>
      <c r="Q7" s="44">
        <f t="shared" si="5"/>
        <v>136135.03524035536</v>
      </c>
      <c r="R7" s="44" t="str">
        <f t="shared" si="6"/>
        <v>No</v>
      </c>
      <c r="S7" s="45" t="str">
        <f t="shared" si="7"/>
        <v>Yes</v>
      </c>
      <c r="T7" s="46">
        <f>ROUND(INDEX(Summary!H:H,MATCH(H:H,Summary!A:A,0)),2)</f>
        <v>0</v>
      </c>
      <c r="U7" s="46">
        <f>ROUND(INDEX(Summary!I:I,MATCH(H:H,Summary!A:A,0)),2)</f>
        <v>0.18</v>
      </c>
      <c r="V7" s="79">
        <f t="shared" si="8"/>
        <v>0</v>
      </c>
      <c r="W7" s="79">
        <f t="shared" si="9"/>
        <v>215195.61577186079</v>
      </c>
      <c r="X7" s="44">
        <f t="shared" si="10"/>
        <v>215195.61577186079</v>
      </c>
      <c r="Y7" s="44" t="s">
        <v>2765</v>
      </c>
      <c r="Z7" s="44" t="str">
        <f t="shared" si="11"/>
        <v>No</v>
      </c>
      <c r="AA7" s="44" t="str">
        <f t="shared" si="12"/>
        <v>Yes</v>
      </c>
      <c r="AB7" s="44" t="str">
        <f t="shared" si="13"/>
        <v>Yes</v>
      </c>
      <c r="AC7" s="80">
        <f t="shared" ref="AC7:AC69" si="21">IF(Y7="No",0,IFERROR(ROUND(IF(I7&gt;0,IF(O7&gt;0,$R$4*MAX(O7-V7,0),0),0)/I7,2),0))</f>
        <v>0</v>
      </c>
      <c r="AD7" s="80">
        <f t="shared" ref="AD7:AD69" si="22">IF(Y7="No",0,IFERROR(ROUND(IF(J7&gt;0,IF(P7&gt;0,$R$4*MAX(P7-W7,0),0),0)/J7,2),0))</f>
        <v>0.02</v>
      </c>
      <c r="AE7" s="44">
        <f t="shared" ref="AE7:AE68" si="23">AC7*I7</f>
        <v>0</v>
      </c>
      <c r="AF7" s="44">
        <f t="shared" si="14"/>
        <v>23910.6239746512</v>
      </c>
      <c r="AG7" s="44">
        <f t="shared" si="15"/>
        <v>23910.6239746512</v>
      </c>
      <c r="AH7" s="46">
        <f>IF(Y7="No",0,IFERROR(ROUNDDOWN(INDEX('90% of ACR'!K:K,MATCH(H:H,'90% of ACR'!A:A,0))*IF(I7&gt;0,IF(O7&gt;0,$R$4*MAX(O7-V7,0),0),0)/I7,2),0))</f>
        <v>0</v>
      </c>
      <c r="AI7" s="80">
        <f>IF(Y7="No",0,IFERROR(ROUNDDOWN(INDEX('90% of ACR'!R:R,MATCH(H:H,'90% of ACR'!A:A,0))*IF(J7&gt;0,IF(P7&gt;0,$R$4*MAX(P7-W7,0),0),0)/J7,2),0))</f>
        <v>0.02</v>
      </c>
      <c r="AJ7" s="44">
        <f t="shared" si="16"/>
        <v>0</v>
      </c>
      <c r="AK7" s="44">
        <f t="shared" si="17"/>
        <v>23910.6239746512</v>
      </c>
      <c r="AL7" s="46">
        <f t="shared" si="18"/>
        <v>0</v>
      </c>
      <c r="AM7" s="46">
        <f t="shared" si="19"/>
        <v>0.19999999999999998</v>
      </c>
      <c r="AN7" s="81">
        <f>IFERROR(INDEX(FeeCalc!P:P,MATCH(C7,FeeCalc!F:F,0)),0)</f>
        <v>239106.239746512</v>
      </c>
      <c r="AO7" s="81">
        <f>IFERROR(INDEX(FeeCalc!S:S,MATCH(C7,FeeCalc!F:F,0)),0)</f>
        <v>14700.471251575385</v>
      </c>
      <c r="AP7" s="81">
        <f t="shared" si="20"/>
        <v>253806.71099808739</v>
      </c>
      <c r="AQ7" s="68">
        <f t="shared" ref="AQ7:AQ68" si="24">$AQ$3*AP7*1.08</f>
        <v>99886.138726719306</v>
      </c>
      <c r="AR7" s="68">
        <f>INDEX('IGT Commitment Suggestions'!H:H,MATCH(G7,'IGT Commitment Suggestions'!A:A,0))*AQ7</f>
        <v>48950.565798870703</v>
      </c>
    </row>
    <row r="8" spans="1:44">
      <c r="A8" s="103" t="s">
        <v>40</v>
      </c>
      <c r="B8" s="30" t="s">
        <v>40</v>
      </c>
      <c r="C8" s="30" t="s">
        <v>41</v>
      </c>
      <c r="D8" s="42" t="s">
        <v>41</v>
      </c>
      <c r="E8" s="119" t="s">
        <v>2564</v>
      </c>
      <c r="F8" s="43" t="s">
        <v>2295</v>
      </c>
      <c r="G8" s="42" t="s">
        <v>1486</v>
      </c>
      <c r="H8" s="42" t="str">
        <f t="shared" si="2"/>
        <v>Rural MRSA Central</v>
      </c>
      <c r="I8" s="44">
        <f>INDEX(FeeCalc!M:M,MATCH(C:C,FeeCalc!F:F,0))</f>
        <v>83667.311269739657</v>
      </c>
      <c r="J8" s="44">
        <f>INDEX(FeeCalc!L:L,MATCH(C:C,FeeCalc!F:F,0))</f>
        <v>43513.943239645188</v>
      </c>
      <c r="K8" s="44">
        <f t="shared" si="3"/>
        <v>127181.25450938485</v>
      </c>
      <c r="L8" s="44">
        <v>-16104.09</v>
      </c>
      <c r="M8" s="44">
        <v>-29275.85</v>
      </c>
      <c r="N8" s="44">
        <f t="shared" si="4"/>
        <v>-45379.94</v>
      </c>
      <c r="O8" s="44">
        <v>-22835.466717063449</v>
      </c>
      <c r="P8" s="44">
        <v>83521.712918447301</v>
      </c>
      <c r="Q8" s="44">
        <f t="shared" si="5"/>
        <v>60686.246201383852</v>
      </c>
      <c r="R8" s="44" t="str">
        <f t="shared" si="6"/>
        <v>No</v>
      </c>
      <c r="S8" s="45" t="str">
        <f t="shared" si="7"/>
        <v>Yes</v>
      </c>
      <c r="T8" s="46">
        <f>ROUND(INDEX(Summary!H:H,MATCH(H:H,Summary!A:A,0)),2)</f>
        <v>0.11</v>
      </c>
      <c r="U8" s="46">
        <f>ROUND(INDEX(Summary!I:I,MATCH(H:H,Summary!A:A,0)),2)</f>
        <v>0.09</v>
      </c>
      <c r="V8" s="79">
        <f t="shared" si="8"/>
        <v>9203.404239671363</v>
      </c>
      <c r="W8" s="79">
        <f t="shared" si="9"/>
        <v>3916.2548915680668</v>
      </c>
      <c r="X8" s="44">
        <f t="shared" si="10"/>
        <v>13119.65913123943</v>
      </c>
      <c r="Y8" s="44" t="s">
        <v>2765</v>
      </c>
      <c r="Z8" s="44" t="str">
        <f t="shared" si="11"/>
        <v>No</v>
      </c>
      <c r="AA8" s="44" t="str">
        <f t="shared" si="12"/>
        <v>Yes</v>
      </c>
      <c r="AB8" s="44" t="str">
        <f t="shared" si="13"/>
        <v>Yes</v>
      </c>
      <c r="AC8" s="80">
        <f t="shared" si="21"/>
        <v>0</v>
      </c>
      <c r="AD8" s="80">
        <f t="shared" si="22"/>
        <v>1.27</v>
      </c>
      <c r="AE8" s="44">
        <f t="shared" si="23"/>
        <v>0</v>
      </c>
      <c r="AF8" s="44">
        <f t="shared" si="14"/>
        <v>55262.70791434939</v>
      </c>
      <c r="AG8" s="44">
        <f t="shared" si="15"/>
        <v>55262.70791434939</v>
      </c>
      <c r="AH8" s="46">
        <f>IF(Y8="No",0,IFERROR(ROUNDDOWN(INDEX('90% of ACR'!K:K,MATCH(H:H,'90% of ACR'!A:A,0))*IF(I8&gt;0,IF(O8&gt;0,$R$4*MAX(O8-V8,0),0),0)/I8,2),0))</f>
        <v>0</v>
      </c>
      <c r="AI8" s="80">
        <f>IF(Y8="No",0,IFERROR(ROUNDDOWN(INDEX('90% of ACR'!R:R,MATCH(H:H,'90% of ACR'!A:A,0))*IF(J8&gt;0,IF(P8&gt;0,$R$4*MAX(P8-W8,0),0),0)/J8,2),0))</f>
        <v>1.27</v>
      </c>
      <c r="AJ8" s="44">
        <f t="shared" si="16"/>
        <v>0</v>
      </c>
      <c r="AK8" s="44">
        <f t="shared" si="17"/>
        <v>55262.70791434939</v>
      </c>
      <c r="AL8" s="46">
        <f t="shared" si="18"/>
        <v>0.11</v>
      </c>
      <c r="AM8" s="46">
        <f t="shared" si="19"/>
        <v>1.36</v>
      </c>
      <c r="AN8" s="81">
        <f>IFERROR(INDEX(FeeCalc!P:P,MATCH(C8,FeeCalc!F:F,0)),0)</f>
        <v>68382.36704558882</v>
      </c>
      <c r="AO8" s="81">
        <f>IFERROR(INDEX(FeeCalc!S:S,MATCH(C8,FeeCalc!F:F,0)),0)</f>
        <v>4257.7750008273269</v>
      </c>
      <c r="AP8" s="81">
        <f t="shared" si="20"/>
        <v>72640.142046416149</v>
      </c>
      <c r="AQ8" s="68">
        <f>$AQ$3*AP8*1.08</f>
        <v>28587.673182651171</v>
      </c>
      <c r="AR8" s="68">
        <f>INDEX('IGT Commitment Suggestions'!H:H,MATCH(G8,'IGT Commitment Suggestions'!A:A,0))*AQ8</f>
        <v>13059.905819047657</v>
      </c>
    </row>
    <row r="9" spans="1:44">
      <c r="A9" s="103" t="s">
        <v>1078</v>
      </c>
      <c r="B9" s="30" t="s">
        <v>1078</v>
      </c>
      <c r="C9" s="30" t="s">
        <v>1079</v>
      </c>
      <c r="D9" s="42" t="s">
        <v>1079</v>
      </c>
      <c r="E9" s="119" t="s">
        <v>2795</v>
      </c>
      <c r="F9" s="43" t="s">
        <v>2295</v>
      </c>
      <c r="G9" s="42" t="s">
        <v>1365</v>
      </c>
      <c r="H9" s="42" t="str">
        <f t="shared" si="2"/>
        <v>Rural Tarrant</v>
      </c>
      <c r="I9" s="44">
        <f>INDEX(FeeCalc!M:M,MATCH(C:C,FeeCalc!F:F,0))</f>
        <v>5463540.631267868</v>
      </c>
      <c r="J9" s="44">
        <f>INDEX(FeeCalc!L:L,MATCH(C:C,FeeCalc!F:F,0))</f>
        <v>2742505.6602846822</v>
      </c>
      <c r="K9" s="44">
        <f t="shared" si="3"/>
        <v>8206046.2915525502</v>
      </c>
      <c r="L9" s="44">
        <v>-2058927.06</v>
      </c>
      <c r="M9" s="44">
        <v>841587.37</v>
      </c>
      <c r="N9" s="44">
        <f t="shared" si="4"/>
        <v>-1217339.69</v>
      </c>
      <c r="O9" s="44">
        <v>1979229.5718088876</v>
      </c>
      <c r="P9" s="44">
        <v>5192701.3514690502</v>
      </c>
      <c r="Q9" s="44">
        <f t="shared" si="5"/>
        <v>7171930.9232779378</v>
      </c>
      <c r="R9" s="44" t="str">
        <f t="shared" si="6"/>
        <v>Yes</v>
      </c>
      <c r="S9" s="45" t="str">
        <f t="shared" si="7"/>
        <v>Yes</v>
      </c>
      <c r="T9" s="46">
        <f>ROUND(INDEX(Summary!H:H,MATCH(H:H,Summary!A:A,0)),2)</f>
        <v>0</v>
      </c>
      <c r="U9" s="46">
        <f>ROUND(INDEX(Summary!I:I,MATCH(H:H,Summary!A:A,0)),2)</f>
        <v>0.5</v>
      </c>
      <c r="V9" s="79">
        <f t="shared" si="8"/>
        <v>0</v>
      </c>
      <c r="W9" s="79">
        <f t="shared" si="9"/>
        <v>1371252.8301423411</v>
      </c>
      <c r="X9" s="44">
        <f t="shared" si="10"/>
        <v>1371252.8301423411</v>
      </c>
      <c r="Y9" s="44" t="s">
        <v>2765</v>
      </c>
      <c r="Z9" s="44" t="str">
        <f t="shared" si="11"/>
        <v>Yes</v>
      </c>
      <c r="AA9" s="44" t="str">
        <f t="shared" si="12"/>
        <v>Yes</v>
      </c>
      <c r="AB9" s="44" t="str">
        <f t="shared" si="13"/>
        <v>Yes</v>
      </c>
      <c r="AC9" s="80">
        <f t="shared" si="21"/>
        <v>0.25</v>
      </c>
      <c r="AD9" s="80">
        <f t="shared" si="22"/>
        <v>0.97</v>
      </c>
      <c r="AE9" s="44">
        <f t="shared" si="23"/>
        <v>1365885.157816967</v>
      </c>
      <c r="AF9" s="44">
        <f t="shared" si="14"/>
        <v>2660230.4904761417</v>
      </c>
      <c r="AG9" s="44">
        <f t="shared" si="15"/>
        <v>4026115.6482931087</v>
      </c>
      <c r="AH9" s="46">
        <f>IF(Y9="No",0,IFERROR(ROUNDDOWN(INDEX('90% of ACR'!K:K,MATCH(H:H,'90% of ACR'!A:A,0))*IF(I9&gt;0,IF(O9&gt;0,$R$4*MAX(O9-V9,0),0),0)/I9,2),0))</f>
        <v>0.25</v>
      </c>
      <c r="AI9" s="80">
        <f>IF(Y9="No",0,IFERROR(ROUNDDOWN(INDEX('90% of ACR'!R:R,MATCH(H:H,'90% of ACR'!A:A,0))*IF(J9&gt;0,IF(P9&gt;0,$R$4*MAX(P9-W9,0),0),0)/J9,2),0))</f>
        <v>0.97</v>
      </c>
      <c r="AJ9" s="44">
        <f t="shared" si="16"/>
        <v>1365885.157816967</v>
      </c>
      <c r="AK9" s="44">
        <f t="shared" si="17"/>
        <v>2660230.4904761417</v>
      </c>
      <c r="AL9" s="46">
        <f t="shared" si="18"/>
        <v>0.25</v>
      </c>
      <c r="AM9" s="46">
        <f t="shared" si="19"/>
        <v>1.47</v>
      </c>
      <c r="AN9" s="81">
        <f>IFERROR(INDEX(FeeCalc!P:P,MATCH(C9,FeeCalc!F:F,0)),0)</f>
        <v>5397368.4784354493</v>
      </c>
      <c r="AO9" s="81">
        <f>IFERROR(INDEX(FeeCalc!S:S,MATCH(C9,FeeCalc!F:F,0)),0)</f>
        <v>334972.0815916537</v>
      </c>
      <c r="AP9" s="81">
        <f t="shared" si="20"/>
        <v>5732340.5600271029</v>
      </c>
      <c r="AQ9" s="68">
        <f t="shared" si="24"/>
        <v>2255974.0920797866</v>
      </c>
      <c r="AR9" s="68">
        <f>INDEX('IGT Commitment Suggestions'!H:H,MATCH(G9,'IGT Commitment Suggestions'!A:A,0))*AQ9</f>
        <v>1028928.3153170405</v>
      </c>
    </row>
    <row r="10" spans="1:44">
      <c r="A10" s="103" t="s">
        <v>114</v>
      </c>
      <c r="B10" s="30" t="s">
        <v>114</v>
      </c>
      <c r="C10" s="30" t="s">
        <v>115</v>
      </c>
      <c r="D10" s="42" t="s">
        <v>115</v>
      </c>
      <c r="E10" s="119" t="s">
        <v>2351</v>
      </c>
      <c r="F10" s="43" t="s">
        <v>1547</v>
      </c>
      <c r="G10" s="42" t="s">
        <v>1548</v>
      </c>
      <c r="H10" s="42" t="str">
        <f t="shared" si="2"/>
        <v>Children's Nueces</v>
      </c>
      <c r="I10" s="44">
        <f>INDEX(FeeCalc!M:M,MATCH(C:C,FeeCalc!F:F,0))</f>
        <v>63517612.84385255</v>
      </c>
      <c r="J10" s="44">
        <f>INDEX(FeeCalc!L:L,MATCH(C:C,FeeCalc!F:F,0))</f>
        <v>80722055.854980409</v>
      </c>
      <c r="K10" s="44">
        <f t="shared" si="3"/>
        <v>144239668.69883296</v>
      </c>
      <c r="L10" s="44">
        <v>41205101.780000001</v>
      </c>
      <c r="M10" s="44">
        <v>9044850.8200000003</v>
      </c>
      <c r="N10" s="44">
        <f t="shared" si="4"/>
        <v>50249952.600000001</v>
      </c>
      <c r="O10" s="44">
        <v>107652884.89956634</v>
      </c>
      <c r="P10" s="44">
        <v>32771929.613729671</v>
      </c>
      <c r="Q10" s="44">
        <f t="shared" si="5"/>
        <v>140424814.51329601</v>
      </c>
      <c r="R10" s="44" t="str">
        <f t="shared" si="6"/>
        <v>Yes</v>
      </c>
      <c r="S10" s="45" t="str">
        <f t="shared" si="7"/>
        <v>Yes</v>
      </c>
      <c r="T10" s="46">
        <f>ROUND(INDEX(Summary!H:H,MATCH(H:H,Summary!A:A,0)),2)</f>
        <v>0.65</v>
      </c>
      <c r="U10" s="46">
        <f>ROUND(INDEX(Summary!I:I,MATCH(H:H,Summary!A:A,0)),2)</f>
        <v>0.11</v>
      </c>
      <c r="V10" s="79">
        <f t="shared" si="8"/>
        <v>41286448.348504156</v>
      </c>
      <c r="W10" s="79">
        <f t="shared" si="9"/>
        <v>8879426.1440478452</v>
      </c>
      <c r="X10" s="44">
        <f t="shared" si="10"/>
        <v>50165874.492551997</v>
      </c>
      <c r="Y10" s="44" t="s">
        <v>2765</v>
      </c>
      <c r="Z10" s="44" t="str">
        <f t="shared" si="11"/>
        <v>Yes</v>
      </c>
      <c r="AA10" s="44" t="str">
        <f t="shared" si="12"/>
        <v>Yes</v>
      </c>
      <c r="AB10" s="44" t="str">
        <f t="shared" si="13"/>
        <v>Yes</v>
      </c>
      <c r="AC10" s="80">
        <f t="shared" si="21"/>
        <v>0.73</v>
      </c>
      <c r="AD10" s="80">
        <f t="shared" si="22"/>
        <v>0.21</v>
      </c>
      <c r="AE10" s="44">
        <f t="shared" si="23"/>
        <v>46367857.376012363</v>
      </c>
      <c r="AF10" s="44">
        <f t="shared" si="14"/>
        <v>16951631.729545884</v>
      </c>
      <c r="AG10" s="44">
        <f t="shared" si="15"/>
        <v>63319489.105558246</v>
      </c>
      <c r="AH10" s="46">
        <f>IF(Y10="No",0,IFERROR(ROUNDDOWN(INDEX('90% of ACR'!K:K,MATCH(H:H,'90% of ACR'!A:A,0))*IF(I10&gt;0,IF(O10&gt;0,$R$4*MAX(O10-V10,0),0),0)/I10,2),0))</f>
        <v>0.72</v>
      </c>
      <c r="AI10" s="80">
        <f>IF(Y10="No",0,IFERROR(ROUNDDOWN(INDEX('90% of ACR'!R:R,MATCH(H:H,'90% of ACR'!A:A,0))*IF(J10&gt;0,IF(P10&gt;0,$R$4*MAX(P10-W10,0),0),0)/J10,2),0))</f>
        <v>0.2</v>
      </c>
      <c r="AJ10" s="44">
        <f t="shared" si="16"/>
        <v>45732681.247573838</v>
      </c>
      <c r="AK10" s="44">
        <f t="shared" si="17"/>
        <v>16144411.170996083</v>
      </c>
      <c r="AL10" s="46">
        <f t="shared" si="18"/>
        <v>1.37</v>
      </c>
      <c r="AM10" s="46">
        <f t="shared" si="19"/>
        <v>0.31</v>
      </c>
      <c r="AN10" s="81">
        <f>IFERROR(INDEX(FeeCalc!P:P,MATCH(C10,FeeCalc!F:F,0)),0)</f>
        <v>112042966.91112192</v>
      </c>
      <c r="AO10" s="81">
        <f>IFERROR(INDEX(FeeCalc!S:S,MATCH(C10,FeeCalc!F:F,0)),0)</f>
        <v>6836690.5894893669</v>
      </c>
      <c r="AP10" s="81">
        <f t="shared" si="20"/>
        <v>118879657.50061129</v>
      </c>
      <c r="AQ10" s="68">
        <f t="shared" si="24"/>
        <v>46785326.968680575</v>
      </c>
      <c r="AR10" s="68">
        <f>INDEX('IGT Commitment Suggestions'!H:H,MATCH(G10,'IGT Commitment Suggestions'!A:A,0))*AQ10</f>
        <v>21399758.437568814</v>
      </c>
    </row>
    <row r="11" spans="1:44" ht="23.25">
      <c r="A11" s="103" t="s">
        <v>1297</v>
      </c>
      <c r="B11" s="30" t="s">
        <v>1297</v>
      </c>
      <c r="C11" s="30" t="s">
        <v>1298</v>
      </c>
      <c r="D11" s="30" t="s">
        <v>1298</v>
      </c>
      <c r="E11" s="119" t="s">
        <v>2600</v>
      </c>
      <c r="F11" s="43" t="s">
        <v>2544</v>
      </c>
      <c r="G11" s="42" t="s">
        <v>227</v>
      </c>
      <c r="H11" s="42" t="str">
        <f t="shared" si="2"/>
        <v>Non-state-owned IMD MRSA West</v>
      </c>
      <c r="I11" s="44">
        <f>INDEX(FeeCalc!M:M,MATCH(C:C,FeeCalc!F:F,0))</f>
        <v>1091290.9409020082</v>
      </c>
      <c r="J11" s="44">
        <f>INDEX(FeeCalc!L:L,MATCH(C:C,FeeCalc!F:F,0))</f>
        <v>0</v>
      </c>
      <c r="K11" s="44">
        <f t="shared" si="3"/>
        <v>1091290.9409020082</v>
      </c>
      <c r="L11" s="44">
        <v>209976.8</v>
      </c>
      <c r="M11" s="44">
        <v>0</v>
      </c>
      <c r="N11" s="44">
        <f t="shared" si="4"/>
        <v>209976.8</v>
      </c>
      <c r="O11" s="44">
        <v>53812.076088599046</v>
      </c>
      <c r="P11" s="44">
        <v>0</v>
      </c>
      <c r="Q11" s="44">
        <f t="shared" si="5"/>
        <v>53812.076088599046</v>
      </c>
      <c r="R11" s="44" t="str">
        <f t="shared" si="6"/>
        <v>Yes</v>
      </c>
      <c r="S11" s="45" t="str">
        <f t="shared" si="7"/>
        <v>No</v>
      </c>
      <c r="T11" s="46">
        <f>ROUND(INDEX(Summary!H:H,MATCH(H:H,Summary!A:A,0)),2)</f>
        <v>0.17</v>
      </c>
      <c r="U11" s="46">
        <f>ROUND(INDEX(Summary!I:I,MATCH(H:H,Summary!A:A,0)),2)</f>
        <v>0</v>
      </c>
      <c r="V11" s="79">
        <f t="shared" si="8"/>
        <v>185519.4599533414</v>
      </c>
      <c r="W11" s="79">
        <f t="shared" si="9"/>
        <v>0</v>
      </c>
      <c r="X11" s="44">
        <f t="shared" si="10"/>
        <v>185519.4599533414</v>
      </c>
      <c r="Y11" s="44" t="s">
        <v>2766</v>
      </c>
      <c r="Z11" s="44" t="str">
        <f t="shared" si="11"/>
        <v>No</v>
      </c>
      <c r="AA11" s="44" t="str">
        <f t="shared" si="12"/>
        <v>No</v>
      </c>
      <c r="AB11" s="44" t="str">
        <f t="shared" si="13"/>
        <v>No</v>
      </c>
      <c r="AC11" s="80">
        <f t="shared" si="21"/>
        <v>0</v>
      </c>
      <c r="AD11" s="80">
        <f t="shared" si="22"/>
        <v>0</v>
      </c>
      <c r="AE11" s="44">
        <f t="shared" si="23"/>
        <v>0</v>
      </c>
      <c r="AF11" s="44">
        <f t="shared" si="14"/>
        <v>0</v>
      </c>
      <c r="AG11" s="44">
        <f t="shared" si="15"/>
        <v>0</v>
      </c>
      <c r="AH11" s="46">
        <f>IF(Y11="No",0,IFERROR(ROUNDDOWN(INDEX('90% of ACR'!K:K,MATCH(H:H,'90% of ACR'!A:A,0))*IF(I11&gt;0,IF(O11&gt;0,$R$4*MAX(O11-V11,0),0),0)/I11,2),0))</f>
        <v>0</v>
      </c>
      <c r="AI11" s="80">
        <f>IF(Y11="No",0,IFERROR(ROUNDDOWN(INDEX('90% of ACR'!R:R,MATCH(H:H,'90% of ACR'!A:A,0))*IF(J11&gt;0,IF(P11&gt;0,$R$4*MAX(P11-W11,0),0),0)/J11,2),0))</f>
        <v>0</v>
      </c>
      <c r="AJ11" s="44">
        <f t="shared" si="16"/>
        <v>0</v>
      </c>
      <c r="AK11" s="44">
        <f t="shared" si="17"/>
        <v>0</v>
      </c>
      <c r="AL11" s="46">
        <f t="shared" si="18"/>
        <v>0.17</v>
      </c>
      <c r="AM11" s="46">
        <f t="shared" si="19"/>
        <v>0</v>
      </c>
      <c r="AN11" s="81">
        <f>IFERROR(INDEX(FeeCalc!P:P,MATCH(C11,FeeCalc!F:F,0)),0)</f>
        <v>185519.4599533414</v>
      </c>
      <c r="AO11" s="81">
        <f>IFERROR(INDEX(FeeCalc!S:S,MATCH(C11,FeeCalc!F:F,0)),0)</f>
        <v>11318.163339328523</v>
      </c>
      <c r="AP11" s="81">
        <f t="shared" si="20"/>
        <v>196837.62329266992</v>
      </c>
      <c r="AQ11" s="68">
        <f t="shared" si="24"/>
        <v>77465.840322076838</v>
      </c>
      <c r="AR11" s="68">
        <f>INDEX('IGT Commitment Suggestions'!H:H,MATCH(G11,'IGT Commitment Suggestions'!A:A,0))*AQ11</f>
        <v>37963.192512879497</v>
      </c>
    </row>
    <row r="12" spans="1:44" ht="23.25">
      <c r="A12" s="103" t="s">
        <v>1212</v>
      </c>
      <c r="B12" s="30" t="s">
        <v>1212</v>
      </c>
      <c r="C12" s="30" t="s">
        <v>1213</v>
      </c>
      <c r="D12" s="42" t="s">
        <v>1213</v>
      </c>
      <c r="E12" s="119" t="s">
        <v>2796</v>
      </c>
      <c r="F12" s="43" t="s">
        <v>2544</v>
      </c>
      <c r="G12" s="42" t="s">
        <v>1202</v>
      </c>
      <c r="H12" s="42" t="str">
        <f t="shared" si="2"/>
        <v>Non-state-owned IMD Travis</v>
      </c>
      <c r="I12" s="44">
        <f>INDEX(FeeCalc!M:M,MATCH(C:C,FeeCalc!F:F,0))</f>
        <v>1301219.8927996513</v>
      </c>
      <c r="J12" s="44">
        <f>INDEX(FeeCalc!L:L,MATCH(C:C,FeeCalc!F:F,0))</f>
        <v>0</v>
      </c>
      <c r="K12" s="44">
        <f t="shared" si="3"/>
        <v>1301219.8927996513</v>
      </c>
      <c r="L12" s="44">
        <v>439781.52</v>
      </c>
      <c r="M12" s="44">
        <v>0</v>
      </c>
      <c r="N12" s="44">
        <f t="shared" si="4"/>
        <v>439781.52</v>
      </c>
      <c r="O12" s="44">
        <v>28091.291644172277</v>
      </c>
      <c r="P12" s="44">
        <v>0</v>
      </c>
      <c r="Q12" s="44">
        <f t="shared" si="5"/>
        <v>28091.291644172277</v>
      </c>
      <c r="R12" s="44" t="str">
        <f t="shared" si="6"/>
        <v>Yes</v>
      </c>
      <c r="S12" s="45" t="str">
        <f t="shared" si="7"/>
        <v>No</v>
      </c>
      <c r="T12" s="46">
        <f>ROUND(INDEX(Summary!H:H,MATCH(H:H,Summary!A:A,0)),2)</f>
        <v>0.28999999999999998</v>
      </c>
      <c r="U12" s="46">
        <f>ROUND(INDEX(Summary!I:I,MATCH(H:H,Summary!A:A,0)),2)</f>
        <v>0</v>
      </c>
      <c r="V12" s="79">
        <f t="shared" si="8"/>
        <v>377353.76891189883</v>
      </c>
      <c r="W12" s="79">
        <f t="shared" si="9"/>
        <v>0</v>
      </c>
      <c r="X12" s="44">
        <f t="shared" si="10"/>
        <v>377353.76891189883</v>
      </c>
      <c r="Y12" s="44" t="s">
        <v>2765</v>
      </c>
      <c r="Z12" s="44" t="str">
        <f t="shared" si="11"/>
        <v>No</v>
      </c>
      <c r="AA12" s="44" t="str">
        <f t="shared" si="12"/>
        <v>No</v>
      </c>
      <c r="AB12" s="44" t="str">
        <f t="shared" si="13"/>
        <v>No</v>
      </c>
      <c r="AC12" s="80">
        <f t="shared" si="21"/>
        <v>0</v>
      </c>
      <c r="AD12" s="80">
        <f t="shared" si="22"/>
        <v>0</v>
      </c>
      <c r="AE12" s="44">
        <f t="shared" si="23"/>
        <v>0</v>
      </c>
      <c r="AF12" s="44">
        <f t="shared" si="14"/>
        <v>0</v>
      </c>
      <c r="AG12" s="44">
        <f t="shared" si="15"/>
        <v>0</v>
      </c>
      <c r="AH12" s="46">
        <f>IF(Y12="No",0,IFERROR(ROUNDDOWN(INDEX('90% of ACR'!K:K,MATCH(H:H,'90% of ACR'!A:A,0))*IF(I12&gt;0,IF(O12&gt;0,$R$4*MAX(O12-V12,0),0),0)/I12,2),0))</f>
        <v>0</v>
      </c>
      <c r="AI12" s="80">
        <f>IF(Y12="No",0,IFERROR(ROUNDDOWN(INDEX('90% of ACR'!R:R,MATCH(H:H,'90% of ACR'!A:A,0))*IF(J12&gt;0,IF(P12&gt;0,$R$4*MAX(P12-W12,0),0),0)/J12,2),0))</f>
        <v>0</v>
      </c>
      <c r="AJ12" s="44">
        <f t="shared" si="16"/>
        <v>0</v>
      </c>
      <c r="AK12" s="44">
        <f t="shared" si="17"/>
        <v>0</v>
      </c>
      <c r="AL12" s="46">
        <f t="shared" si="18"/>
        <v>0.28999999999999998</v>
      </c>
      <c r="AM12" s="46">
        <f t="shared" si="19"/>
        <v>0</v>
      </c>
      <c r="AN12" s="81">
        <f>IFERROR(INDEX(FeeCalc!P:P,MATCH(C12,FeeCalc!F:F,0)),0)</f>
        <v>377353.76891189883</v>
      </c>
      <c r="AO12" s="81">
        <f>IFERROR(INDEX(FeeCalc!S:S,MATCH(C12,FeeCalc!F:F,0)),0)</f>
        <v>23021.58271876306</v>
      </c>
      <c r="AP12" s="81">
        <f t="shared" si="20"/>
        <v>400375.35163066187</v>
      </c>
      <c r="AQ12" s="68">
        <f t="shared" si="24"/>
        <v>157568.52038495024</v>
      </c>
      <c r="AR12" s="68">
        <f>INDEX('IGT Commitment Suggestions'!H:H,MATCH(G12,'IGT Commitment Suggestions'!A:A,0))*AQ12</f>
        <v>72398.655969015963</v>
      </c>
    </row>
    <row r="13" spans="1:44">
      <c r="A13" s="103" t="s">
        <v>1016</v>
      </c>
      <c r="B13" s="30" t="s">
        <v>1016</v>
      </c>
      <c r="C13" s="30" t="s">
        <v>1017</v>
      </c>
      <c r="D13" s="42" t="s">
        <v>1017</v>
      </c>
      <c r="E13" s="119" t="s">
        <v>2797</v>
      </c>
      <c r="F13" s="43" t="s">
        <v>2295</v>
      </c>
      <c r="G13" s="42" t="s">
        <v>227</v>
      </c>
      <c r="H13" s="42" t="str">
        <f t="shared" si="2"/>
        <v>Rural MRSA West</v>
      </c>
      <c r="I13" s="44">
        <f>INDEX(FeeCalc!M:M,MATCH(C:C,FeeCalc!F:F,0))</f>
        <v>1266844.4459355243</v>
      </c>
      <c r="J13" s="44">
        <f>INDEX(FeeCalc!L:L,MATCH(C:C,FeeCalc!F:F,0))</f>
        <v>1276772.3343002459</v>
      </c>
      <c r="K13" s="44">
        <f t="shared" si="3"/>
        <v>2543616.7802357702</v>
      </c>
      <c r="L13" s="44">
        <v>1010195.1</v>
      </c>
      <c r="M13" s="44">
        <v>7628.16</v>
      </c>
      <c r="N13" s="44">
        <f t="shared" si="4"/>
        <v>1017823.26</v>
      </c>
      <c r="O13" s="44">
        <v>610376.41269475082</v>
      </c>
      <c r="P13" s="44">
        <v>179902.62764712702</v>
      </c>
      <c r="Q13" s="44">
        <f t="shared" si="5"/>
        <v>790279.04034187784</v>
      </c>
      <c r="R13" s="44" t="str">
        <f t="shared" si="6"/>
        <v>Yes</v>
      </c>
      <c r="S13" s="45" t="str">
        <f t="shared" si="7"/>
        <v>Yes</v>
      </c>
      <c r="T13" s="46">
        <f>ROUND(INDEX(Summary!H:H,MATCH(H:H,Summary!A:A,0)),2)</f>
        <v>0</v>
      </c>
      <c r="U13" s="46">
        <f>ROUND(INDEX(Summary!I:I,MATCH(H:H,Summary!A:A,0)),2)</f>
        <v>0.18</v>
      </c>
      <c r="V13" s="79">
        <f t="shared" si="8"/>
        <v>0</v>
      </c>
      <c r="W13" s="79">
        <f t="shared" si="9"/>
        <v>229819.02017404424</v>
      </c>
      <c r="X13" s="44">
        <f t="shared" si="10"/>
        <v>229819.02017404424</v>
      </c>
      <c r="Y13" s="44" t="s">
        <v>2766</v>
      </c>
      <c r="Z13" s="44" t="str">
        <f t="shared" si="11"/>
        <v>No</v>
      </c>
      <c r="AA13" s="44" t="str">
        <f t="shared" si="12"/>
        <v>No</v>
      </c>
      <c r="AB13" s="44" t="str">
        <f t="shared" si="13"/>
        <v>No</v>
      </c>
      <c r="AC13" s="80">
        <f t="shared" si="21"/>
        <v>0</v>
      </c>
      <c r="AD13" s="80">
        <f t="shared" si="22"/>
        <v>0</v>
      </c>
      <c r="AE13" s="44">
        <f t="shared" si="23"/>
        <v>0</v>
      </c>
      <c r="AF13" s="44">
        <f t="shared" si="14"/>
        <v>0</v>
      </c>
      <c r="AG13" s="44">
        <f t="shared" si="15"/>
        <v>0</v>
      </c>
      <c r="AH13" s="46">
        <f>IF(Y13="No",0,IFERROR(ROUNDDOWN(INDEX('90% of ACR'!K:K,MATCH(H:H,'90% of ACR'!A:A,0))*IF(I13&gt;0,IF(O13&gt;0,$R$4*MAX(O13-V13,0),0),0)/I13,2),0))</f>
        <v>0</v>
      </c>
      <c r="AI13" s="80">
        <f>IF(Y13="No",0,IFERROR(ROUNDDOWN(INDEX('90% of ACR'!R:R,MATCH(H:H,'90% of ACR'!A:A,0))*IF(J13&gt;0,IF(P13&gt;0,$R$4*MAX(P13-W13,0),0),0)/J13,2),0))</f>
        <v>0</v>
      </c>
      <c r="AJ13" s="44">
        <f t="shared" si="16"/>
        <v>0</v>
      </c>
      <c r="AK13" s="44">
        <f t="shared" si="17"/>
        <v>0</v>
      </c>
      <c r="AL13" s="46">
        <f t="shared" si="18"/>
        <v>0</v>
      </c>
      <c r="AM13" s="46">
        <f t="shared" si="19"/>
        <v>0.18</v>
      </c>
      <c r="AN13" s="81">
        <f>IFERROR(INDEX(FeeCalc!P:P,MATCH(C13,FeeCalc!F:F,0)),0)</f>
        <v>229819.02017404424</v>
      </c>
      <c r="AO13" s="81">
        <f>IFERROR(INDEX(FeeCalc!S:S,MATCH(C13,FeeCalc!F:F,0)),0)</f>
        <v>14120.605127795814</v>
      </c>
      <c r="AP13" s="81">
        <f t="shared" si="20"/>
        <v>243939.62530184005</v>
      </c>
      <c r="AQ13" s="68">
        <f t="shared" si="24"/>
        <v>96002.927416789753</v>
      </c>
      <c r="AR13" s="68">
        <f>INDEX('IGT Commitment Suggestions'!H:H,MATCH(G13,'IGT Commitment Suggestions'!A:A,0))*AQ13</f>
        <v>47047.545087882121</v>
      </c>
    </row>
    <row r="14" spans="1:44" ht="13.5" customHeight="1">
      <c r="A14" s="103" t="s">
        <v>1484</v>
      </c>
      <c r="B14" s="30" t="s">
        <v>1484</v>
      </c>
      <c r="C14" s="30" t="s">
        <v>1485</v>
      </c>
      <c r="D14" s="42" t="s">
        <v>1485</v>
      </c>
      <c r="E14" s="119" t="s">
        <v>2798</v>
      </c>
      <c r="F14" s="43" t="s">
        <v>2295</v>
      </c>
      <c r="G14" s="42" t="s">
        <v>1486</v>
      </c>
      <c r="H14" s="42" t="str">
        <f t="shared" si="2"/>
        <v>Rural MRSA Central</v>
      </c>
      <c r="I14" s="44">
        <f>INDEX(FeeCalc!M:M,MATCH(C:C,FeeCalc!F:F,0))</f>
        <v>1221694.5094753997</v>
      </c>
      <c r="J14" s="44">
        <f>INDEX(FeeCalc!L:L,MATCH(C:C,FeeCalc!F:F,0))</f>
        <v>139734.26276338991</v>
      </c>
      <c r="K14" s="44">
        <f t="shared" si="3"/>
        <v>1361428.7722387896</v>
      </c>
      <c r="L14" s="44">
        <v>493445.11</v>
      </c>
      <c r="M14" s="44">
        <v>204734.05</v>
      </c>
      <c r="N14" s="44">
        <f t="shared" si="4"/>
        <v>698179.15999999992</v>
      </c>
      <c r="O14" s="44">
        <v>311939.83230407781</v>
      </c>
      <c r="P14" s="44">
        <v>191459.80817585744</v>
      </c>
      <c r="Q14" s="44">
        <f t="shared" si="5"/>
        <v>503399.64047993522</v>
      </c>
      <c r="R14" s="44" t="str">
        <f t="shared" si="6"/>
        <v>Yes</v>
      </c>
      <c r="S14" s="45" t="str">
        <f t="shared" si="7"/>
        <v>Yes</v>
      </c>
      <c r="T14" s="46">
        <f>ROUND(INDEX(Summary!H:H,MATCH(H:H,Summary!A:A,0)),2)</f>
        <v>0.11</v>
      </c>
      <c r="U14" s="46">
        <f>ROUND(INDEX(Summary!I:I,MATCH(H:H,Summary!A:A,0)),2)</f>
        <v>0.09</v>
      </c>
      <c r="V14" s="79">
        <f t="shared" si="8"/>
        <v>134386.39604229399</v>
      </c>
      <c r="W14" s="79">
        <f t="shared" si="9"/>
        <v>12576.083648705091</v>
      </c>
      <c r="X14" s="44">
        <f t="shared" si="10"/>
        <v>146962.47969099908</v>
      </c>
      <c r="Y14" s="44" t="s">
        <v>2765</v>
      </c>
      <c r="Z14" s="44" t="str">
        <f t="shared" si="11"/>
        <v>Yes</v>
      </c>
      <c r="AA14" s="44" t="str">
        <f t="shared" si="12"/>
        <v>Yes</v>
      </c>
      <c r="AB14" s="44" t="str">
        <f t="shared" si="13"/>
        <v>Yes</v>
      </c>
      <c r="AC14" s="80">
        <f t="shared" si="21"/>
        <v>0.1</v>
      </c>
      <c r="AD14" s="80">
        <f t="shared" si="22"/>
        <v>0.89</v>
      </c>
      <c r="AE14" s="44">
        <f t="shared" si="23"/>
        <v>122169.45094753998</v>
      </c>
      <c r="AF14" s="44">
        <f t="shared" si="14"/>
        <v>124363.49385941702</v>
      </c>
      <c r="AG14" s="44">
        <f t="shared" si="15"/>
        <v>246532.94480695701</v>
      </c>
      <c r="AH14" s="46">
        <f>IF(Y14="No",0,IFERROR(ROUNDDOWN(INDEX('90% of ACR'!K:K,MATCH(H:H,'90% of ACR'!A:A,0))*IF(I14&gt;0,IF(O14&gt;0,$R$4*MAX(O14-V14,0),0),0)/I14,2),0))</f>
        <v>0.05</v>
      </c>
      <c r="AI14" s="80">
        <f>IF(Y14="No",0,IFERROR(ROUNDDOWN(INDEX('90% of ACR'!R:R,MATCH(H:H,'90% of ACR'!A:A,0))*IF(J14&gt;0,IF(P14&gt;0,$R$4*MAX(P14-W14,0),0),0)/J14,2),0))</f>
        <v>0.89</v>
      </c>
      <c r="AJ14" s="44">
        <f t="shared" si="16"/>
        <v>61084.725473769991</v>
      </c>
      <c r="AK14" s="44">
        <f t="shared" si="17"/>
        <v>124363.49385941702</v>
      </c>
      <c r="AL14" s="46">
        <f t="shared" si="18"/>
        <v>0.16</v>
      </c>
      <c r="AM14" s="46">
        <f t="shared" si="19"/>
        <v>0.98</v>
      </c>
      <c r="AN14" s="81">
        <f>IFERROR(INDEX(FeeCalc!P:P,MATCH(C14,FeeCalc!F:F,0)),0)</f>
        <v>332410.69902418606</v>
      </c>
      <c r="AO14" s="81">
        <f>IFERROR(INDEX(FeeCalc!S:S,MATCH(C14,FeeCalc!F:F,0)),0)</f>
        <v>20522.854484762</v>
      </c>
      <c r="AP14" s="81">
        <f t="shared" si="20"/>
        <v>352933.55350894807</v>
      </c>
      <c r="AQ14" s="68">
        <f t="shared" si="24"/>
        <v>138897.70585055352</v>
      </c>
      <c r="AR14" s="68">
        <f>INDEX('IGT Commitment Suggestions'!H:H,MATCH(G14,'IGT Commitment Suggestions'!A:A,0))*AQ14</f>
        <v>63453.606220420188</v>
      </c>
    </row>
    <row r="15" spans="1:44">
      <c r="A15" s="103" t="s">
        <v>587</v>
      </c>
      <c r="B15" s="30" t="s">
        <v>587</v>
      </c>
      <c r="C15" s="30" t="s">
        <v>588</v>
      </c>
      <c r="D15" s="42" t="s">
        <v>588</v>
      </c>
      <c r="E15" s="119" t="s">
        <v>2690</v>
      </c>
      <c r="F15" s="43" t="s">
        <v>2295</v>
      </c>
      <c r="G15" s="42" t="s">
        <v>227</v>
      </c>
      <c r="H15" s="42" t="str">
        <f t="shared" si="2"/>
        <v>Rural MRSA West</v>
      </c>
      <c r="I15" s="44">
        <f>INDEX(FeeCalc!M:M,MATCH(C:C,FeeCalc!F:F,0))</f>
        <v>1130120.9895146259</v>
      </c>
      <c r="J15" s="44">
        <f>INDEX(FeeCalc!L:L,MATCH(C:C,FeeCalc!F:F,0))</f>
        <v>1077711.4977062084</v>
      </c>
      <c r="K15" s="44">
        <f t="shared" si="3"/>
        <v>2207832.487220834</v>
      </c>
      <c r="L15" s="44">
        <v>-3172454.41</v>
      </c>
      <c r="M15" s="44">
        <v>205980.15</v>
      </c>
      <c r="N15" s="44">
        <f t="shared" si="4"/>
        <v>-2966474.2600000002</v>
      </c>
      <c r="O15" s="44">
        <v>-3378274.5886394279</v>
      </c>
      <c r="P15" s="44">
        <v>218617.37331296084</v>
      </c>
      <c r="Q15" s="44">
        <f t="shared" si="5"/>
        <v>-3159657.2153264671</v>
      </c>
      <c r="R15" s="44" t="str">
        <f t="shared" si="6"/>
        <v>No</v>
      </c>
      <c r="S15" s="45" t="str">
        <f t="shared" si="7"/>
        <v>Yes</v>
      </c>
      <c r="T15" s="46">
        <f>ROUND(INDEX(Summary!H:H,MATCH(H:H,Summary!A:A,0)),2)</f>
        <v>0</v>
      </c>
      <c r="U15" s="46">
        <f>ROUND(INDEX(Summary!I:I,MATCH(H:H,Summary!A:A,0)),2)</f>
        <v>0.18</v>
      </c>
      <c r="V15" s="79">
        <f t="shared" si="8"/>
        <v>0</v>
      </c>
      <c r="W15" s="79">
        <f t="shared" si="9"/>
        <v>193988.0695871175</v>
      </c>
      <c r="X15" s="44">
        <f t="shared" si="10"/>
        <v>193988.0695871175</v>
      </c>
      <c r="Y15" s="44" t="s">
        <v>2765</v>
      </c>
      <c r="Z15" s="44" t="str">
        <f t="shared" si="11"/>
        <v>No</v>
      </c>
      <c r="AA15" s="44" t="str">
        <f t="shared" si="12"/>
        <v>Yes</v>
      </c>
      <c r="AB15" s="44" t="str">
        <f t="shared" si="13"/>
        <v>Yes</v>
      </c>
      <c r="AC15" s="80">
        <f t="shared" si="21"/>
        <v>0</v>
      </c>
      <c r="AD15" s="80">
        <f t="shared" si="22"/>
        <v>0.02</v>
      </c>
      <c r="AE15" s="44">
        <f t="shared" si="23"/>
        <v>0</v>
      </c>
      <c r="AF15" s="44">
        <f t="shared" si="14"/>
        <v>21554.229954124166</v>
      </c>
      <c r="AG15" s="44">
        <f t="shared" si="15"/>
        <v>21554.229954124166</v>
      </c>
      <c r="AH15" s="46">
        <f>IF(Y15="No",0,IFERROR(ROUNDDOWN(INDEX('90% of ACR'!K:K,MATCH(H:H,'90% of ACR'!A:A,0))*IF(I15&gt;0,IF(O15&gt;0,$R$4*MAX(O15-V15,0),0),0)/I15,2),0))</f>
        <v>0</v>
      </c>
      <c r="AI15" s="80">
        <f>IF(Y15="No",0,IFERROR(ROUNDDOWN(INDEX('90% of ACR'!R:R,MATCH(H:H,'90% of ACR'!A:A,0))*IF(J15&gt;0,IF(P15&gt;0,$R$4*MAX(P15-W15,0),0),0)/J15,2),0))</f>
        <v>0.01</v>
      </c>
      <c r="AJ15" s="44">
        <f t="shared" si="16"/>
        <v>0</v>
      </c>
      <c r="AK15" s="44">
        <f t="shared" si="17"/>
        <v>10777.114977062083</v>
      </c>
      <c r="AL15" s="46">
        <f t="shared" si="18"/>
        <v>0</v>
      </c>
      <c r="AM15" s="46">
        <f t="shared" si="19"/>
        <v>0.19</v>
      </c>
      <c r="AN15" s="81">
        <f>IFERROR(INDEX(FeeCalc!P:P,MATCH(C15,FeeCalc!F:F,0)),0)</f>
        <v>204765.1845641796</v>
      </c>
      <c r="AO15" s="81">
        <f>IFERROR(INDEX(FeeCalc!S:S,MATCH(C15,FeeCalc!F:F,0)),0)</f>
        <v>12586.001611830408</v>
      </c>
      <c r="AP15" s="81">
        <f t="shared" si="20"/>
        <v>217351.18617601</v>
      </c>
      <c r="AQ15" s="68">
        <f t="shared" si="24"/>
        <v>85538.994021941093</v>
      </c>
      <c r="AR15" s="68">
        <f>INDEX('IGT Commitment Suggestions'!H:H,MATCH(G15,'IGT Commitment Suggestions'!A:A,0))*AQ15</f>
        <v>41919.551687707528</v>
      </c>
    </row>
    <row r="16" spans="1:44">
      <c r="A16" s="103" t="s">
        <v>1603</v>
      </c>
      <c r="B16" s="30" t="s">
        <v>1603</v>
      </c>
      <c r="C16" s="30" t="s">
        <v>1604</v>
      </c>
      <c r="D16" s="42" t="s">
        <v>1604</v>
      </c>
      <c r="E16" s="119" t="s">
        <v>2799</v>
      </c>
      <c r="F16" s="43" t="s">
        <v>2295</v>
      </c>
      <c r="G16" s="42" t="s">
        <v>227</v>
      </c>
      <c r="H16" s="42" t="str">
        <f t="shared" si="2"/>
        <v>Rural MRSA West</v>
      </c>
      <c r="I16" s="44">
        <f>INDEX(FeeCalc!M:M,MATCH(C:C,FeeCalc!F:F,0))</f>
        <v>13014.36719502897</v>
      </c>
      <c r="J16" s="44">
        <f>INDEX(FeeCalc!L:L,MATCH(C:C,FeeCalc!F:F,0))</f>
        <v>379350.68713726662</v>
      </c>
      <c r="K16" s="44">
        <f t="shared" si="3"/>
        <v>392365.05433229561</v>
      </c>
      <c r="L16" s="44">
        <v>29297.19</v>
      </c>
      <c r="M16" s="44">
        <v>56661.25</v>
      </c>
      <c r="N16" s="44">
        <f t="shared" si="4"/>
        <v>85958.44</v>
      </c>
      <c r="O16" s="44">
        <v>15544.35579144276</v>
      </c>
      <c r="P16" s="44">
        <v>41954.215911709762</v>
      </c>
      <c r="Q16" s="44">
        <f t="shared" si="5"/>
        <v>57498.57170315252</v>
      </c>
      <c r="R16" s="44" t="str">
        <f t="shared" si="6"/>
        <v>Yes</v>
      </c>
      <c r="S16" s="45" t="str">
        <f t="shared" si="7"/>
        <v>Yes</v>
      </c>
      <c r="T16" s="46">
        <f>ROUND(INDEX(Summary!H:H,MATCH(H:H,Summary!A:A,0)),2)</f>
        <v>0</v>
      </c>
      <c r="U16" s="46">
        <f>ROUND(INDEX(Summary!I:I,MATCH(H:H,Summary!A:A,0)),2)</f>
        <v>0.18</v>
      </c>
      <c r="V16" s="79">
        <f t="shared" si="8"/>
        <v>0</v>
      </c>
      <c r="W16" s="79">
        <f t="shared" si="9"/>
        <v>68283.123684707985</v>
      </c>
      <c r="X16" s="44">
        <f t="shared" si="10"/>
        <v>68283.123684707985</v>
      </c>
      <c r="Y16" s="44" t="s">
        <v>2765</v>
      </c>
      <c r="Z16" s="44" t="str">
        <f t="shared" si="11"/>
        <v>No</v>
      </c>
      <c r="AA16" s="44" t="str">
        <f t="shared" si="12"/>
        <v>No</v>
      </c>
      <c r="AB16" s="44" t="str">
        <f t="shared" si="13"/>
        <v>Yes</v>
      </c>
      <c r="AC16" s="80">
        <f t="shared" si="21"/>
        <v>0.83</v>
      </c>
      <c r="AD16" s="80">
        <f t="shared" si="22"/>
        <v>0</v>
      </c>
      <c r="AE16" s="44">
        <f t="shared" si="23"/>
        <v>10801.924771874044</v>
      </c>
      <c r="AF16" s="44">
        <f t="shared" si="14"/>
        <v>0</v>
      </c>
      <c r="AG16" s="44">
        <f t="shared" si="15"/>
        <v>10801.924771874044</v>
      </c>
      <c r="AH16" s="46">
        <f>IF(Y16="No",0,IFERROR(ROUNDDOWN(INDEX('90% of ACR'!K:K,MATCH(H:H,'90% of ACR'!A:A,0))*IF(I16&gt;0,IF(O16&gt;0,$R$4*MAX(O16-V16,0),0),0)/I16,2),0))</f>
        <v>0</v>
      </c>
      <c r="AI16" s="80">
        <f>IF(Y16="No",0,IFERROR(ROUNDDOWN(INDEX('90% of ACR'!R:R,MATCH(H:H,'90% of ACR'!A:A,0))*IF(J16&gt;0,IF(P16&gt;0,$R$4*MAX(P16-W16,0),0),0)/J16,2),0))</f>
        <v>0</v>
      </c>
      <c r="AJ16" s="44">
        <f t="shared" si="16"/>
        <v>0</v>
      </c>
      <c r="AK16" s="44">
        <f t="shared" si="17"/>
        <v>0</v>
      </c>
      <c r="AL16" s="46">
        <f t="shared" si="18"/>
        <v>0</v>
      </c>
      <c r="AM16" s="46">
        <f t="shared" si="19"/>
        <v>0.18</v>
      </c>
      <c r="AN16" s="81">
        <f>IFERROR(INDEX(FeeCalc!P:P,MATCH(C16,FeeCalc!F:F,0)),0)</f>
        <v>68283.123684707985</v>
      </c>
      <c r="AO16" s="81">
        <f>IFERROR(INDEX(FeeCalc!S:S,MATCH(C16,FeeCalc!F:F,0)),0)</f>
        <v>4217.7421099413823</v>
      </c>
      <c r="AP16" s="81">
        <f t="shared" si="20"/>
        <v>72500.865794649362</v>
      </c>
      <c r="AQ16" s="68">
        <f t="shared" si="24"/>
        <v>28532.860735215847</v>
      </c>
      <c r="AR16" s="68">
        <f>INDEX('IGT Commitment Suggestions'!H:H,MATCH(G16,'IGT Commitment Suggestions'!A:A,0))*AQ16</f>
        <v>13982.917896851124</v>
      </c>
    </row>
    <row r="17" spans="1:44">
      <c r="A17" s="103" t="s">
        <v>904</v>
      </c>
      <c r="B17" s="30" t="s">
        <v>904</v>
      </c>
      <c r="C17" s="30" t="s">
        <v>905</v>
      </c>
      <c r="D17" s="42" t="s">
        <v>905</v>
      </c>
      <c r="E17" s="119" t="s">
        <v>2608</v>
      </c>
      <c r="F17" s="43" t="s">
        <v>2295</v>
      </c>
      <c r="G17" s="42" t="s">
        <v>310</v>
      </c>
      <c r="H17" s="42" t="str">
        <f t="shared" si="2"/>
        <v>Rural MRSA Northeast</v>
      </c>
      <c r="I17" s="44">
        <f>INDEX(FeeCalc!M:M,MATCH(C:C,FeeCalc!F:F,0))</f>
        <v>213.93725567420466</v>
      </c>
      <c r="J17" s="44">
        <f>INDEX(FeeCalc!L:L,MATCH(C:C,FeeCalc!F:F,0))</f>
        <v>51692.52291329937</v>
      </c>
      <c r="K17" s="44">
        <f t="shared" si="3"/>
        <v>51906.460168973572</v>
      </c>
      <c r="L17" s="44">
        <v>0</v>
      </c>
      <c r="M17" s="44">
        <v>-10218.65</v>
      </c>
      <c r="N17" s="44">
        <f t="shared" si="4"/>
        <v>-10218.65</v>
      </c>
      <c r="O17" s="44">
        <v>0</v>
      </c>
      <c r="P17" s="44">
        <v>-10305.360509277154</v>
      </c>
      <c r="Q17" s="44">
        <f t="shared" si="5"/>
        <v>-10305.360509277154</v>
      </c>
      <c r="R17" s="44" t="str">
        <f t="shared" si="6"/>
        <v>No</v>
      </c>
      <c r="S17" s="45" t="str">
        <f t="shared" si="7"/>
        <v>No</v>
      </c>
      <c r="T17" s="46">
        <f>ROUND(INDEX(Summary!H:H,MATCH(H:H,Summary!A:A,0)),2)</f>
        <v>0</v>
      </c>
      <c r="U17" s="46">
        <f>ROUND(INDEX(Summary!I:I,MATCH(H:H,Summary!A:A,0)),2)</f>
        <v>0.32</v>
      </c>
      <c r="V17" s="79">
        <f t="shared" si="8"/>
        <v>0</v>
      </c>
      <c r="W17" s="79">
        <f t="shared" si="9"/>
        <v>16541.6073322558</v>
      </c>
      <c r="X17" s="44">
        <f t="shared" si="10"/>
        <v>16541.6073322558</v>
      </c>
      <c r="Y17" s="44" t="s">
        <v>2765</v>
      </c>
      <c r="Z17" s="44" t="str">
        <f t="shared" si="11"/>
        <v>No</v>
      </c>
      <c r="AA17" s="44" t="str">
        <f t="shared" si="12"/>
        <v>No</v>
      </c>
      <c r="AB17" s="44" t="str">
        <f t="shared" si="13"/>
        <v>No</v>
      </c>
      <c r="AC17" s="80">
        <f t="shared" si="21"/>
        <v>0</v>
      </c>
      <c r="AD17" s="80">
        <f t="shared" si="22"/>
        <v>0</v>
      </c>
      <c r="AE17" s="44">
        <f t="shared" si="23"/>
        <v>0</v>
      </c>
      <c r="AF17" s="44">
        <f t="shared" si="14"/>
        <v>0</v>
      </c>
      <c r="AG17" s="44">
        <f t="shared" si="15"/>
        <v>0</v>
      </c>
      <c r="AH17" s="46">
        <f>IF(Y17="No",0,IFERROR(ROUNDDOWN(INDEX('90% of ACR'!K:K,MATCH(H:H,'90% of ACR'!A:A,0))*IF(I17&gt;0,IF(O17&gt;0,$R$4*MAX(O17-V17,0),0),0)/I17,2),0))</f>
        <v>0</v>
      </c>
      <c r="AI17" s="80">
        <f>IF(Y17="No",0,IFERROR(ROUNDDOWN(INDEX('90% of ACR'!R:R,MATCH(H:H,'90% of ACR'!A:A,0))*IF(J17&gt;0,IF(P17&gt;0,$R$4*MAX(P17-W17,0),0),0)/J17,2),0))</f>
        <v>0</v>
      </c>
      <c r="AJ17" s="44">
        <f t="shared" si="16"/>
        <v>0</v>
      </c>
      <c r="AK17" s="44">
        <f t="shared" si="17"/>
        <v>0</v>
      </c>
      <c r="AL17" s="46">
        <f t="shared" si="18"/>
        <v>0</v>
      </c>
      <c r="AM17" s="46">
        <f t="shared" si="19"/>
        <v>0.32</v>
      </c>
      <c r="AN17" s="81">
        <f>IFERROR(INDEX(FeeCalc!P:P,MATCH(C17,FeeCalc!F:F,0)),0)</f>
        <v>16541.6073322558</v>
      </c>
      <c r="AO17" s="81">
        <f>IFERROR(INDEX(FeeCalc!S:S,MATCH(C17,FeeCalc!F:F,0)),0)</f>
        <v>1022.8233814441514</v>
      </c>
      <c r="AP17" s="81">
        <f t="shared" si="20"/>
        <v>17564.430713699952</v>
      </c>
      <c r="AQ17" s="68">
        <f t="shared" si="24"/>
        <v>6912.5168362380437</v>
      </c>
      <c r="AR17" s="68">
        <f>INDEX('IGT Commitment Suggestions'!H:H,MATCH(G17,'IGT Commitment Suggestions'!A:A,0))*AQ17</f>
        <v>3165.9770971299263</v>
      </c>
    </row>
    <row r="18" spans="1:44">
      <c r="A18" s="103" t="s">
        <v>804</v>
      </c>
      <c r="B18" s="30" t="s">
        <v>804</v>
      </c>
      <c r="C18" s="30" t="s">
        <v>805</v>
      </c>
      <c r="D18" s="42" t="s">
        <v>805</v>
      </c>
      <c r="E18" s="119" t="s">
        <v>2800</v>
      </c>
      <c r="F18" s="43" t="s">
        <v>2295</v>
      </c>
      <c r="G18" s="42" t="s">
        <v>1486</v>
      </c>
      <c r="H18" s="42" t="str">
        <f t="shared" si="2"/>
        <v>Rural MRSA Central</v>
      </c>
      <c r="I18" s="44">
        <f>INDEX(FeeCalc!M:M,MATCH(C:C,FeeCalc!F:F,0))</f>
        <v>120583.51773775884</v>
      </c>
      <c r="J18" s="44">
        <f>INDEX(FeeCalc!L:L,MATCH(C:C,FeeCalc!F:F,0))</f>
        <v>1272240.3290658155</v>
      </c>
      <c r="K18" s="44">
        <f t="shared" si="3"/>
        <v>1392823.8468035744</v>
      </c>
      <c r="L18" s="44">
        <v>7006.55</v>
      </c>
      <c r="M18" s="44">
        <v>-341957.65</v>
      </c>
      <c r="N18" s="44">
        <f t="shared" si="4"/>
        <v>-334951.10000000003</v>
      </c>
      <c r="O18" s="44">
        <v>2213.5782931194626</v>
      </c>
      <c r="P18" s="44">
        <v>-85326.24365225673</v>
      </c>
      <c r="Q18" s="44">
        <f t="shared" si="5"/>
        <v>-83112.66535913726</v>
      </c>
      <c r="R18" s="44" t="str">
        <f t="shared" si="6"/>
        <v>Yes</v>
      </c>
      <c r="S18" s="45" t="str">
        <f t="shared" si="7"/>
        <v>No</v>
      </c>
      <c r="T18" s="46">
        <f>ROUND(INDEX(Summary!H:H,MATCH(H:H,Summary!A:A,0)),2)</f>
        <v>0.11</v>
      </c>
      <c r="U18" s="46">
        <f>ROUND(INDEX(Summary!I:I,MATCH(H:H,Summary!A:A,0)),2)</f>
        <v>0.09</v>
      </c>
      <c r="V18" s="79">
        <f t="shared" si="8"/>
        <v>13264.186951153473</v>
      </c>
      <c r="W18" s="79">
        <f t="shared" si="9"/>
        <v>114501.62961592339</v>
      </c>
      <c r="X18" s="44">
        <f t="shared" si="10"/>
        <v>127765.81656707686</v>
      </c>
      <c r="Y18" s="44" t="s">
        <v>2765</v>
      </c>
      <c r="Z18" s="44" t="str">
        <f t="shared" si="11"/>
        <v>No</v>
      </c>
      <c r="AA18" s="44" t="str">
        <f t="shared" si="12"/>
        <v>No</v>
      </c>
      <c r="AB18" s="44" t="str">
        <f t="shared" si="13"/>
        <v>No</v>
      </c>
      <c r="AC18" s="80">
        <f t="shared" si="21"/>
        <v>0</v>
      </c>
      <c r="AD18" s="80">
        <f t="shared" si="22"/>
        <v>0</v>
      </c>
      <c r="AE18" s="44">
        <f t="shared" si="23"/>
        <v>0</v>
      </c>
      <c r="AF18" s="44">
        <f t="shared" si="14"/>
        <v>0</v>
      </c>
      <c r="AG18" s="44">
        <f t="shared" si="15"/>
        <v>0</v>
      </c>
      <c r="AH18" s="46">
        <f>IF(Y18="No",0,IFERROR(ROUNDDOWN(INDEX('90% of ACR'!K:K,MATCH(H:H,'90% of ACR'!A:A,0))*IF(I18&gt;0,IF(O18&gt;0,$R$4*MAX(O18-V18,0),0),0)/I18,2),0))</f>
        <v>0</v>
      </c>
      <c r="AI18" s="80">
        <f>IF(Y18="No",0,IFERROR(ROUNDDOWN(INDEX('90% of ACR'!R:R,MATCH(H:H,'90% of ACR'!A:A,0))*IF(J18&gt;0,IF(P18&gt;0,$R$4*MAX(P18-W18,0),0),0)/J18,2),0))</f>
        <v>0</v>
      </c>
      <c r="AJ18" s="44">
        <f t="shared" si="16"/>
        <v>0</v>
      </c>
      <c r="AK18" s="44">
        <f t="shared" si="17"/>
        <v>0</v>
      </c>
      <c r="AL18" s="46">
        <f t="shared" si="18"/>
        <v>0.11</v>
      </c>
      <c r="AM18" s="46">
        <f t="shared" si="19"/>
        <v>0.09</v>
      </c>
      <c r="AN18" s="81">
        <f>IFERROR(INDEX(FeeCalc!P:P,MATCH(C18,FeeCalc!F:F,0)),0)</f>
        <v>127765.81656707686</v>
      </c>
      <c r="AO18" s="81">
        <f>IFERROR(INDEX(FeeCalc!S:S,MATCH(C18,FeeCalc!F:F,0)),0)</f>
        <v>7919.8069581369164</v>
      </c>
      <c r="AP18" s="81">
        <f t="shared" si="20"/>
        <v>135685.62352521377</v>
      </c>
      <c r="AQ18" s="68">
        <f t="shared" si="24"/>
        <v>53399.348509594929</v>
      </c>
      <c r="AR18" s="68">
        <f>INDEX('IGT Commitment Suggestions'!H:H,MATCH(G18,'IGT Commitment Suggestions'!A:A,0))*AQ18</f>
        <v>24394.796242355034</v>
      </c>
    </row>
    <row r="19" spans="1:44" ht="23.25">
      <c r="A19" s="103" t="s">
        <v>2333</v>
      </c>
      <c r="B19" s="30" t="s">
        <v>2333</v>
      </c>
      <c r="C19" s="30" t="s">
        <v>2332</v>
      </c>
      <c r="D19" s="42" t="s">
        <v>2332</v>
      </c>
      <c r="E19" s="119" t="s">
        <v>2543</v>
      </c>
      <c r="F19" s="43" t="s">
        <v>2544</v>
      </c>
      <c r="G19" s="42" t="s">
        <v>487</v>
      </c>
      <c r="H19" s="42" t="str">
        <f t="shared" si="2"/>
        <v>Non-state-owned IMD Bexar</v>
      </c>
      <c r="I19" s="44">
        <f>INDEX(FeeCalc!M:M,MATCH(C:C,FeeCalc!F:F,0))</f>
        <v>8753877.1514494829</v>
      </c>
      <c r="J19" s="44">
        <f>INDEX(FeeCalc!L:L,MATCH(C:C,FeeCalc!F:F,0))</f>
        <v>0</v>
      </c>
      <c r="K19" s="44">
        <f t="shared" si="3"/>
        <v>8753877.1514494829</v>
      </c>
      <c r="L19" s="44">
        <v>-890071.75</v>
      </c>
      <c r="M19" s="44">
        <v>0</v>
      </c>
      <c r="N19" s="44">
        <f t="shared" si="4"/>
        <v>-890071.75</v>
      </c>
      <c r="O19" s="44">
        <v>-4386635.2779813949</v>
      </c>
      <c r="P19" s="44">
        <v>0</v>
      </c>
      <c r="Q19" s="44">
        <f t="shared" si="5"/>
        <v>-4386635.2779813949</v>
      </c>
      <c r="R19" s="44" t="str">
        <f t="shared" si="6"/>
        <v>No</v>
      </c>
      <c r="S19" s="45" t="str">
        <f t="shared" si="7"/>
        <v>No</v>
      </c>
      <c r="T19" s="46">
        <f>ROUND(INDEX(Summary!H:H,MATCH(H:H,Summary!A:A,0)),2)</f>
        <v>7.0000000000000007E-2</v>
      </c>
      <c r="U19" s="46">
        <f>ROUND(INDEX(Summary!I:I,MATCH(H:H,Summary!A:A,0)),2)</f>
        <v>0</v>
      </c>
      <c r="V19" s="79">
        <f t="shared" si="8"/>
        <v>612771.40060146386</v>
      </c>
      <c r="W19" s="79">
        <f t="shared" si="9"/>
        <v>0</v>
      </c>
      <c r="X19" s="44">
        <f t="shared" si="10"/>
        <v>612771.40060146386</v>
      </c>
      <c r="Y19" s="44" t="s">
        <v>2765</v>
      </c>
      <c r="Z19" s="44" t="str">
        <f t="shared" si="11"/>
        <v>No</v>
      </c>
      <c r="AA19" s="44" t="str">
        <f t="shared" si="12"/>
        <v>No</v>
      </c>
      <c r="AB19" s="44" t="str">
        <f t="shared" si="13"/>
        <v>No</v>
      </c>
      <c r="AC19" s="80">
        <f t="shared" si="21"/>
        <v>0</v>
      </c>
      <c r="AD19" s="80">
        <f t="shared" si="22"/>
        <v>0</v>
      </c>
      <c r="AE19" s="44">
        <f t="shared" si="23"/>
        <v>0</v>
      </c>
      <c r="AF19" s="44">
        <f t="shared" si="14"/>
        <v>0</v>
      </c>
      <c r="AG19" s="44">
        <f t="shared" si="15"/>
        <v>0</v>
      </c>
      <c r="AH19" s="46">
        <f>IF(Y19="No",0,IFERROR(ROUNDDOWN(INDEX('90% of ACR'!K:K,MATCH(H:H,'90% of ACR'!A:A,0))*IF(I19&gt;0,IF(O19&gt;0,$R$4*MAX(O19-V19,0),0),0)/I19,2),0))</f>
        <v>0</v>
      </c>
      <c r="AI19" s="80">
        <f>IF(Y19="No",0,IFERROR(ROUNDDOWN(INDEX('90% of ACR'!R:R,MATCH(H:H,'90% of ACR'!A:A,0))*IF(J19&gt;0,IF(P19&gt;0,$R$4*MAX(P19-W19,0),0),0)/J19,2),0))</f>
        <v>0</v>
      </c>
      <c r="AJ19" s="44">
        <f t="shared" si="16"/>
        <v>0</v>
      </c>
      <c r="AK19" s="44">
        <f t="shared" si="17"/>
        <v>0</v>
      </c>
      <c r="AL19" s="46">
        <f t="shared" si="18"/>
        <v>7.0000000000000007E-2</v>
      </c>
      <c r="AM19" s="46">
        <f t="shared" si="19"/>
        <v>0</v>
      </c>
      <c r="AN19" s="81">
        <f>IFERROR(INDEX(FeeCalc!P:P,MATCH(C19,FeeCalc!F:F,0)),0)</f>
        <v>612771.40060146386</v>
      </c>
      <c r="AO19" s="81">
        <f>IFERROR(INDEX(FeeCalc!S:S,MATCH(C19,FeeCalc!F:F,0)),0)</f>
        <v>37383.931601680822</v>
      </c>
      <c r="AP19" s="81">
        <f t="shared" si="20"/>
        <v>650155.33220314467</v>
      </c>
      <c r="AQ19" s="68">
        <f t="shared" si="24"/>
        <v>255869.93129921201</v>
      </c>
      <c r="AR19" s="68">
        <f>INDEX('IGT Commitment Suggestions'!H:H,MATCH(G19,'IGT Commitment Suggestions'!A:A,0))*AQ19</f>
        <v>117942.78775639016</v>
      </c>
    </row>
    <row r="20" spans="1:44">
      <c r="A20" s="103" t="s">
        <v>152</v>
      </c>
      <c r="B20" s="30" t="s">
        <v>152</v>
      </c>
      <c r="C20" s="30" t="s">
        <v>153</v>
      </c>
      <c r="D20" s="42" t="s">
        <v>153</v>
      </c>
      <c r="E20" s="119" t="s">
        <v>2572</v>
      </c>
      <c r="F20" s="43" t="s">
        <v>2295</v>
      </c>
      <c r="G20" s="42" t="s">
        <v>310</v>
      </c>
      <c r="H20" s="42" t="str">
        <f t="shared" si="2"/>
        <v>Rural MRSA Northeast</v>
      </c>
      <c r="I20" s="44">
        <f>INDEX(FeeCalc!M:M,MATCH(C:C,FeeCalc!F:F,0))</f>
        <v>537741.50017890346</v>
      </c>
      <c r="J20" s="44">
        <f>INDEX(FeeCalc!L:L,MATCH(C:C,FeeCalc!F:F,0))</f>
        <v>1039149.4194064842</v>
      </c>
      <c r="K20" s="44">
        <f t="shared" si="3"/>
        <v>1576890.9195853877</v>
      </c>
      <c r="L20" s="44">
        <v>156444.29999999999</v>
      </c>
      <c r="M20" s="44">
        <v>449303.03</v>
      </c>
      <c r="N20" s="44">
        <f t="shared" si="4"/>
        <v>605747.33000000007</v>
      </c>
      <c r="O20" s="44">
        <v>86381.920548603754</v>
      </c>
      <c r="P20" s="44">
        <v>526249.39968393301</v>
      </c>
      <c r="Q20" s="44">
        <f t="shared" si="5"/>
        <v>612631.32023253676</v>
      </c>
      <c r="R20" s="44" t="str">
        <f t="shared" si="6"/>
        <v>Yes</v>
      </c>
      <c r="S20" s="45" t="str">
        <f t="shared" si="7"/>
        <v>Yes</v>
      </c>
      <c r="T20" s="46">
        <f>ROUND(INDEX(Summary!H:H,MATCH(H:H,Summary!A:A,0)),2)</f>
        <v>0</v>
      </c>
      <c r="U20" s="46">
        <f>ROUND(INDEX(Summary!I:I,MATCH(H:H,Summary!A:A,0)),2)</f>
        <v>0.32</v>
      </c>
      <c r="V20" s="79">
        <f t="shared" si="8"/>
        <v>0</v>
      </c>
      <c r="W20" s="79">
        <f t="shared" si="9"/>
        <v>332527.81421007495</v>
      </c>
      <c r="X20" s="44">
        <f t="shared" si="10"/>
        <v>332527.81421007495</v>
      </c>
      <c r="Y20" s="44" t="s">
        <v>2765</v>
      </c>
      <c r="Z20" s="44" t="str">
        <f t="shared" si="11"/>
        <v>Yes</v>
      </c>
      <c r="AA20" s="44" t="str">
        <f t="shared" si="12"/>
        <v>Yes</v>
      </c>
      <c r="AB20" s="44" t="str">
        <f t="shared" si="13"/>
        <v>Yes</v>
      </c>
      <c r="AC20" s="80">
        <f t="shared" si="21"/>
        <v>0.11</v>
      </c>
      <c r="AD20" s="80">
        <f t="shared" si="22"/>
        <v>0.13</v>
      </c>
      <c r="AE20" s="44">
        <f t="shared" si="23"/>
        <v>59151.565019679379</v>
      </c>
      <c r="AF20" s="44">
        <f t="shared" si="14"/>
        <v>135089.42452284295</v>
      </c>
      <c r="AG20" s="44">
        <f t="shared" si="15"/>
        <v>194240.98954252232</v>
      </c>
      <c r="AH20" s="46">
        <f>IF(Y20="No",0,IFERROR(ROUNDDOWN(INDEX('90% of ACR'!K:K,MATCH(H:H,'90% of ACR'!A:A,0))*IF(I20&gt;0,IF(O20&gt;0,$R$4*MAX(O20-V20,0),0),0)/I20,2),0))</f>
        <v>7.0000000000000007E-2</v>
      </c>
      <c r="AI20" s="80">
        <f>IF(Y20="No",0,IFERROR(ROUNDDOWN(INDEX('90% of ACR'!R:R,MATCH(H:H,'90% of ACR'!A:A,0))*IF(J20&gt;0,IF(P20&gt;0,$R$4*MAX(P20-W20,0),0),0)/J20,2),0))</f>
        <v>0.12</v>
      </c>
      <c r="AJ20" s="44">
        <f t="shared" si="16"/>
        <v>37641.905012523246</v>
      </c>
      <c r="AK20" s="44">
        <f t="shared" si="17"/>
        <v>124697.93032877811</v>
      </c>
      <c r="AL20" s="46">
        <f t="shared" si="18"/>
        <v>7.0000000000000007E-2</v>
      </c>
      <c r="AM20" s="46">
        <f t="shared" si="19"/>
        <v>0.44</v>
      </c>
      <c r="AN20" s="81">
        <f>IFERROR(INDEX(FeeCalc!P:P,MATCH(C20,FeeCalc!F:F,0)),0)</f>
        <v>494867.64955137629</v>
      </c>
      <c r="AO20" s="81">
        <f>IFERROR(INDEX(FeeCalc!S:S,MATCH(C20,FeeCalc!F:F,0)),0)</f>
        <v>30363.913067948644</v>
      </c>
      <c r="AP20" s="81">
        <f t="shared" si="20"/>
        <v>525231.56261932489</v>
      </c>
      <c r="AQ20" s="68">
        <f t="shared" si="24"/>
        <v>206705.93193196057</v>
      </c>
      <c r="AR20" s="68">
        <f>INDEX('IGT Commitment Suggestions'!H:H,MATCH(G20,'IGT Commitment Suggestions'!A:A,0))*AQ20</f>
        <v>94672.644109412257</v>
      </c>
    </row>
    <row r="21" spans="1:44">
      <c r="A21" s="103" t="s">
        <v>765</v>
      </c>
      <c r="B21" s="30" t="s">
        <v>765</v>
      </c>
      <c r="C21" s="30" t="s">
        <v>766</v>
      </c>
      <c r="D21" s="42" t="s">
        <v>766</v>
      </c>
      <c r="E21" s="119" t="s">
        <v>2563</v>
      </c>
      <c r="F21" s="43" t="s">
        <v>2295</v>
      </c>
      <c r="G21" s="42" t="s">
        <v>227</v>
      </c>
      <c r="H21" s="42" t="str">
        <f t="shared" si="2"/>
        <v>Rural MRSA West</v>
      </c>
      <c r="I21" s="44">
        <f>INDEX(FeeCalc!M:M,MATCH(C:C,FeeCalc!F:F,0))</f>
        <v>399022.53928017343</v>
      </c>
      <c r="J21" s="44">
        <f>INDEX(FeeCalc!L:L,MATCH(C:C,FeeCalc!F:F,0))</f>
        <v>628581.28725004196</v>
      </c>
      <c r="K21" s="44">
        <f t="shared" si="3"/>
        <v>1027603.8265302153</v>
      </c>
      <c r="L21" s="44">
        <v>687215.26</v>
      </c>
      <c r="M21" s="44">
        <v>5151.53</v>
      </c>
      <c r="N21" s="44">
        <f t="shared" si="4"/>
        <v>692366.79</v>
      </c>
      <c r="O21" s="44">
        <v>48720.370365171664</v>
      </c>
      <c r="P21" s="44">
        <v>-25325.083110267471</v>
      </c>
      <c r="Q21" s="44">
        <f t="shared" si="5"/>
        <v>23395.287254904193</v>
      </c>
      <c r="R21" s="44" t="str">
        <f t="shared" si="6"/>
        <v>Yes</v>
      </c>
      <c r="S21" s="45" t="str">
        <f t="shared" si="7"/>
        <v>No</v>
      </c>
      <c r="T21" s="46">
        <f>ROUND(INDEX(Summary!H:H,MATCH(H:H,Summary!A:A,0)),2)</f>
        <v>0</v>
      </c>
      <c r="U21" s="46">
        <f>ROUND(INDEX(Summary!I:I,MATCH(H:H,Summary!A:A,0)),2)</f>
        <v>0.18</v>
      </c>
      <c r="V21" s="79">
        <f t="shared" si="8"/>
        <v>0</v>
      </c>
      <c r="W21" s="79">
        <f t="shared" si="9"/>
        <v>113144.63170500754</v>
      </c>
      <c r="X21" s="44">
        <f t="shared" si="10"/>
        <v>113144.63170500754</v>
      </c>
      <c r="Y21" s="44" t="s">
        <v>2765</v>
      </c>
      <c r="Z21" s="44" t="str">
        <f t="shared" si="11"/>
        <v>No</v>
      </c>
      <c r="AA21" s="44" t="str">
        <f t="shared" si="12"/>
        <v>No</v>
      </c>
      <c r="AB21" s="44" t="str">
        <f t="shared" si="13"/>
        <v>Yes</v>
      </c>
      <c r="AC21" s="80">
        <f t="shared" si="21"/>
        <v>0.09</v>
      </c>
      <c r="AD21" s="80">
        <f t="shared" si="22"/>
        <v>0</v>
      </c>
      <c r="AE21" s="44">
        <f t="shared" si="23"/>
        <v>35912.028535215606</v>
      </c>
      <c r="AF21" s="44">
        <f t="shared" si="14"/>
        <v>0</v>
      </c>
      <c r="AG21" s="44">
        <f t="shared" si="15"/>
        <v>35912.028535215606</v>
      </c>
      <c r="AH21" s="46">
        <f>IF(Y21="No",0,IFERROR(ROUNDDOWN(INDEX('90% of ACR'!K:K,MATCH(H:H,'90% of ACR'!A:A,0))*IF(I21&gt;0,IF(O21&gt;0,$R$4*MAX(O21-V21,0),0),0)/I21,2),0))</f>
        <v>0</v>
      </c>
      <c r="AI21" s="80">
        <f>IF(Y21="No",0,IFERROR(ROUNDDOWN(INDEX('90% of ACR'!R:R,MATCH(H:H,'90% of ACR'!A:A,0))*IF(J21&gt;0,IF(P21&gt;0,$R$4*MAX(P21-W21,0),0),0)/J21,2),0))</f>
        <v>0</v>
      </c>
      <c r="AJ21" s="44">
        <f t="shared" si="16"/>
        <v>0</v>
      </c>
      <c r="AK21" s="44">
        <f t="shared" si="17"/>
        <v>0</v>
      </c>
      <c r="AL21" s="46">
        <f t="shared" si="18"/>
        <v>0</v>
      </c>
      <c r="AM21" s="46">
        <f t="shared" si="19"/>
        <v>0.18</v>
      </c>
      <c r="AN21" s="81">
        <f>IFERROR(INDEX(FeeCalc!P:P,MATCH(C21,FeeCalc!F:F,0)),0)</f>
        <v>113144.63170500754</v>
      </c>
      <c r="AO21" s="81">
        <f>IFERROR(INDEX(FeeCalc!S:S,MATCH(C21,FeeCalc!F:F,0)),0)</f>
        <v>6933.3394447343726</v>
      </c>
      <c r="AP21" s="81">
        <f t="shared" si="20"/>
        <v>120077.97114974192</v>
      </c>
      <c r="AQ21" s="68">
        <f t="shared" si="24"/>
        <v>47256.925701923232</v>
      </c>
      <c r="AR21" s="68">
        <f>INDEX('IGT Commitment Suggestions'!H:H,MATCH(G21,'IGT Commitment Suggestions'!A:A,0))*AQ21</f>
        <v>23158.901530403709</v>
      </c>
    </row>
    <row r="22" spans="1:44">
      <c r="A22" s="103" t="s">
        <v>590</v>
      </c>
      <c r="B22" s="30" t="s">
        <v>590</v>
      </c>
      <c r="C22" s="30" t="s">
        <v>591</v>
      </c>
      <c r="D22" s="42" t="s">
        <v>591</v>
      </c>
      <c r="E22" s="119" t="s">
        <v>2561</v>
      </c>
      <c r="F22" s="43" t="s">
        <v>2283</v>
      </c>
      <c r="G22" s="42" t="s">
        <v>1514</v>
      </c>
      <c r="H22" s="42" t="str">
        <f t="shared" si="2"/>
        <v>Urban Hidalgo</v>
      </c>
      <c r="I22" s="44">
        <f>INDEX(FeeCalc!M:M,MATCH(C:C,FeeCalc!F:F,0))</f>
        <v>6677665.913743387</v>
      </c>
      <c r="J22" s="44">
        <f>INDEX(FeeCalc!L:L,MATCH(C:C,FeeCalc!F:F,0))</f>
        <v>7945409.574831713</v>
      </c>
      <c r="K22" s="44">
        <f t="shared" si="3"/>
        <v>14623075.488575101</v>
      </c>
      <c r="L22" s="44">
        <v>7854393.1900000004</v>
      </c>
      <c r="M22" s="44">
        <v>702707.06</v>
      </c>
      <c r="N22" s="44">
        <f t="shared" si="4"/>
        <v>8557100.25</v>
      </c>
      <c r="O22" s="44">
        <v>11803121.656939115</v>
      </c>
      <c r="P22" s="44">
        <v>3420841.0069127111</v>
      </c>
      <c r="Q22" s="44">
        <f t="shared" si="5"/>
        <v>15223962.663851827</v>
      </c>
      <c r="R22" s="44" t="str">
        <f t="shared" si="6"/>
        <v>Yes</v>
      </c>
      <c r="S22" s="45" t="str">
        <f t="shared" si="7"/>
        <v>Yes</v>
      </c>
      <c r="T22" s="46">
        <f>ROUND(INDEX(Summary!H:H,MATCH(H:H,Summary!A:A,0)),2)</f>
        <v>0.72</v>
      </c>
      <c r="U22" s="46">
        <f>ROUND(INDEX(Summary!I:I,MATCH(H:H,Summary!A:A,0)),2)</f>
        <v>0.53</v>
      </c>
      <c r="V22" s="79">
        <f t="shared" si="8"/>
        <v>4807919.4578952389</v>
      </c>
      <c r="W22" s="79">
        <f t="shared" si="9"/>
        <v>4211067.0746608078</v>
      </c>
      <c r="X22" s="44">
        <f t="shared" si="10"/>
        <v>9018986.5325560458</v>
      </c>
      <c r="Y22" s="44" t="s">
        <v>2765</v>
      </c>
      <c r="Z22" s="44" t="str">
        <f t="shared" si="11"/>
        <v>Yes</v>
      </c>
      <c r="AA22" s="44" t="str">
        <f t="shared" si="12"/>
        <v>No</v>
      </c>
      <c r="AB22" s="44" t="str">
        <f t="shared" si="13"/>
        <v>Yes</v>
      </c>
      <c r="AC22" s="80">
        <f t="shared" si="21"/>
        <v>0.73</v>
      </c>
      <c r="AD22" s="80">
        <f t="shared" si="22"/>
        <v>0</v>
      </c>
      <c r="AE22" s="44">
        <f t="shared" si="23"/>
        <v>4874696.1170326723</v>
      </c>
      <c r="AF22" s="44">
        <f t="shared" si="14"/>
        <v>0</v>
      </c>
      <c r="AG22" s="44">
        <f t="shared" si="15"/>
        <v>4874696.1170326723</v>
      </c>
      <c r="AH22" s="46">
        <f>IF(Y22="No",0,IFERROR(ROUNDDOWN(INDEX('90% of ACR'!K:K,MATCH(H:H,'90% of ACR'!A:A,0))*IF(I22&gt;0,IF(O22&gt;0,$R$4*MAX(O22-V22,0),0),0)/I22,2),0))</f>
        <v>0.72</v>
      </c>
      <c r="AI22" s="80">
        <f>IF(Y22="No",0,IFERROR(ROUNDDOWN(INDEX('90% of ACR'!R:R,MATCH(H:H,'90% of ACR'!A:A,0))*IF(J22&gt;0,IF(P22&gt;0,$R$4*MAX(P22-W22,0),0),0)/J22,2),0))</f>
        <v>0</v>
      </c>
      <c r="AJ22" s="44">
        <f t="shared" si="16"/>
        <v>4807919.4578952389</v>
      </c>
      <c r="AK22" s="44">
        <f t="shared" si="17"/>
        <v>0</v>
      </c>
      <c r="AL22" s="46">
        <f t="shared" si="18"/>
        <v>1.44</v>
      </c>
      <c r="AM22" s="46">
        <f t="shared" si="19"/>
        <v>0.53</v>
      </c>
      <c r="AN22" s="81">
        <f>IFERROR(INDEX(FeeCalc!P:P,MATCH(C22,FeeCalc!F:F,0)),0)</f>
        <v>13826905.990451286</v>
      </c>
      <c r="AO22" s="81">
        <f>IFERROR(INDEX(FeeCalc!S:S,MATCH(C22,FeeCalc!F:F,0)),0)</f>
        <v>849521.332880395</v>
      </c>
      <c r="AP22" s="81">
        <f t="shared" si="20"/>
        <v>14676427.32333168</v>
      </c>
      <c r="AQ22" s="68">
        <f t="shared" si="24"/>
        <v>5775937.3259518296</v>
      </c>
      <c r="AR22" s="68">
        <f>INDEX('IGT Commitment Suggestions'!H:H,MATCH(G22,'IGT Commitment Suggestions'!A:A,0))*AQ22</f>
        <v>2644527.6296078246</v>
      </c>
    </row>
    <row r="23" spans="1:44" ht="23.25">
      <c r="A23" s="103" t="s">
        <v>1495</v>
      </c>
      <c r="B23" s="30" t="s">
        <v>1495</v>
      </c>
      <c r="C23" s="30" t="s">
        <v>1496</v>
      </c>
      <c r="D23" s="42" t="s">
        <v>1496</v>
      </c>
      <c r="E23" s="119" t="s">
        <v>2547</v>
      </c>
      <c r="F23" s="43" t="s">
        <v>2544</v>
      </c>
      <c r="G23" s="42" t="s">
        <v>1189</v>
      </c>
      <c r="H23" s="42" t="str">
        <f t="shared" si="2"/>
        <v>Non-state-owned IMD El Paso</v>
      </c>
      <c r="I23" s="44">
        <f>INDEX(FeeCalc!M:M,MATCH(C:C,FeeCalc!F:F,0))</f>
        <v>1103526.1673984095</v>
      </c>
      <c r="J23" s="44">
        <f>INDEX(FeeCalc!L:L,MATCH(C:C,FeeCalc!F:F,0))</f>
        <v>0</v>
      </c>
      <c r="K23" s="44">
        <f t="shared" si="3"/>
        <v>1103526.1673984095</v>
      </c>
      <c r="L23" s="44">
        <v>98360.08</v>
      </c>
      <c r="M23" s="44">
        <v>0</v>
      </c>
      <c r="N23" s="44">
        <f t="shared" si="4"/>
        <v>98360.08</v>
      </c>
      <c r="O23" s="44">
        <v>1140368.6929184948</v>
      </c>
      <c r="P23" s="44">
        <v>0</v>
      </c>
      <c r="Q23" s="44">
        <f t="shared" si="5"/>
        <v>1140368.6929184948</v>
      </c>
      <c r="R23" s="44" t="str">
        <f t="shared" si="6"/>
        <v>Yes</v>
      </c>
      <c r="S23" s="45" t="str">
        <f t="shared" si="7"/>
        <v>No</v>
      </c>
      <c r="T23" s="46">
        <f>ROUND(INDEX(Summary!H:H,MATCH(H:H,Summary!A:A,0)),2)</f>
        <v>0.02</v>
      </c>
      <c r="U23" s="46">
        <f>ROUND(INDEX(Summary!I:I,MATCH(H:H,Summary!A:A,0)),2)</f>
        <v>0</v>
      </c>
      <c r="V23" s="79">
        <f t="shared" si="8"/>
        <v>22070.523347968188</v>
      </c>
      <c r="W23" s="79">
        <f t="shared" si="9"/>
        <v>0</v>
      </c>
      <c r="X23" s="44">
        <f t="shared" si="10"/>
        <v>22070.523347968188</v>
      </c>
      <c r="Y23" s="44" t="s">
        <v>2765</v>
      </c>
      <c r="Z23" s="44" t="str">
        <f t="shared" si="11"/>
        <v>Yes</v>
      </c>
      <c r="AA23" s="44" t="str">
        <f t="shared" si="12"/>
        <v>No</v>
      </c>
      <c r="AB23" s="44" t="str">
        <f t="shared" si="13"/>
        <v>Yes</v>
      </c>
      <c r="AC23" s="80">
        <f t="shared" si="21"/>
        <v>0.71</v>
      </c>
      <c r="AD23" s="80">
        <f t="shared" si="22"/>
        <v>0</v>
      </c>
      <c r="AE23" s="44">
        <f t="shared" si="23"/>
        <v>783503.57885287062</v>
      </c>
      <c r="AF23" s="44">
        <f t="shared" si="14"/>
        <v>0</v>
      </c>
      <c r="AG23" s="44">
        <f t="shared" si="15"/>
        <v>783503.57885287062</v>
      </c>
      <c r="AH23" s="46">
        <f>IF(Y23="No",0,IFERROR(ROUNDDOWN(INDEX('90% of ACR'!K:K,MATCH(H:H,'90% of ACR'!A:A,0))*IF(I23&gt;0,IF(O23&gt;0,$R$4*MAX(O23-V23,0),0),0)/I23,2),0))</f>
        <v>0.7</v>
      </c>
      <c r="AI23" s="80">
        <f>IF(Y23="No",0,IFERROR(ROUNDDOWN(INDEX('90% of ACR'!R:R,MATCH(H:H,'90% of ACR'!A:A,0))*IF(J23&gt;0,IF(P23&gt;0,$R$4*MAX(P23-W23,0),0),0)/J23,2),0))</f>
        <v>0</v>
      </c>
      <c r="AJ23" s="44">
        <f t="shared" si="16"/>
        <v>772468.31717888662</v>
      </c>
      <c r="AK23" s="44">
        <f t="shared" si="17"/>
        <v>0</v>
      </c>
      <c r="AL23" s="46">
        <f t="shared" si="18"/>
        <v>0.72</v>
      </c>
      <c r="AM23" s="46">
        <f t="shared" si="19"/>
        <v>0</v>
      </c>
      <c r="AN23" s="81">
        <f>IFERROR(INDEX(FeeCalc!P:P,MATCH(C23,FeeCalc!F:F,0)),0)</f>
        <v>794538.84052685474</v>
      </c>
      <c r="AO23" s="81">
        <f>IFERROR(INDEX(FeeCalc!S:S,MATCH(C23,FeeCalc!F:F,0)),0)</f>
        <v>48473.191862381071</v>
      </c>
      <c r="AP23" s="81">
        <f t="shared" si="20"/>
        <v>843012.0323892358</v>
      </c>
      <c r="AQ23" s="68">
        <f t="shared" si="24"/>
        <v>331769.07137084851</v>
      </c>
      <c r="AR23" s="68">
        <f>INDEX('IGT Commitment Suggestions'!H:H,MATCH(G23,'IGT Commitment Suggestions'!A:A,0))*AQ23</f>
        <v>152722.25117472134</v>
      </c>
    </row>
    <row r="24" spans="1:44">
      <c r="A24" s="103" t="s">
        <v>1318</v>
      </c>
      <c r="B24" s="30" t="s">
        <v>1318</v>
      </c>
      <c r="C24" s="30" t="s">
        <v>1319</v>
      </c>
      <c r="D24" s="42" t="s">
        <v>1319</v>
      </c>
      <c r="E24" s="119" t="s">
        <v>2582</v>
      </c>
      <c r="F24" s="43" t="s">
        <v>2283</v>
      </c>
      <c r="G24" s="42" t="s">
        <v>1514</v>
      </c>
      <c r="H24" s="42" t="str">
        <f t="shared" si="2"/>
        <v>Urban Hidalgo</v>
      </c>
      <c r="I24" s="44">
        <f>INDEX(FeeCalc!M:M,MATCH(C:C,FeeCalc!F:F,0))</f>
        <v>59138279.052651979</v>
      </c>
      <c r="J24" s="44">
        <f>INDEX(FeeCalc!L:L,MATCH(C:C,FeeCalc!F:F,0))</f>
        <v>23703042.804459441</v>
      </c>
      <c r="K24" s="44">
        <f t="shared" si="3"/>
        <v>82841321.857111424</v>
      </c>
      <c r="L24" s="44">
        <v>53083484.229999997</v>
      </c>
      <c r="M24" s="44">
        <v>15698179.359999999</v>
      </c>
      <c r="N24" s="44">
        <f t="shared" si="4"/>
        <v>68781663.590000004</v>
      </c>
      <c r="O24" s="44">
        <v>58528276.014925346</v>
      </c>
      <c r="P24" s="44">
        <v>12667185.086439766</v>
      </c>
      <c r="Q24" s="44">
        <f t="shared" si="5"/>
        <v>71195461.101365119</v>
      </c>
      <c r="R24" s="44" t="str">
        <f t="shared" si="6"/>
        <v>Yes</v>
      </c>
      <c r="S24" s="45" t="str">
        <f t="shared" si="7"/>
        <v>Yes</v>
      </c>
      <c r="T24" s="46">
        <f>ROUND(INDEX(Summary!H:H,MATCH(H:H,Summary!A:A,0)),2)</f>
        <v>0.72</v>
      </c>
      <c r="U24" s="46">
        <f>ROUND(INDEX(Summary!I:I,MATCH(H:H,Summary!A:A,0)),2)</f>
        <v>0.53</v>
      </c>
      <c r="V24" s="79">
        <f t="shared" si="8"/>
        <v>42579560.917909421</v>
      </c>
      <c r="W24" s="79">
        <f t="shared" si="9"/>
        <v>12562612.686363505</v>
      </c>
      <c r="X24" s="44">
        <f t="shared" si="10"/>
        <v>55142173.604272924</v>
      </c>
      <c r="Y24" s="44" t="s">
        <v>2765</v>
      </c>
      <c r="Z24" s="44" t="str">
        <f t="shared" si="11"/>
        <v>Yes</v>
      </c>
      <c r="AA24" s="44" t="str">
        <f t="shared" si="12"/>
        <v>No</v>
      </c>
      <c r="AB24" s="44" t="str">
        <f t="shared" si="13"/>
        <v>Yes</v>
      </c>
      <c r="AC24" s="80">
        <f t="shared" si="21"/>
        <v>0.19</v>
      </c>
      <c r="AD24" s="80">
        <f t="shared" si="22"/>
        <v>0</v>
      </c>
      <c r="AE24" s="44">
        <f t="shared" si="23"/>
        <v>11236273.020003876</v>
      </c>
      <c r="AF24" s="44">
        <f t="shared" si="14"/>
        <v>0</v>
      </c>
      <c r="AG24" s="44">
        <f t="shared" si="15"/>
        <v>11236273.020003876</v>
      </c>
      <c r="AH24" s="46">
        <f>IF(Y24="No",0,IFERROR(ROUNDDOWN(INDEX('90% of ACR'!K:K,MATCH(H:H,'90% of ACR'!A:A,0))*IF(I24&gt;0,IF(O24&gt;0,$R$4*MAX(O24-V24,0),0),0)/I24,2),0))</f>
        <v>0.18</v>
      </c>
      <c r="AI24" s="80">
        <f>IF(Y24="No",0,IFERROR(ROUNDDOWN(INDEX('90% of ACR'!R:R,MATCH(H:H,'90% of ACR'!A:A,0))*IF(J24&gt;0,IF(P24&gt;0,$R$4*MAX(P24-W24,0),0),0)/J24,2),0))</f>
        <v>0</v>
      </c>
      <c r="AJ24" s="44">
        <f t="shared" si="16"/>
        <v>10644890.229477355</v>
      </c>
      <c r="AK24" s="44">
        <f t="shared" si="17"/>
        <v>0</v>
      </c>
      <c r="AL24" s="46">
        <f t="shared" si="18"/>
        <v>0.89999999999999991</v>
      </c>
      <c r="AM24" s="46">
        <f t="shared" si="19"/>
        <v>0.53</v>
      </c>
      <c r="AN24" s="81">
        <f>IFERROR(INDEX(FeeCalc!P:P,MATCH(C24,FeeCalc!F:F,0)),0)</f>
        <v>65787063.833750278</v>
      </c>
      <c r="AO24" s="81">
        <f>IFERROR(INDEX(FeeCalc!S:S,MATCH(C24,FeeCalc!F:F,0)),0)</f>
        <v>4041175.7095422167</v>
      </c>
      <c r="AP24" s="81">
        <f t="shared" si="20"/>
        <v>69828239.543292493</v>
      </c>
      <c r="AQ24" s="68">
        <f t="shared" si="24"/>
        <v>27481043.328741848</v>
      </c>
      <c r="AR24" s="68">
        <f>INDEX('IGT Commitment Suggestions'!H:H,MATCH(G24,'IGT Commitment Suggestions'!A:A,0))*AQ24</f>
        <v>12582265.747028589</v>
      </c>
    </row>
    <row r="25" spans="1:44">
      <c r="A25" s="103" t="s">
        <v>735</v>
      </c>
      <c r="B25" s="30" t="s">
        <v>735</v>
      </c>
      <c r="C25" s="30" t="s">
        <v>736</v>
      </c>
      <c r="D25" s="42" t="s">
        <v>736</v>
      </c>
      <c r="E25" s="119" t="s">
        <v>2605</v>
      </c>
      <c r="F25" s="43" t="s">
        <v>2295</v>
      </c>
      <c r="G25" s="42" t="s">
        <v>227</v>
      </c>
      <c r="H25" s="42" t="str">
        <f t="shared" si="2"/>
        <v>Rural MRSA West</v>
      </c>
      <c r="I25" s="44">
        <f>INDEX(FeeCalc!M:M,MATCH(C:C,FeeCalc!F:F,0))</f>
        <v>59769.54465616485</v>
      </c>
      <c r="J25" s="44">
        <f>INDEX(FeeCalc!L:L,MATCH(C:C,FeeCalc!F:F,0))</f>
        <v>432641.26606466796</v>
      </c>
      <c r="K25" s="44">
        <f t="shared" si="3"/>
        <v>492410.81072083279</v>
      </c>
      <c r="L25" s="44">
        <v>6007.01</v>
      </c>
      <c r="M25" s="44">
        <v>-44971.14</v>
      </c>
      <c r="N25" s="44">
        <f t="shared" si="4"/>
        <v>-38964.129999999997</v>
      </c>
      <c r="O25" s="44">
        <v>-11749.130223764354</v>
      </c>
      <c r="P25" s="44">
        <v>-38187.110748325213</v>
      </c>
      <c r="Q25" s="44">
        <f t="shared" si="5"/>
        <v>-49936.240972089567</v>
      </c>
      <c r="R25" s="44" t="str">
        <f t="shared" si="6"/>
        <v>No</v>
      </c>
      <c r="S25" s="45" t="str">
        <f t="shared" si="7"/>
        <v>No</v>
      </c>
      <c r="T25" s="46">
        <f>ROUND(INDEX(Summary!H:H,MATCH(H:H,Summary!A:A,0)),2)</f>
        <v>0</v>
      </c>
      <c r="U25" s="46">
        <f>ROUND(INDEX(Summary!I:I,MATCH(H:H,Summary!A:A,0)),2)</f>
        <v>0.18</v>
      </c>
      <c r="V25" s="79">
        <f t="shared" si="8"/>
        <v>0</v>
      </c>
      <c r="W25" s="79">
        <f t="shared" si="9"/>
        <v>77875.427891640225</v>
      </c>
      <c r="X25" s="44">
        <f t="shared" si="10"/>
        <v>77875.427891640225</v>
      </c>
      <c r="Y25" s="44" t="s">
        <v>2766</v>
      </c>
      <c r="Z25" s="44" t="str">
        <f t="shared" si="11"/>
        <v>No</v>
      </c>
      <c r="AA25" s="44" t="str">
        <f t="shared" si="12"/>
        <v>No</v>
      </c>
      <c r="AB25" s="44" t="str">
        <f t="shared" si="13"/>
        <v>No</v>
      </c>
      <c r="AC25" s="80">
        <f t="shared" si="21"/>
        <v>0</v>
      </c>
      <c r="AD25" s="80">
        <f t="shared" si="22"/>
        <v>0</v>
      </c>
      <c r="AE25" s="44">
        <f t="shared" si="23"/>
        <v>0</v>
      </c>
      <c r="AF25" s="44">
        <f t="shared" si="14"/>
        <v>0</v>
      </c>
      <c r="AG25" s="44">
        <f t="shared" si="15"/>
        <v>0</v>
      </c>
      <c r="AH25" s="46">
        <f>IF(Y25="No",0,IFERROR(ROUNDDOWN(INDEX('90% of ACR'!K:K,MATCH(H:H,'90% of ACR'!A:A,0))*IF(I25&gt;0,IF(O25&gt;0,$R$4*MAX(O25-V25,0),0),0)/I25,2),0))</f>
        <v>0</v>
      </c>
      <c r="AI25" s="80">
        <f>IF(Y25="No",0,IFERROR(ROUNDDOWN(INDEX('90% of ACR'!R:R,MATCH(H:H,'90% of ACR'!A:A,0))*IF(J25&gt;0,IF(P25&gt;0,$R$4*MAX(P25-W25,0),0),0)/J25,2),0))</f>
        <v>0</v>
      </c>
      <c r="AJ25" s="44">
        <f t="shared" si="16"/>
        <v>0</v>
      </c>
      <c r="AK25" s="44">
        <f t="shared" si="17"/>
        <v>0</v>
      </c>
      <c r="AL25" s="46">
        <f t="shared" si="18"/>
        <v>0</v>
      </c>
      <c r="AM25" s="46">
        <f t="shared" si="19"/>
        <v>0.18</v>
      </c>
      <c r="AN25" s="81">
        <f>IFERROR(INDEX(FeeCalc!P:P,MATCH(C25,FeeCalc!F:F,0)),0)</f>
        <v>77875.427891640225</v>
      </c>
      <c r="AO25" s="81">
        <f>IFERROR(INDEX(FeeCalc!S:S,MATCH(C25,FeeCalc!F:F,0)),0)</f>
        <v>4806.7867761303532</v>
      </c>
      <c r="AP25" s="81">
        <f t="shared" si="20"/>
        <v>82682.214667770575</v>
      </c>
      <c r="AQ25" s="68">
        <f t="shared" si="24"/>
        <v>32539.75094693045</v>
      </c>
      <c r="AR25" s="68">
        <f>INDEX('IGT Commitment Suggestions'!H:H,MATCH(G25,'IGT Commitment Suggestions'!A:A,0))*AQ25</f>
        <v>15946.549141963213</v>
      </c>
    </row>
    <row r="26" spans="1:44" ht="23.25">
      <c r="A26" s="103" t="s">
        <v>1584</v>
      </c>
      <c r="B26" s="30" t="s">
        <v>1584</v>
      </c>
      <c r="C26" s="30" t="s">
        <v>1585</v>
      </c>
      <c r="D26" s="42" t="s">
        <v>1585</v>
      </c>
      <c r="E26" s="119" t="s">
        <v>2801</v>
      </c>
      <c r="F26" s="43" t="s">
        <v>2963</v>
      </c>
      <c r="G26" s="42" t="s">
        <v>300</v>
      </c>
      <c r="H26" s="42" t="str">
        <f t="shared" si="2"/>
        <v>State-owned non-IMD Harris</v>
      </c>
      <c r="I26" s="44">
        <f>INDEX(FeeCalc!M:M,MATCH(C:C,FeeCalc!F:F,0))</f>
        <v>105799107.78351036</v>
      </c>
      <c r="J26" s="44">
        <f>INDEX(FeeCalc!L:L,MATCH(C:C,FeeCalc!F:F,0))</f>
        <v>65436413.204312712</v>
      </c>
      <c r="K26" s="44">
        <f t="shared" si="3"/>
        <v>171235520.98782307</v>
      </c>
      <c r="L26" s="44">
        <v>21845099.210000001</v>
      </c>
      <c r="M26" s="44">
        <v>20207914.949999999</v>
      </c>
      <c r="N26" s="44">
        <f t="shared" si="4"/>
        <v>42053014.159999996</v>
      </c>
      <c r="O26" s="44">
        <v>21253747.66284135</v>
      </c>
      <c r="P26" s="44">
        <v>20989502.10609125</v>
      </c>
      <c r="Q26" s="44">
        <f t="shared" si="5"/>
        <v>42243249.768932596</v>
      </c>
      <c r="R26" s="44" t="str">
        <f t="shared" si="6"/>
        <v>Yes</v>
      </c>
      <c r="S26" s="45" t="str">
        <f t="shared" si="7"/>
        <v>Yes</v>
      </c>
      <c r="T26" s="46">
        <f>ROUND(INDEX(Summary!H:H,MATCH(H:H,Summary!A:A,0)),2)</f>
        <v>0.21</v>
      </c>
      <c r="U26" s="46">
        <f>ROUND(INDEX(Summary!I:I,MATCH(H:H,Summary!A:A,0)),2)</f>
        <v>0.31</v>
      </c>
      <c r="V26" s="79">
        <f t="shared" si="8"/>
        <v>22217812.634537175</v>
      </c>
      <c r="W26" s="79">
        <f t="shared" si="9"/>
        <v>20285288.09333694</v>
      </c>
      <c r="X26" s="44">
        <f t="shared" si="10"/>
        <v>42503100.727874115</v>
      </c>
      <c r="Y26" s="44" t="s">
        <v>2765</v>
      </c>
      <c r="Z26" s="44" t="str">
        <f t="shared" si="11"/>
        <v>No</v>
      </c>
      <c r="AA26" s="44" t="str">
        <f t="shared" si="12"/>
        <v>No</v>
      </c>
      <c r="AB26" s="44" t="str">
        <f t="shared" si="13"/>
        <v>Yes</v>
      </c>
      <c r="AC26" s="80">
        <f t="shared" si="21"/>
        <v>0</v>
      </c>
      <c r="AD26" s="80">
        <f t="shared" si="22"/>
        <v>0.01</v>
      </c>
      <c r="AE26" s="44">
        <f t="shared" si="23"/>
        <v>0</v>
      </c>
      <c r="AF26" s="44">
        <f t="shared" si="14"/>
        <v>654364.13204312709</v>
      </c>
      <c r="AG26" s="44">
        <f t="shared" si="15"/>
        <v>654364.13204312709</v>
      </c>
      <c r="AH26" s="46">
        <f>IF(Y26="No",0,IFERROR(ROUNDDOWN(INDEX('90% of ACR'!K:K,MATCH(H:H,'90% of ACR'!A:A,0))*IF(I26&gt;0,IF(O26&gt;0,$R$4*MAX(O26-V26,0),0),0)/I26,2),0))</f>
        <v>0</v>
      </c>
      <c r="AI26" s="80">
        <f>IF(Y26="No",0,IFERROR(ROUNDDOWN(INDEX('90% of ACR'!R:R,MATCH(H:H,'90% of ACR'!A:A,0))*IF(J26&gt;0,IF(P26&gt;0,$R$4*MAX(P26-W26,0),0),0)/J26,2),0))</f>
        <v>0</v>
      </c>
      <c r="AJ26" s="44">
        <f t="shared" si="16"/>
        <v>0</v>
      </c>
      <c r="AK26" s="44">
        <f t="shared" si="17"/>
        <v>0</v>
      </c>
      <c r="AL26" s="46">
        <f t="shared" si="18"/>
        <v>0.21</v>
      </c>
      <c r="AM26" s="46">
        <f t="shared" si="19"/>
        <v>0.31</v>
      </c>
      <c r="AN26" s="81">
        <f>IFERROR(INDEX(FeeCalc!P:P,MATCH(C26,FeeCalc!F:F,0)),0)</f>
        <v>42503100.727874115</v>
      </c>
      <c r="AO26" s="81">
        <f>IFERROR(INDEX(FeeCalc!S:S,MATCH(C26,FeeCalc!F:F,0)),0)</f>
        <v>2625058.369463515</v>
      </c>
      <c r="AP26" s="81">
        <f t="shared" si="20"/>
        <v>45128159.097337633</v>
      </c>
      <c r="AQ26" s="68">
        <f t="shared" si="24"/>
        <v>17760277.26907542</v>
      </c>
      <c r="AR26" s="68">
        <f>INDEX('IGT Commitment Suggestions'!H:H,MATCH(G26,'IGT Commitment Suggestions'!A:A,0))*AQ26</f>
        <v>8148305.6016887454</v>
      </c>
    </row>
    <row r="27" spans="1:44">
      <c r="A27" s="103" t="s">
        <v>1568</v>
      </c>
      <c r="B27" s="30" t="s">
        <v>2709</v>
      </c>
      <c r="C27" s="30" t="s">
        <v>1617</v>
      </c>
      <c r="D27" s="42" t="s">
        <v>1617</v>
      </c>
      <c r="E27" s="119" t="s">
        <v>2802</v>
      </c>
      <c r="F27" s="43" t="s">
        <v>2283</v>
      </c>
      <c r="G27" s="42" t="s">
        <v>310</v>
      </c>
      <c r="H27" s="42" t="str">
        <f t="shared" si="2"/>
        <v>Urban MRSA Northeast</v>
      </c>
      <c r="I27" s="44">
        <f>INDEX(FeeCalc!M:M,MATCH(C:C,FeeCalc!F:F,0))</f>
        <v>2660165.4134784094</v>
      </c>
      <c r="J27" s="44">
        <f>INDEX(FeeCalc!L:L,MATCH(C:C,FeeCalc!F:F,0))</f>
        <v>1049799.8795244906</v>
      </c>
      <c r="K27" s="44">
        <f t="shared" si="3"/>
        <v>3709965.2930028997</v>
      </c>
      <c r="L27" s="44">
        <v>1248321.71</v>
      </c>
      <c r="M27" s="44">
        <v>1210883.5900000001</v>
      </c>
      <c r="N27" s="44">
        <f t="shared" si="4"/>
        <v>2459205.2999999998</v>
      </c>
      <c r="O27" s="44">
        <v>3867316.1272323853</v>
      </c>
      <c r="P27" s="44">
        <v>1264045.1544719175</v>
      </c>
      <c r="Q27" s="44">
        <f t="shared" si="5"/>
        <v>5131361.2817043029</v>
      </c>
      <c r="R27" s="44" t="str">
        <f t="shared" si="6"/>
        <v>Yes</v>
      </c>
      <c r="S27" s="45" t="str">
        <f t="shared" si="7"/>
        <v>Yes</v>
      </c>
      <c r="T27" s="46">
        <f>ROUND(INDEX(Summary!H:H,MATCH(H:H,Summary!A:A,0)),2)</f>
        <v>0.68</v>
      </c>
      <c r="U27" s="46">
        <f>ROUND(INDEX(Summary!I:I,MATCH(H:H,Summary!A:A,0)),2)</f>
        <v>1.06</v>
      </c>
      <c r="V27" s="79">
        <f t="shared" si="8"/>
        <v>1808912.4811653185</v>
      </c>
      <c r="W27" s="79">
        <f t="shared" si="9"/>
        <v>1112787.8722959601</v>
      </c>
      <c r="X27" s="44">
        <f t="shared" si="10"/>
        <v>2921700.3534612786</v>
      </c>
      <c r="Y27" s="44" t="s">
        <v>2765</v>
      </c>
      <c r="Z27" s="44" t="str">
        <f t="shared" si="11"/>
        <v>Yes</v>
      </c>
      <c r="AA27" s="44" t="str">
        <f t="shared" si="12"/>
        <v>Yes</v>
      </c>
      <c r="AB27" s="44" t="str">
        <f t="shared" si="13"/>
        <v>Yes</v>
      </c>
      <c r="AC27" s="80">
        <f t="shared" si="21"/>
        <v>0.54</v>
      </c>
      <c r="AD27" s="80">
        <f t="shared" si="22"/>
        <v>0.1</v>
      </c>
      <c r="AE27" s="44">
        <f t="shared" si="23"/>
        <v>1436489.3232783412</v>
      </c>
      <c r="AF27" s="44">
        <f t="shared" si="14"/>
        <v>104979.98795244907</v>
      </c>
      <c r="AG27" s="44">
        <f t="shared" si="15"/>
        <v>1541469.3112307903</v>
      </c>
      <c r="AH27" s="46">
        <f>IF(Y27="No",0,IFERROR(ROUNDDOWN(INDEX('90% of ACR'!K:K,MATCH(H:H,'90% of ACR'!A:A,0))*IF(I27&gt;0,IF(O27&gt;0,$R$4*MAX(O27-V27,0),0),0)/I27,2),0))</f>
        <v>0.53</v>
      </c>
      <c r="AI27" s="80">
        <f>IF(Y27="No",0,IFERROR(ROUNDDOWN(INDEX('90% of ACR'!R:R,MATCH(H:H,'90% of ACR'!A:A,0))*IF(J27&gt;0,IF(P27&gt;0,$R$4*MAX(P27-W27,0),0),0)/J27,2),0))</f>
        <v>0.1</v>
      </c>
      <c r="AJ27" s="44">
        <f t="shared" si="16"/>
        <v>1409887.6691435571</v>
      </c>
      <c r="AK27" s="44">
        <f t="shared" si="17"/>
        <v>104979.98795244907</v>
      </c>
      <c r="AL27" s="46">
        <f t="shared" si="18"/>
        <v>1.21</v>
      </c>
      <c r="AM27" s="46">
        <f t="shared" si="19"/>
        <v>1.1600000000000001</v>
      </c>
      <c r="AN27" s="81">
        <f>IFERROR(INDEX(FeeCalc!P:P,MATCH(C27,FeeCalc!F:F,0)),0)</f>
        <v>4436568.0105572846</v>
      </c>
      <c r="AO27" s="81">
        <f>IFERROR(INDEX(FeeCalc!S:S,MATCH(C27,FeeCalc!F:F,0)),0)</f>
        <v>277741.43027823907</v>
      </c>
      <c r="AP27" s="81">
        <f t="shared" si="20"/>
        <v>4714309.4408355234</v>
      </c>
      <c r="AQ27" s="68">
        <f t="shared" si="24"/>
        <v>1855325.9090597022</v>
      </c>
      <c r="AR27" s="68">
        <f>INDEX('IGT Commitment Suggestions'!H:H,MATCH(G27,'IGT Commitment Suggestions'!A:A,0))*AQ27</f>
        <v>849751.17962844693</v>
      </c>
    </row>
    <row r="28" spans="1:44">
      <c r="A28" s="103" t="s">
        <v>744</v>
      </c>
      <c r="B28" s="30" t="s">
        <v>744</v>
      </c>
      <c r="C28" s="30" t="s">
        <v>745</v>
      </c>
      <c r="D28" s="42" t="s">
        <v>745</v>
      </c>
      <c r="E28" s="119" t="s">
        <v>2344</v>
      </c>
      <c r="F28" s="43" t="s">
        <v>2295</v>
      </c>
      <c r="G28" s="42" t="s">
        <v>227</v>
      </c>
      <c r="H28" s="42" t="str">
        <f t="shared" si="2"/>
        <v>Rural MRSA West</v>
      </c>
      <c r="I28" s="44">
        <f>INDEX(FeeCalc!M:M,MATCH(C:C,FeeCalc!F:F,0))</f>
        <v>36522.480246703461</v>
      </c>
      <c r="J28" s="44">
        <f>INDEX(FeeCalc!L:L,MATCH(C:C,FeeCalc!F:F,0))</f>
        <v>180761.87994342379</v>
      </c>
      <c r="K28" s="44">
        <f t="shared" si="3"/>
        <v>217284.36019012725</v>
      </c>
      <c r="L28" s="44">
        <v>60491.97</v>
      </c>
      <c r="M28" s="44">
        <v>12371.88</v>
      </c>
      <c r="N28" s="44">
        <f t="shared" si="4"/>
        <v>72863.850000000006</v>
      </c>
      <c r="O28" s="44">
        <v>6132.9421695129668</v>
      </c>
      <c r="P28" s="44">
        <v>5888.4967481288477</v>
      </c>
      <c r="Q28" s="44">
        <f t="shared" si="5"/>
        <v>12021.438917641815</v>
      </c>
      <c r="R28" s="44" t="str">
        <f t="shared" si="6"/>
        <v>Yes</v>
      </c>
      <c r="S28" s="45" t="str">
        <f t="shared" si="7"/>
        <v>Yes</v>
      </c>
      <c r="T28" s="46">
        <f>ROUND(INDEX(Summary!H:H,MATCH(H:H,Summary!A:A,0)),2)</f>
        <v>0</v>
      </c>
      <c r="U28" s="46">
        <f>ROUND(INDEX(Summary!I:I,MATCH(H:H,Summary!A:A,0)),2)</f>
        <v>0.18</v>
      </c>
      <c r="V28" s="79">
        <f t="shared" si="8"/>
        <v>0</v>
      </c>
      <c r="W28" s="79">
        <f t="shared" si="9"/>
        <v>32537.138389816282</v>
      </c>
      <c r="X28" s="44">
        <f t="shared" si="10"/>
        <v>32537.138389816282</v>
      </c>
      <c r="Y28" s="44" t="s">
        <v>2765</v>
      </c>
      <c r="Z28" s="44" t="str">
        <f t="shared" si="11"/>
        <v>No</v>
      </c>
      <c r="AA28" s="44" t="str">
        <f t="shared" si="12"/>
        <v>No</v>
      </c>
      <c r="AB28" s="44" t="str">
        <f t="shared" si="13"/>
        <v>Yes</v>
      </c>
      <c r="AC28" s="80">
        <f t="shared" si="21"/>
        <v>0.12</v>
      </c>
      <c r="AD28" s="80">
        <f t="shared" si="22"/>
        <v>0</v>
      </c>
      <c r="AE28" s="44">
        <f t="shared" si="23"/>
        <v>4382.6976296044149</v>
      </c>
      <c r="AF28" s="44">
        <f t="shared" si="14"/>
        <v>0</v>
      </c>
      <c r="AG28" s="44">
        <f t="shared" si="15"/>
        <v>4382.6976296044149</v>
      </c>
      <c r="AH28" s="46">
        <f>IF(Y28="No",0,IFERROR(ROUNDDOWN(INDEX('90% of ACR'!K:K,MATCH(H:H,'90% of ACR'!A:A,0))*IF(I28&gt;0,IF(O28&gt;0,$R$4*MAX(O28-V28,0),0),0)/I28,2),0))</f>
        <v>0</v>
      </c>
      <c r="AI28" s="80">
        <f>IF(Y28="No",0,IFERROR(ROUNDDOWN(INDEX('90% of ACR'!R:R,MATCH(H:H,'90% of ACR'!A:A,0))*IF(J28&gt;0,IF(P28&gt;0,$R$4*MAX(P28-W28,0),0),0)/J28,2),0))</f>
        <v>0</v>
      </c>
      <c r="AJ28" s="44">
        <f t="shared" si="16"/>
        <v>0</v>
      </c>
      <c r="AK28" s="44">
        <f t="shared" si="17"/>
        <v>0</v>
      </c>
      <c r="AL28" s="46">
        <f t="shared" si="18"/>
        <v>0</v>
      </c>
      <c r="AM28" s="46">
        <f t="shared" si="19"/>
        <v>0.18</v>
      </c>
      <c r="AN28" s="81">
        <f>IFERROR(INDEX(FeeCalc!P:P,MATCH(C28,FeeCalc!F:F,0)),0)</f>
        <v>32537.138389816282</v>
      </c>
      <c r="AO28" s="81">
        <f>IFERROR(INDEX(FeeCalc!S:S,MATCH(C28,FeeCalc!F:F,0)),0)</f>
        <v>2005.2182124161841</v>
      </c>
      <c r="AP28" s="81">
        <f t="shared" si="20"/>
        <v>34542.356602232467</v>
      </c>
      <c r="AQ28" s="68">
        <f t="shared" si="24"/>
        <v>13594.213525521793</v>
      </c>
      <c r="AR28" s="68">
        <f>INDEX('IGT Commitment Suggestions'!H:H,MATCH(G28,'IGT Commitment Suggestions'!A:A,0))*AQ28</f>
        <v>6662.0299087299463</v>
      </c>
    </row>
    <row r="29" spans="1:44" ht="23.25">
      <c r="A29" s="103" t="s">
        <v>1303</v>
      </c>
      <c r="B29" s="30" t="s">
        <v>1303</v>
      </c>
      <c r="C29" s="30" t="s">
        <v>1304</v>
      </c>
      <c r="D29" s="42" t="s">
        <v>1304</v>
      </c>
      <c r="E29" s="119" t="s">
        <v>2803</v>
      </c>
      <c r="F29" s="43" t="s">
        <v>2544</v>
      </c>
      <c r="G29" s="42" t="s">
        <v>1202</v>
      </c>
      <c r="H29" s="42" t="str">
        <f t="shared" si="2"/>
        <v>Non-state-owned IMD Travis</v>
      </c>
      <c r="I29" s="44">
        <f>INDEX(FeeCalc!M:M,MATCH(C:C,FeeCalc!F:F,0))</f>
        <v>81795.555919790437</v>
      </c>
      <c r="J29" s="44">
        <f>INDEX(FeeCalc!L:L,MATCH(C:C,FeeCalc!F:F,0))</f>
        <v>0</v>
      </c>
      <c r="K29" s="44">
        <f t="shared" si="3"/>
        <v>81795.555919790437</v>
      </c>
      <c r="L29" s="44">
        <v>25345.599999999999</v>
      </c>
      <c r="M29" s="44">
        <v>0</v>
      </c>
      <c r="N29" s="44">
        <f t="shared" si="4"/>
        <v>25345.599999999999</v>
      </c>
      <c r="O29" s="44">
        <v>11686.183196889513</v>
      </c>
      <c r="P29" s="44">
        <v>0</v>
      </c>
      <c r="Q29" s="44">
        <f t="shared" si="5"/>
        <v>11686.183196889513</v>
      </c>
      <c r="R29" s="44" t="str">
        <f t="shared" si="6"/>
        <v>Yes</v>
      </c>
      <c r="S29" s="45" t="str">
        <f t="shared" si="7"/>
        <v>No</v>
      </c>
      <c r="T29" s="46">
        <f>ROUND(INDEX(Summary!H:H,MATCH(H:H,Summary!A:A,0)),2)</f>
        <v>0.28999999999999998</v>
      </c>
      <c r="U29" s="46">
        <f>ROUND(INDEX(Summary!I:I,MATCH(H:H,Summary!A:A,0)),2)</f>
        <v>0</v>
      </c>
      <c r="V29" s="79">
        <f t="shared" si="8"/>
        <v>23720.711216739226</v>
      </c>
      <c r="W29" s="79">
        <f t="shared" si="9"/>
        <v>0</v>
      </c>
      <c r="X29" s="44">
        <f t="shared" si="10"/>
        <v>23720.711216739226</v>
      </c>
      <c r="Y29" s="44" t="s">
        <v>2766</v>
      </c>
      <c r="Z29" s="44" t="str">
        <f t="shared" si="11"/>
        <v>No</v>
      </c>
      <c r="AA29" s="44" t="str">
        <f t="shared" si="12"/>
        <v>No</v>
      </c>
      <c r="AB29" s="44" t="str">
        <f t="shared" si="13"/>
        <v>No</v>
      </c>
      <c r="AC29" s="80">
        <f t="shared" si="21"/>
        <v>0</v>
      </c>
      <c r="AD29" s="80">
        <f t="shared" si="22"/>
        <v>0</v>
      </c>
      <c r="AE29" s="44">
        <f t="shared" si="23"/>
        <v>0</v>
      </c>
      <c r="AF29" s="44">
        <f t="shared" si="14"/>
        <v>0</v>
      </c>
      <c r="AG29" s="44">
        <f t="shared" si="15"/>
        <v>0</v>
      </c>
      <c r="AH29" s="46">
        <f>IF(Y29="No",0,IFERROR(ROUNDDOWN(INDEX('90% of ACR'!K:K,MATCH(H:H,'90% of ACR'!A:A,0))*IF(I29&gt;0,IF(O29&gt;0,$R$4*MAX(O29-V29,0),0),0)/I29,2),0))</f>
        <v>0</v>
      </c>
      <c r="AI29" s="80">
        <f>IF(Y29="No",0,IFERROR(ROUNDDOWN(INDEX('90% of ACR'!R:R,MATCH(H:H,'90% of ACR'!A:A,0))*IF(J29&gt;0,IF(P29&gt;0,$R$4*MAX(P29-W29,0),0),0)/J29,2),0))</f>
        <v>0</v>
      </c>
      <c r="AJ29" s="44">
        <f t="shared" si="16"/>
        <v>0</v>
      </c>
      <c r="AK29" s="44">
        <f t="shared" si="17"/>
        <v>0</v>
      </c>
      <c r="AL29" s="46">
        <f t="shared" si="18"/>
        <v>0.28999999999999998</v>
      </c>
      <c r="AM29" s="46">
        <f t="shared" si="19"/>
        <v>0</v>
      </c>
      <c r="AN29" s="81">
        <f>IFERROR(INDEX(FeeCalc!P:P,MATCH(C29,FeeCalc!F:F,0)),0)</f>
        <v>23720.711216739226</v>
      </c>
      <c r="AO29" s="81">
        <f>IFERROR(INDEX(FeeCalc!S:S,MATCH(C29,FeeCalc!F:F,0)),0)</f>
        <v>1447.1521431962922</v>
      </c>
      <c r="AP29" s="81">
        <f t="shared" si="20"/>
        <v>25167.86335993552</v>
      </c>
      <c r="AQ29" s="68">
        <f t="shared" si="24"/>
        <v>9904.8629610293447</v>
      </c>
      <c r="AR29" s="68">
        <f>INDEX('IGT Commitment Suggestions'!H:H,MATCH(G29,'IGT Commitment Suggestions'!A:A,0))*AQ29</f>
        <v>4551.028112619786</v>
      </c>
    </row>
    <row r="30" spans="1:44" ht="23.25">
      <c r="A30" s="103" t="s">
        <v>1271</v>
      </c>
      <c r="B30" s="30" t="s">
        <v>1271</v>
      </c>
      <c r="C30" s="30" t="s">
        <v>1272</v>
      </c>
      <c r="D30" s="42" t="s">
        <v>1272</v>
      </c>
      <c r="E30" s="119" t="s">
        <v>2733</v>
      </c>
      <c r="F30" s="43" t="s">
        <v>2544</v>
      </c>
      <c r="G30" s="42" t="s">
        <v>1365</v>
      </c>
      <c r="H30" s="42" t="str">
        <f t="shared" si="2"/>
        <v>Non-state-owned IMD Tarrant</v>
      </c>
      <c r="I30" s="44">
        <f>INDEX(FeeCalc!M:M,MATCH(C:C,FeeCalc!F:F,0))</f>
        <v>2234316.5170726096</v>
      </c>
      <c r="J30" s="44">
        <f>INDEX(FeeCalc!L:L,MATCH(C:C,FeeCalc!F:F,0))</f>
        <v>0</v>
      </c>
      <c r="K30" s="44">
        <f t="shared" si="3"/>
        <v>2234316.5170726096</v>
      </c>
      <c r="L30" s="44">
        <v>484607.88</v>
      </c>
      <c r="M30" s="44">
        <v>0</v>
      </c>
      <c r="N30" s="44">
        <f t="shared" si="4"/>
        <v>484607.88</v>
      </c>
      <c r="O30" s="44">
        <v>381581.1784420847</v>
      </c>
      <c r="P30" s="44">
        <v>0</v>
      </c>
      <c r="Q30" s="44">
        <f t="shared" si="5"/>
        <v>381581.1784420847</v>
      </c>
      <c r="R30" s="44" t="str">
        <f t="shared" si="6"/>
        <v>Yes</v>
      </c>
      <c r="S30" s="45" t="str">
        <f t="shared" si="7"/>
        <v>No</v>
      </c>
      <c r="T30" s="46">
        <f>ROUND(INDEX(Summary!H:H,MATCH(H:H,Summary!A:A,0)),2)</f>
        <v>0.22</v>
      </c>
      <c r="U30" s="46">
        <f>ROUND(INDEX(Summary!I:I,MATCH(H:H,Summary!A:A,0)),2)</f>
        <v>0</v>
      </c>
      <c r="V30" s="79">
        <f t="shared" si="8"/>
        <v>491549.63375597412</v>
      </c>
      <c r="W30" s="79">
        <f t="shared" si="9"/>
        <v>0</v>
      </c>
      <c r="X30" s="44">
        <f t="shared" si="10"/>
        <v>491549.63375597412</v>
      </c>
      <c r="Y30" s="44" t="s">
        <v>2766</v>
      </c>
      <c r="Z30" s="44" t="str">
        <f t="shared" si="11"/>
        <v>No</v>
      </c>
      <c r="AA30" s="44" t="str">
        <f t="shared" si="12"/>
        <v>No</v>
      </c>
      <c r="AB30" s="44" t="str">
        <f t="shared" si="13"/>
        <v>No</v>
      </c>
      <c r="AC30" s="80">
        <f t="shared" si="21"/>
        <v>0</v>
      </c>
      <c r="AD30" s="80">
        <f t="shared" si="22"/>
        <v>0</v>
      </c>
      <c r="AE30" s="44">
        <f t="shared" si="23"/>
        <v>0</v>
      </c>
      <c r="AF30" s="44">
        <f t="shared" si="14"/>
        <v>0</v>
      </c>
      <c r="AG30" s="44">
        <f t="shared" si="15"/>
        <v>0</v>
      </c>
      <c r="AH30" s="46">
        <f>IF(Y30="No",0,IFERROR(ROUNDDOWN(INDEX('90% of ACR'!K:K,MATCH(H:H,'90% of ACR'!A:A,0))*IF(I30&gt;0,IF(O30&gt;0,$R$4*MAX(O30-V30,0),0),0)/I30,2),0))</f>
        <v>0</v>
      </c>
      <c r="AI30" s="80">
        <f>IF(Y30="No",0,IFERROR(ROUNDDOWN(INDEX('90% of ACR'!R:R,MATCH(H:H,'90% of ACR'!A:A,0))*IF(J30&gt;0,IF(P30&gt;0,$R$4*MAX(P30-W30,0),0),0)/J30,2),0))</f>
        <v>0</v>
      </c>
      <c r="AJ30" s="44">
        <f t="shared" si="16"/>
        <v>0</v>
      </c>
      <c r="AK30" s="44">
        <f t="shared" si="17"/>
        <v>0</v>
      </c>
      <c r="AL30" s="46">
        <f t="shared" si="18"/>
        <v>0.22</v>
      </c>
      <c r="AM30" s="46">
        <f t="shared" si="19"/>
        <v>0</v>
      </c>
      <c r="AN30" s="81">
        <f>IFERROR(INDEX(FeeCalc!P:P,MATCH(C30,FeeCalc!F:F,0)),0)</f>
        <v>491549.63375597412</v>
      </c>
      <c r="AO30" s="81">
        <f>IFERROR(INDEX(FeeCalc!S:S,MATCH(C30,FeeCalc!F:F,0)),0)</f>
        <v>29988.439194661554</v>
      </c>
      <c r="AP30" s="81">
        <f t="shared" si="20"/>
        <v>521538.07295063569</v>
      </c>
      <c r="AQ30" s="68">
        <f t="shared" si="24"/>
        <v>205252.35168586858</v>
      </c>
      <c r="AR30" s="68">
        <f>INDEX('IGT Commitment Suggestions'!H:H,MATCH(G30,'IGT Commitment Suggestions'!A:A,0))*AQ30</f>
        <v>93613.644401521058</v>
      </c>
    </row>
    <row r="31" spans="1:44" ht="23.25">
      <c r="A31" s="103" t="s">
        <v>1259</v>
      </c>
      <c r="B31" s="30" t="s">
        <v>1259</v>
      </c>
      <c r="C31" s="30" t="s">
        <v>1260</v>
      </c>
      <c r="D31" s="42" t="s">
        <v>1260</v>
      </c>
      <c r="E31" s="119" t="s">
        <v>2599</v>
      </c>
      <c r="F31" s="43" t="s">
        <v>2544</v>
      </c>
      <c r="G31" s="42" t="s">
        <v>1486</v>
      </c>
      <c r="H31" s="42" t="str">
        <f t="shared" si="2"/>
        <v>Non-state-owned IMD MRSA Central</v>
      </c>
      <c r="I31" s="44">
        <f>INDEX(FeeCalc!M:M,MATCH(C:C,FeeCalc!F:F,0))</f>
        <v>2330625.7615446094</v>
      </c>
      <c r="J31" s="44">
        <f>INDEX(FeeCalc!L:L,MATCH(C:C,FeeCalc!F:F,0))</f>
        <v>0</v>
      </c>
      <c r="K31" s="44">
        <f t="shared" si="3"/>
        <v>2330625.7615446094</v>
      </c>
      <c r="L31" s="44">
        <v>1282893.6100000001</v>
      </c>
      <c r="M31" s="44">
        <v>0</v>
      </c>
      <c r="N31" s="44">
        <f t="shared" si="4"/>
        <v>1282893.6100000001</v>
      </c>
      <c r="O31" s="44">
        <v>34775.477261519525</v>
      </c>
      <c r="P31" s="44">
        <v>0</v>
      </c>
      <c r="Q31" s="44">
        <f t="shared" si="5"/>
        <v>34775.477261519525</v>
      </c>
      <c r="R31" s="44" t="str">
        <f t="shared" si="6"/>
        <v>Yes</v>
      </c>
      <c r="S31" s="45" t="str">
        <f t="shared" si="7"/>
        <v>No</v>
      </c>
      <c r="T31" s="46">
        <f>ROUND(INDEX(Summary!H:H,MATCH(H:H,Summary!A:A,0)),2)</f>
        <v>0.55000000000000004</v>
      </c>
      <c r="U31" s="46">
        <f>ROUND(INDEX(Summary!I:I,MATCH(H:H,Summary!A:A,0)),2)</f>
        <v>0</v>
      </c>
      <c r="V31" s="79">
        <f t="shared" si="8"/>
        <v>1281844.1688495353</v>
      </c>
      <c r="W31" s="79">
        <f t="shared" si="9"/>
        <v>0</v>
      </c>
      <c r="X31" s="44">
        <f t="shared" si="10"/>
        <v>1281844.1688495353</v>
      </c>
      <c r="Y31" s="44" t="s">
        <v>2765</v>
      </c>
      <c r="Z31" s="44" t="str">
        <f t="shared" si="11"/>
        <v>No</v>
      </c>
      <c r="AA31" s="44" t="str">
        <f t="shared" si="12"/>
        <v>No</v>
      </c>
      <c r="AB31" s="44" t="str">
        <f t="shared" si="13"/>
        <v>No</v>
      </c>
      <c r="AC31" s="80">
        <f t="shared" si="21"/>
        <v>0</v>
      </c>
      <c r="AD31" s="80">
        <f t="shared" si="22"/>
        <v>0</v>
      </c>
      <c r="AE31" s="44">
        <f t="shared" si="23"/>
        <v>0</v>
      </c>
      <c r="AF31" s="44">
        <f t="shared" si="14"/>
        <v>0</v>
      </c>
      <c r="AG31" s="44">
        <f t="shared" si="15"/>
        <v>0</v>
      </c>
      <c r="AH31" s="46">
        <f>IF(Y31="No",0,IFERROR(ROUNDDOWN(INDEX('90% of ACR'!K:K,MATCH(H:H,'90% of ACR'!A:A,0))*IF(I31&gt;0,IF(O31&gt;0,$R$4*MAX(O31-V31,0),0),0)/I31,2),0))</f>
        <v>0</v>
      </c>
      <c r="AI31" s="80">
        <f>IF(Y31="No",0,IFERROR(ROUNDDOWN(INDEX('90% of ACR'!R:R,MATCH(H:H,'90% of ACR'!A:A,0))*IF(J31&gt;0,IF(P31&gt;0,$R$4*MAX(P31-W31,0),0),0)/J31,2),0))</f>
        <v>0</v>
      </c>
      <c r="AJ31" s="44">
        <f t="shared" si="16"/>
        <v>0</v>
      </c>
      <c r="AK31" s="44">
        <f t="shared" si="17"/>
        <v>0</v>
      </c>
      <c r="AL31" s="46">
        <f t="shared" si="18"/>
        <v>0.55000000000000004</v>
      </c>
      <c r="AM31" s="46">
        <f t="shared" si="19"/>
        <v>0</v>
      </c>
      <c r="AN31" s="81">
        <f>IFERROR(INDEX(FeeCalc!P:P,MATCH(C31,FeeCalc!F:F,0)),0)</f>
        <v>1281844.1688495353</v>
      </c>
      <c r="AO31" s="81">
        <f>IFERROR(INDEX(FeeCalc!S:S,MATCH(C31,FeeCalc!F:F,0)),0)</f>
        <v>78202.694651297919</v>
      </c>
      <c r="AP31" s="81">
        <f t="shared" si="20"/>
        <v>1360046.8635008333</v>
      </c>
      <c r="AQ31" s="68">
        <f t="shared" si="24"/>
        <v>535249.16322448</v>
      </c>
      <c r="AR31" s="68">
        <f>INDEX('IGT Commitment Suggestions'!H:H,MATCH(G31,'IGT Commitment Suggestions'!A:A,0))*AQ31</f>
        <v>244521.60260730624</v>
      </c>
    </row>
    <row r="32" spans="1:44">
      <c r="A32" s="103" t="s">
        <v>533</v>
      </c>
      <c r="B32" s="30" t="s">
        <v>533</v>
      </c>
      <c r="C32" s="30" t="s">
        <v>534</v>
      </c>
      <c r="D32" s="42" t="s">
        <v>534</v>
      </c>
      <c r="E32" s="119" t="s">
        <v>2448</v>
      </c>
      <c r="F32" s="43" t="s">
        <v>2295</v>
      </c>
      <c r="G32" s="42" t="s">
        <v>227</v>
      </c>
      <c r="H32" s="42" t="str">
        <f t="shared" si="2"/>
        <v>Rural MRSA West</v>
      </c>
      <c r="I32" s="44">
        <f>INDEX(FeeCalc!M:M,MATCH(C:C,FeeCalc!F:F,0))</f>
        <v>866376.79803491826</v>
      </c>
      <c r="J32" s="44">
        <f>INDEX(FeeCalc!L:L,MATCH(C:C,FeeCalc!F:F,0))</f>
        <v>285411.78504948842</v>
      </c>
      <c r="K32" s="44">
        <f t="shared" si="3"/>
        <v>1151788.5830844068</v>
      </c>
      <c r="L32" s="44">
        <v>-33266.699999999997</v>
      </c>
      <c r="M32" s="44">
        <v>8467.85</v>
      </c>
      <c r="N32" s="44">
        <f t="shared" si="4"/>
        <v>-24798.85</v>
      </c>
      <c r="O32" s="44">
        <v>215676.36201190227</v>
      </c>
      <c r="P32" s="44">
        <v>348313.05423258903</v>
      </c>
      <c r="Q32" s="44">
        <f t="shared" si="5"/>
        <v>563989.41624449124</v>
      </c>
      <c r="R32" s="44" t="str">
        <f t="shared" si="6"/>
        <v>Yes</v>
      </c>
      <c r="S32" s="45" t="str">
        <f t="shared" si="7"/>
        <v>Yes</v>
      </c>
      <c r="T32" s="46">
        <f>ROUND(INDEX(Summary!H:H,MATCH(H:H,Summary!A:A,0)),2)</f>
        <v>0</v>
      </c>
      <c r="U32" s="46">
        <f>ROUND(INDEX(Summary!I:I,MATCH(H:H,Summary!A:A,0)),2)</f>
        <v>0.18</v>
      </c>
      <c r="V32" s="79">
        <f t="shared" si="8"/>
        <v>0</v>
      </c>
      <c r="W32" s="79">
        <f t="shared" si="9"/>
        <v>51374.12130890791</v>
      </c>
      <c r="X32" s="44">
        <f t="shared" si="10"/>
        <v>51374.12130890791</v>
      </c>
      <c r="Y32" s="44" t="s">
        <v>2766</v>
      </c>
      <c r="Z32" s="44" t="str">
        <f t="shared" si="11"/>
        <v>No</v>
      </c>
      <c r="AA32" s="44" t="str">
        <f t="shared" si="12"/>
        <v>No</v>
      </c>
      <c r="AB32" s="44" t="str">
        <f t="shared" si="13"/>
        <v>No</v>
      </c>
      <c r="AC32" s="80">
        <f t="shared" si="21"/>
        <v>0</v>
      </c>
      <c r="AD32" s="80">
        <f t="shared" si="22"/>
        <v>0</v>
      </c>
      <c r="AE32" s="44">
        <f t="shared" si="23"/>
        <v>0</v>
      </c>
      <c r="AF32" s="44">
        <f t="shared" si="14"/>
        <v>0</v>
      </c>
      <c r="AG32" s="44">
        <f t="shared" si="15"/>
        <v>0</v>
      </c>
      <c r="AH32" s="46">
        <f>IF(Y32="No",0,IFERROR(ROUNDDOWN(INDEX('90% of ACR'!K:K,MATCH(H:H,'90% of ACR'!A:A,0))*IF(I32&gt;0,IF(O32&gt;0,$R$4*MAX(O32-V32,0),0),0)/I32,2),0))</f>
        <v>0</v>
      </c>
      <c r="AI32" s="80">
        <f>IF(Y32="No",0,IFERROR(ROUNDDOWN(INDEX('90% of ACR'!R:R,MATCH(H:H,'90% of ACR'!A:A,0))*IF(J32&gt;0,IF(P32&gt;0,$R$4*MAX(P32-W32,0),0),0)/J32,2),0))</f>
        <v>0</v>
      </c>
      <c r="AJ32" s="44">
        <f t="shared" si="16"/>
        <v>0</v>
      </c>
      <c r="AK32" s="44">
        <f t="shared" si="17"/>
        <v>0</v>
      </c>
      <c r="AL32" s="46">
        <f t="shared" si="18"/>
        <v>0</v>
      </c>
      <c r="AM32" s="46">
        <f t="shared" si="19"/>
        <v>0.18</v>
      </c>
      <c r="AN32" s="81">
        <f>IFERROR(INDEX(FeeCalc!P:P,MATCH(C32,FeeCalc!F:F,0)),0)</f>
        <v>51374.12130890791</v>
      </c>
      <c r="AO32" s="81">
        <f>IFERROR(INDEX(FeeCalc!S:S,MATCH(C32,FeeCalc!F:F,0)),0)</f>
        <v>3159.6039158002122</v>
      </c>
      <c r="AP32" s="81">
        <f t="shared" si="20"/>
        <v>54533.72522470812</v>
      </c>
      <c r="AQ32" s="68">
        <f t="shared" si="24"/>
        <v>21461.856629634331</v>
      </c>
      <c r="AR32" s="68">
        <f>INDEX('IGT Commitment Suggestions'!H:H,MATCH(G32,'IGT Commitment Suggestions'!A:A,0))*AQ32</f>
        <v>10517.675810746097</v>
      </c>
    </row>
    <row r="33" spans="1:44">
      <c r="A33" s="103" t="s">
        <v>747</v>
      </c>
      <c r="B33" s="30" t="s">
        <v>747</v>
      </c>
      <c r="C33" s="30" t="s">
        <v>748</v>
      </c>
      <c r="D33" s="42" t="s">
        <v>748</v>
      </c>
      <c r="E33" s="119" t="s">
        <v>2347</v>
      </c>
      <c r="F33" s="43" t="s">
        <v>2283</v>
      </c>
      <c r="G33" s="42" t="s">
        <v>227</v>
      </c>
      <c r="H33" s="42" t="str">
        <f t="shared" si="2"/>
        <v>Urban MRSA West</v>
      </c>
      <c r="I33" s="44">
        <f>INDEX(FeeCalc!M:M,MATCH(C:C,FeeCalc!F:F,0))</f>
        <v>13800177.128929231</v>
      </c>
      <c r="J33" s="44">
        <f>INDEX(FeeCalc!L:L,MATCH(C:C,FeeCalc!F:F,0))</f>
        <v>8583256.7508663721</v>
      </c>
      <c r="K33" s="44">
        <f t="shared" si="3"/>
        <v>22383433.879795603</v>
      </c>
      <c r="L33" s="44">
        <v>2678120.21</v>
      </c>
      <c r="M33" s="44">
        <v>2495541.02</v>
      </c>
      <c r="N33" s="44">
        <f t="shared" si="4"/>
        <v>5173661.2300000004</v>
      </c>
      <c r="O33" s="44">
        <v>23494213.652902354</v>
      </c>
      <c r="P33" s="44">
        <v>6054975.6187040368</v>
      </c>
      <c r="Q33" s="44">
        <f t="shared" si="5"/>
        <v>29549189.271606389</v>
      </c>
      <c r="R33" s="44" t="str">
        <f t="shared" si="6"/>
        <v>Yes</v>
      </c>
      <c r="S33" s="45" t="str">
        <f t="shared" si="7"/>
        <v>Yes</v>
      </c>
      <c r="T33" s="46">
        <f>ROUND(INDEX(Summary!H:H,MATCH(H:H,Summary!A:A,0)),2)</f>
        <v>0.33</v>
      </c>
      <c r="U33" s="46">
        <f>ROUND(INDEX(Summary!I:I,MATCH(H:H,Summary!A:A,0)),2)</f>
        <v>0.85</v>
      </c>
      <c r="V33" s="79">
        <f t="shared" si="8"/>
        <v>4554058.4525466468</v>
      </c>
      <c r="W33" s="79">
        <f t="shared" si="9"/>
        <v>7295768.2382364161</v>
      </c>
      <c r="X33" s="44">
        <f t="shared" si="10"/>
        <v>11849826.690783063</v>
      </c>
      <c r="Y33" s="44" t="s">
        <v>2765</v>
      </c>
      <c r="Z33" s="44" t="str">
        <f t="shared" si="11"/>
        <v>Yes</v>
      </c>
      <c r="AA33" s="44" t="str">
        <f t="shared" si="12"/>
        <v>No</v>
      </c>
      <c r="AB33" s="44" t="str">
        <f t="shared" si="13"/>
        <v>Yes</v>
      </c>
      <c r="AC33" s="80">
        <f t="shared" si="21"/>
        <v>0.96</v>
      </c>
      <c r="AD33" s="80">
        <f t="shared" si="22"/>
        <v>0</v>
      </c>
      <c r="AE33" s="44">
        <f t="shared" si="23"/>
        <v>13248170.043772062</v>
      </c>
      <c r="AF33" s="44">
        <f t="shared" si="14"/>
        <v>0</v>
      </c>
      <c r="AG33" s="44">
        <f t="shared" si="15"/>
        <v>13248170.043772062</v>
      </c>
      <c r="AH33" s="46">
        <f>IF(Y33="No",0,IFERROR(ROUNDDOWN(INDEX('90% of ACR'!K:K,MATCH(H:H,'90% of ACR'!A:A,0))*IF(I33&gt;0,IF(O33&gt;0,$R$4*MAX(O33-V33,0),0),0)/I33,2),0))</f>
        <v>0.95</v>
      </c>
      <c r="AI33" s="80">
        <f>IF(Y33="No",0,IFERROR(ROUNDDOWN(INDEX('90% of ACR'!R:R,MATCH(H:H,'90% of ACR'!A:A,0))*IF(J33&gt;0,IF(P33&gt;0,$R$4*MAX(P33-W33,0),0),0)/J33,2),0))</f>
        <v>0</v>
      </c>
      <c r="AJ33" s="44">
        <f t="shared" si="16"/>
        <v>13110168.27248277</v>
      </c>
      <c r="AK33" s="44">
        <f t="shared" si="17"/>
        <v>0</v>
      </c>
      <c r="AL33" s="46">
        <f t="shared" si="18"/>
        <v>1.28</v>
      </c>
      <c r="AM33" s="46">
        <f t="shared" si="19"/>
        <v>0.85</v>
      </c>
      <c r="AN33" s="81">
        <f>IFERROR(INDEX(FeeCalc!P:P,MATCH(C33,FeeCalc!F:F,0)),0)</f>
        <v>24959994.963265833</v>
      </c>
      <c r="AO33" s="81">
        <f>IFERROR(INDEX(FeeCalc!S:S,MATCH(C33,FeeCalc!F:F,0)),0)</f>
        <v>1547273.5089597567</v>
      </c>
      <c r="AP33" s="81">
        <f t="shared" si="20"/>
        <v>26507268.472225588</v>
      </c>
      <c r="AQ33" s="68">
        <f t="shared" si="24"/>
        <v>10431988.521781325</v>
      </c>
      <c r="AR33" s="68">
        <f>INDEX('IGT Commitment Suggestions'!H:H,MATCH(G33,'IGT Commitment Suggestions'!A:A,0))*AQ33</f>
        <v>5112338.3790580193</v>
      </c>
    </row>
    <row r="34" spans="1:44">
      <c r="A34" s="103" t="s">
        <v>85</v>
      </c>
      <c r="B34" s="30" t="s">
        <v>85</v>
      </c>
      <c r="C34" s="30" t="s">
        <v>86</v>
      </c>
      <c r="D34" s="42" t="s">
        <v>86</v>
      </c>
      <c r="E34" s="119" t="s">
        <v>2455</v>
      </c>
      <c r="F34" s="43" t="s">
        <v>1547</v>
      </c>
      <c r="G34" s="42" t="s">
        <v>1365</v>
      </c>
      <c r="H34" s="42" t="str">
        <f t="shared" si="2"/>
        <v>Children's Tarrant</v>
      </c>
      <c r="I34" s="44">
        <f>INDEX(FeeCalc!M:M,MATCH(C:C,FeeCalc!F:F,0))</f>
        <v>139955472.30443063</v>
      </c>
      <c r="J34" s="44">
        <f>INDEX(FeeCalc!L:L,MATCH(C:C,FeeCalc!F:F,0))</f>
        <v>101184093.99476855</v>
      </c>
      <c r="K34" s="44">
        <f t="shared" si="3"/>
        <v>241139566.29919916</v>
      </c>
      <c r="L34" s="44">
        <v>87408143.540000007</v>
      </c>
      <c r="M34" s="44">
        <v>15353056.710000001</v>
      </c>
      <c r="N34" s="44">
        <f t="shared" si="4"/>
        <v>102761200.25</v>
      </c>
      <c r="O34" s="44">
        <v>236187430.79752362</v>
      </c>
      <c r="P34" s="44">
        <v>73232011.378966197</v>
      </c>
      <c r="Q34" s="44">
        <f t="shared" si="5"/>
        <v>309419442.17648983</v>
      </c>
      <c r="R34" s="44" t="str">
        <f t="shared" si="6"/>
        <v>Yes</v>
      </c>
      <c r="S34" s="45" t="str">
        <f t="shared" si="7"/>
        <v>Yes</v>
      </c>
      <c r="T34" s="46">
        <f>ROUND(INDEX(Summary!H:H,MATCH(H:H,Summary!A:A,0)),2)</f>
        <v>0.62</v>
      </c>
      <c r="U34" s="46">
        <f>ROUND(INDEX(Summary!I:I,MATCH(H:H,Summary!A:A,0)),2)</f>
        <v>0.15</v>
      </c>
      <c r="V34" s="79">
        <f t="shared" si="8"/>
        <v>86772392.828746989</v>
      </c>
      <c r="W34" s="79">
        <f t="shared" si="9"/>
        <v>15177614.09921528</v>
      </c>
      <c r="X34" s="44">
        <f t="shared" si="10"/>
        <v>101950006.92796227</v>
      </c>
      <c r="Y34" s="44" t="s">
        <v>2765</v>
      </c>
      <c r="Z34" s="44" t="str">
        <f t="shared" si="11"/>
        <v>Yes</v>
      </c>
      <c r="AA34" s="44" t="str">
        <f t="shared" si="12"/>
        <v>Yes</v>
      </c>
      <c r="AB34" s="44" t="str">
        <f t="shared" si="13"/>
        <v>Yes</v>
      </c>
      <c r="AC34" s="80">
        <f t="shared" si="21"/>
        <v>0.74</v>
      </c>
      <c r="AD34" s="80">
        <f t="shared" si="22"/>
        <v>0.4</v>
      </c>
      <c r="AE34" s="44">
        <f t="shared" si="23"/>
        <v>103567049.50527866</v>
      </c>
      <c r="AF34" s="44">
        <f t="shared" si="14"/>
        <v>40473637.597907424</v>
      </c>
      <c r="AG34" s="44">
        <f t="shared" si="15"/>
        <v>144040687.10318607</v>
      </c>
      <c r="AH34" s="46">
        <f>IF(Y34="No",0,IFERROR(ROUNDDOWN(INDEX('90% of ACR'!K:K,MATCH(H:H,'90% of ACR'!A:A,0))*IF(I34&gt;0,IF(O34&gt;0,$R$4*MAX(O34-V34,0),0),0)/I34,2),0))</f>
        <v>0.74</v>
      </c>
      <c r="AI34" s="80">
        <f>IF(Y34="No",0,IFERROR(ROUNDDOWN(INDEX('90% of ACR'!R:R,MATCH(H:H,'90% of ACR'!A:A,0))*IF(J34&gt;0,IF(P34&gt;0,$R$4*MAX(P34-W34,0),0),0)/J34,2),0))</f>
        <v>0.39</v>
      </c>
      <c r="AJ34" s="44">
        <f t="shared" si="16"/>
        <v>103567049.50527866</v>
      </c>
      <c r="AK34" s="44">
        <f t="shared" si="17"/>
        <v>39461796.657959737</v>
      </c>
      <c r="AL34" s="46">
        <f t="shared" si="18"/>
        <v>1.3599999999999999</v>
      </c>
      <c r="AM34" s="46">
        <f t="shared" si="19"/>
        <v>0.54</v>
      </c>
      <c r="AN34" s="81">
        <f>IFERROR(INDEX(FeeCalc!P:P,MATCH(C34,FeeCalc!F:F,0)),0)</f>
        <v>244978853.09120068</v>
      </c>
      <c r="AO34" s="81">
        <f>IFERROR(INDEX(FeeCalc!S:S,MATCH(C34,FeeCalc!F:F,0)),0)</f>
        <v>14947290.926556271</v>
      </c>
      <c r="AP34" s="81">
        <f t="shared" si="20"/>
        <v>259926144.01775694</v>
      </c>
      <c r="AQ34" s="68">
        <f t="shared" si="24"/>
        <v>102294453.83047628</v>
      </c>
      <c r="AR34" s="68">
        <f>INDEX('IGT Commitment Suggestions'!H:H,MATCH(G34,'IGT Commitment Suggestions'!A:A,0))*AQ34</f>
        <v>46655526.947579086</v>
      </c>
    </row>
    <row r="35" spans="1:44">
      <c r="A35" s="103" t="s">
        <v>1562</v>
      </c>
      <c r="B35" s="30" t="s">
        <v>1562</v>
      </c>
      <c r="C35" s="30" t="s">
        <v>1619</v>
      </c>
      <c r="D35" s="42" t="s">
        <v>1619</v>
      </c>
      <c r="E35" s="119" t="s">
        <v>2341</v>
      </c>
      <c r="F35" s="43" t="s">
        <v>2283</v>
      </c>
      <c r="G35" s="42" t="s">
        <v>227</v>
      </c>
      <c r="H35" s="42" t="str">
        <f t="shared" si="2"/>
        <v>Urban MRSA West</v>
      </c>
      <c r="I35" s="44">
        <f>INDEX(FeeCalc!M:M,MATCH(C:C,FeeCalc!F:F,0))</f>
        <v>7170546.3315035049</v>
      </c>
      <c r="J35" s="44">
        <f>INDEX(FeeCalc!L:L,MATCH(C:C,FeeCalc!F:F,0))</f>
        <v>4393851.3143345695</v>
      </c>
      <c r="K35" s="44">
        <f t="shared" si="3"/>
        <v>11564397.645838074</v>
      </c>
      <c r="L35" s="44">
        <v>3774237</v>
      </c>
      <c r="M35" s="44">
        <v>6459212.7599999998</v>
      </c>
      <c r="N35" s="44">
        <f t="shared" si="4"/>
        <v>10233449.76</v>
      </c>
      <c r="O35" s="44">
        <v>13211215.99869154</v>
      </c>
      <c r="P35" s="44">
        <v>9949797.280627016</v>
      </c>
      <c r="Q35" s="44">
        <f t="shared" si="5"/>
        <v>23161013.279318556</v>
      </c>
      <c r="R35" s="44" t="str">
        <f t="shared" si="6"/>
        <v>Yes</v>
      </c>
      <c r="S35" s="45" t="str">
        <f t="shared" si="7"/>
        <v>Yes</v>
      </c>
      <c r="T35" s="46">
        <f>ROUND(INDEX(Summary!H:H,MATCH(H:H,Summary!A:A,0)),2)</f>
        <v>0.33</v>
      </c>
      <c r="U35" s="46">
        <f>ROUND(INDEX(Summary!I:I,MATCH(H:H,Summary!A:A,0)),2)</f>
        <v>0.85</v>
      </c>
      <c r="V35" s="79">
        <f t="shared" si="8"/>
        <v>2366280.2893961566</v>
      </c>
      <c r="W35" s="79">
        <f t="shared" si="9"/>
        <v>3734773.6171843838</v>
      </c>
      <c r="X35" s="44">
        <f t="shared" si="10"/>
        <v>6101053.9065805404</v>
      </c>
      <c r="Y35" s="44" t="s">
        <v>2765</v>
      </c>
      <c r="Z35" s="44" t="str">
        <f t="shared" si="11"/>
        <v>Yes</v>
      </c>
      <c r="AA35" s="44" t="str">
        <f t="shared" si="12"/>
        <v>Yes</v>
      </c>
      <c r="AB35" s="44" t="str">
        <f t="shared" si="13"/>
        <v>Yes</v>
      </c>
      <c r="AC35" s="80">
        <f t="shared" si="21"/>
        <v>1.05</v>
      </c>
      <c r="AD35" s="80">
        <f t="shared" si="22"/>
        <v>0.99</v>
      </c>
      <c r="AE35" s="44">
        <f t="shared" si="23"/>
        <v>7529073.64807868</v>
      </c>
      <c r="AF35" s="44">
        <f t="shared" si="14"/>
        <v>4349912.8011912238</v>
      </c>
      <c r="AG35" s="44">
        <f t="shared" si="15"/>
        <v>11878986.449269904</v>
      </c>
      <c r="AH35" s="46">
        <f>IF(Y35="No",0,IFERROR(ROUNDDOWN(INDEX('90% of ACR'!K:K,MATCH(H:H,'90% of ACR'!A:A,0))*IF(I35&gt;0,IF(O35&gt;0,$R$4*MAX(O35-V35,0),0),0)/I35,2),0))</f>
        <v>1.05</v>
      </c>
      <c r="AI35" s="80">
        <f>IF(Y35="No",0,IFERROR(ROUNDDOWN(INDEX('90% of ACR'!R:R,MATCH(H:H,'90% of ACR'!A:A,0))*IF(J35&gt;0,IF(P35&gt;0,$R$4*MAX(P35-W35,0),0),0)/J35,2),0))</f>
        <v>0.94</v>
      </c>
      <c r="AJ35" s="44">
        <f t="shared" si="16"/>
        <v>7529073.64807868</v>
      </c>
      <c r="AK35" s="44">
        <f t="shared" si="17"/>
        <v>4130220.2354744952</v>
      </c>
      <c r="AL35" s="46">
        <f t="shared" si="18"/>
        <v>1.3800000000000001</v>
      </c>
      <c r="AM35" s="46">
        <f t="shared" si="19"/>
        <v>1.79</v>
      </c>
      <c r="AN35" s="81">
        <f>IFERROR(INDEX(FeeCalc!P:P,MATCH(C35,FeeCalc!F:F,0)),0)</f>
        <v>17760347.790133718</v>
      </c>
      <c r="AO35" s="81">
        <f>IFERROR(INDEX(FeeCalc!S:S,MATCH(C35,FeeCalc!F:F,0)),0)</f>
        <v>1104497.6827497378</v>
      </c>
      <c r="AP35" s="81">
        <f t="shared" si="20"/>
        <v>18864845.472883455</v>
      </c>
      <c r="AQ35" s="68">
        <f t="shared" si="24"/>
        <v>7424297.6655442305</v>
      </c>
      <c r="AR35" s="68">
        <f>INDEX('IGT Commitment Suggestions'!H:H,MATCH(G35,'IGT Commitment Suggestions'!A:A,0))*AQ35</f>
        <v>3638378.4178696061</v>
      </c>
    </row>
    <row r="36" spans="1:44">
      <c r="A36" s="103" t="s">
        <v>668</v>
      </c>
      <c r="B36" s="30" t="s">
        <v>668</v>
      </c>
      <c r="C36" s="30" t="s">
        <v>669</v>
      </c>
      <c r="D36" s="42" t="s">
        <v>669</v>
      </c>
      <c r="E36" s="119" t="s">
        <v>2804</v>
      </c>
      <c r="F36" s="43" t="s">
        <v>2295</v>
      </c>
      <c r="G36" s="42" t="s">
        <v>227</v>
      </c>
      <c r="H36" s="42" t="str">
        <f t="shared" si="2"/>
        <v>Rural MRSA West</v>
      </c>
      <c r="I36" s="44">
        <f>INDEX(FeeCalc!M:M,MATCH(C:C,FeeCalc!F:F,0))</f>
        <v>385009.82280199276</v>
      </c>
      <c r="J36" s="44">
        <f>INDEX(FeeCalc!L:L,MATCH(C:C,FeeCalc!F:F,0))</f>
        <v>757141.56748331152</v>
      </c>
      <c r="K36" s="44">
        <f t="shared" si="3"/>
        <v>1142151.3902853043</v>
      </c>
      <c r="L36" s="44">
        <v>449999.37</v>
      </c>
      <c r="M36" s="44">
        <v>69547.91</v>
      </c>
      <c r="N36" s="44">
        <f t="shared" si="4"/>
        <v>519547.28</v>
      </c>
      <c r="O36" s="44">
        <v>33426.590610399027</v>
      </c>
      <c r="P36" s="44">
        <v>184894.04844717821</v>
      </c>
      <c r="Q36" s="44">
        <f t="shared" si="5"/>
        <v>218320.63905757724</v>
      </c>
      <c r="R36" s="44" t="str">
        <f t="shared" si="6"/>
        <v>Yes</v>
      </c>
      <c r="S36" s="45" t="str">
        <f t="shared" si="7"/>
        <v>Yes</v>
      </c>
      <c r="T36" s="46">
        <f>ROUND(INDEX(Summary!H:H,MATCH(H:H,Summary!A:A,0)),2)</f>
        <v>0</v>
      </c>
      <c r="U36" s="46">
        <f>ROUND(INDEX(Summary!I:I,MATCH(H:H,Summary!A:A,0)),2)</f>
        <v>0.18</v>
      </c>
      <c r="V36" s="79">
        <f t="shared" si="8"/>
        <v>0</v>
      </c>
      <c r="W36" s="79">
        <f t="shared" si="9"/>
        <v>136285.48214699607</v>
      </c>
      <c r="X36" s="44">
        <f t="shared" si="10"/>
        <v>136285.48214699607</v>
      </c>
      <c r="Y36" s="44" t="s">
        <v>2765</v>
      </c>
      <c r="Z36" s="44" t="str">
        <f t="shared" si="11"/>
        <v>No</v>
      </c>
      <c r="AA36" s="44" t="str">
        <f t="shared" si="12"/>
        <v>Yes</v>
      </c>
      <c r="AB36" s="44" t="str">
        <f t="shared" si="13"/>
        <v>Yes</v>
      </c>
      <c r="AC36" s="80">
        <f t="shared" si="21"/>
        <v>0.06</v>
      </c>
      <c r="AD36" s="80">
        <f t="shared" si="22"/>
        <v>0.04</v>
      </c>
      <c r="AE36" s="44">
        <f t="shared" si="23"/>
        <v>23100.589368119567</v>
      </c>
      <c r="AF36" s="44">
        <f t="shared" si="14"/>
        <v>30285.662699332461</v>
      </c>
      <c r="AG36" s="44">
        <f t="shared" si="15"/>
        <v>53386.252067452027</v>
      </c>
      <c r="AH36" s="46">
        <f>IF(Y36="No",0,IFERROR(ROUNDDOWN(INDEX('90% of ACR'!K:K,MATCH(H:H,'90% of ACR'!A:A,0))*IF(I36&gt;0,IF(O36&gt;0,$R$4*MAX(O36-V36,0),0),0)/I36,2),0))</f>
        <v>0</v>
      </c>
      <c r="AI36" s="80">
        <f>IF(Y36="No",0,IFERROR(ROUNDDOWN(INDEX('90% of ACR'!R:R,MATCH(H:H,'90% of ACR'!A:A,0))*IF(J36&gt;0,IF(P36&gt;0,$R$4*MAX(P36-W36,0),0),0)/J36,2),0))</f>
        <v>0.04</v>
      </c>
      <c r="AJ36" s="44">
        <f t="shared" si="16"/>
        <v>0</v>
      </c>
      <c r="AK36" s="44">
        <f t="shared" si="17"/>
        <v>30285.662699332461</v>
      </c>
      <c r="AL36" s="46">
        <f t="shared" si="18"/>
        <v>0</v>
      </c>
      <c r="AM36" s="46">
        <f t="shared" si="19"/>
        <v>0.22</v>
      </c>
      <c r="AN36" s="81">
        <f>IFERROR(INDEX(FeeCalc!P:P,MATCH(C36,FeeCalc!F:F,0)),0)</f>
        <v>166571.14484632853</v>
      </c>
      <c r="AO36" s="81">
        <f>IFERROR(INDEX(FeeCalc!S:S,MATCH(C36,FeeCalc!F:F,0)),0)</f>
        <v>10203.442875536017</v>
      </c>
      <c r="AP36" s="81">
        <f t="shared" si="20"/>
        <v>176774.58772186455</v>
      </c>
      <c r="AQ36" s="68">
        <f t="shared" si="24"/>
        <v>69569.992547115238</v>
      </c>
      <c r="AR36" s="68">
        <f>INDEX('IGT Commitment Suggestions'!H:H,MATCH(G36,'IGT Commitment Suggestions'!A:A,0))*AQ36</f>
        <v>34093.724526900231</v>
      </c>
    </row>
    <row r="37" spans="1:44">
      <c r="A37" s="103" t="s">
        <v>132</v>
      </c>
      <c r="B37" s="30" t="s">
        <v>132</v>
      </c>
      <c r="C37" s="30" t="s">
        <v>133</v>
      </c>
      <c r="D37" s="30" t="s">
        <v>133</v>
      </c>
      <c r="E37" s="119" t="s">
        <v>2805</v>
      </c>
      <c r="F37" s="43" t="s">
        <v>2283</v>
      </c>
      <c r="G37" s="42" t="s">
        <v>487</v>
      </c>
      <c r="H37" s="42" t="str">
        <f t="shared" si="2"/>
        <v>Urban Bexar</v>
      </c>
      <c r="I37" s="44">
        <f>INDEX(FeeCalc!M:M,MATCH(C:C,FeeCalc!F:F,0))</f>
        <v>180401.40052345832</v>
      </c>
      <c r="J37" s="44">
        <f>INDEX(FeeCalc!L:L,MATCH(C:C,FeeCalc!F:F,0))</f>
        <v>5265234.9860855043</v>
      </c>
      <c r="K37" s="44">
        <f t="shared" si="3"/>
        <v>5445636.3866089629</v>
      </c>
      <c r="L37" s="44">
        <v>213106.46</v>
      </c>
      <c r="M37" s="44">
        <v>1391312.47</v>
      </c>
      <c r="N37" s="44">
        <f t="shared" si="4"/>
        <v>1604418.93</v>
      </c>
      <c r="O37" s="44">
        <v>626331.9636250711</v>
      </c>
      <c r="P37" s="44">
        <v>5447592.3636480253</v>
      </c>
      <c r="Q37" s="44">
        <f t="shared" si="5"/>
        <v>6073924.3272730969</v>
      </c>
      <c r="R37" s="44" t="str">
        <f t="shared" si="6"/>
        <v>Yes</v>
      </c>
      <c r="S37" s="45" t="str">
        <f t="shared" si="7"/>
        <v>Yes</v>
      </c>
      <c r="T37" s="46">
        <f>ROUND(INDEX(Summary!H:H,MATCH(H:H,Summary!A:A,0)),2)</f>
        <v>0.44</v>
      </c>
      <c r="U37" s="46">
        <f>ROUND(INDEX(Summary!I:I,MATCH(H:H,Summary!A:A,0)),2)</f>
        <v>0.49</v>
      </c>
      <c r="V37" s="79">
        <f t="shared" si="8"/>
        <v>79376.616230321655</v>
      </c>
      <c r="W37" s="79">
        <f t="shared" si="9"/>
        <v>2579965.1431818972</v>
      </c>
      <c r="X37" s="44">
        <f t="shared" si="10"/>
        <v>2659341.7594122188</v>
      </c>
      <c r="Y37" s="44" t="s">
        <v>2765</v>
      </c>
      <c r="Z37" s="44" t="str">
        <f t="shared" si="11"/>
        <v>Yes</v>
      </c>
      <c r="AA37" s="44" t="str">
        <f t="shared" si="12"/>
        <v>Yes</v>
      </c>
      <c r="AB37" s="44" t="str">
        <f t="shared" si="13"/>
        <v>Yes</v>
      </c>
      <c r="AC37" s="80">
        <f t="shared" si="21"/>
        <v>2.11</v>
      </c>
      <c r="AD37" s="80">
        <f t="shared" si="22"/>
        <v>0.38</v>
      </c>
      <c r="AE37" s="44">
        <f t="shared" si="23"/>
        <v>380646.95510449703</v>
      </c>
      <c r="AF37" s="44">
        <f t="shared" si="14"/>
        <v>2000789.2947124916</v>
      </c>
      <c r="AG37" s="44">
        <f t="shared" si="15"/>
        <v>2381436.2498169886</v>
      </c>
      <c r="AH37" s="46">
        <f>IF(Y37="No",0,IFERROR(ROUNDDOWN(INDEX('90% of ACR'!K:K,MATCH(H:H,'90% of ACR'!A:A,0))*IF(I37&gt;0,IF(O37&gt;0,$R$4*MAX(O37-V37,0),0),0)/I37,2),0))</f>
        <v>1.86</v>
      </c>
      <c r="AI37" s="80">
        <f>IF(Y37="No",0,IFERROR(ROUNDDOWN(INDEX('90% of ACR'!R:R,MATCH(H:H,'90% of ACR'!A:A,0))*IF(J37&gt;0,IF(P37&gt;0,$R$4*MAX(P37-W37,0),0),0)/J37,2),0))</f>
        <v>0.25</v>
      </c>
      <c r="AJ37" s="44">
        <f t="shared" si="16"/>
        <v>335546.60497363249</v>
      </c>
      <c r="AK37" s="44">
        <f t="shared" si="17"/>
        <v>1316308.7465213761</v>
      </c>
      <c r="AL37" s="46">
        <f t="shared" si="18"/>
        <v>2.3000000000000003</v>
      </c>
      <c r="AM37" s="46">
        <f t="shared" si="19"/>
        <v>0.74</v>
      </c>
      <c r="AN37" s="81">
        <f>IFERROR(INDEX(FeeCalc!P:P,MATCH(C37,FeeCalc!F:F,0)),0)</f>
        <v>4311197.1109072277</v>
      </c>
      <c r="AO37" s="81">
        <f>IFERROR(INDEX(FeeCalc!S:S,MATCH(C37,FeeCalc!F:F,0)),0)</f>
        <v>265796.82912984904</v>
      </c>
      <c r="AP37" s="81">
        <f t="shared" si="20"/>
        <v>4576993.9400370764</v>
      </c>
      <c r="AQ37" s="68">
        <f t="shared" si="24"/>
        <v>1801285.1190894716</v>
      </c>
      <c r="AR37" s="68">
        <f>INDEX('IGT Commitment Suggestions'!H:H,MATCH(G37,'IGT Commitment Suggestions'!A:A,0))*AQ37</f>
        <v>830299.15789940185</v>
      </c>
    </row>
    <row r="38" spans="1:44">
      <c r="A38" s="103" t="s">
        <v>165</v>
      </c>
      <c r="B38" s="30" t="s">
        <v>165</v>
      </c>
      <c r="C38" s="30" t="s">
        <v>166</v>
      </c>
      <c r="D38" s="42" t="s">
        <v>166</v>
      </c>
      <c r="E38" s="119" t="s">
        <v>2761</v>
      </c>
      <c r="F38" s="43" t="s">
        <v>2283</v>
      </c>
      <c r="G38" s="42" t="s">
        <v>1189</v>
      </c>
      <c r="H38" s="42" t="str">
        <f t="shared" si="2"/>
        <v>Urban El Paso</v>
      </c>
      <c r="I38" s="44">
        <f>INDEX(FeeCalc!M:M,MATCH(C:C,FeeCalc!F:F,0))</f>
        <v>47155.141207576868</v>
      </c>
      <c r="J38" s="44">
        <f>INDEX(FeeCalc!L:L,MATCH(C:C,FeeCalc!F:F,0))</f>
        <v>4694076.9005666981</v>
      </c>
      <c r="K38" s="44">
        <f t="shared" si="3"/>
        <v>4741232.0417742748</v>
      </c>
      <c r="L38" s="44">
        <v>54604.480000000003</v>
      </c>
      <c r="M38" s="44">
        <v>-319123.31</v>
      </c>
      <c r="N38" s="44">
        <f t="shared" si="4"/>
        <v>-264518.83</v>
      </c>
      <c r="O38" s="44">
        <v>175117.47561554259</v>
      </c>
      <c r="P38" s="44">
        <v>2754058.5384141984</v>
      </c>
      <c r="Q38" s="44">
        <f t="shared" si="5"/>
        <v>2929176.0140297408</v>
      </c>
      <c r="R38" s="44" t="str">
        <f t="shared" si="6"/>
        <v>Yes</v>
      </c>
      <c r="S38" s="45" t="str">
        <f t="shared" si="7"/>
        <v>Yes</v>
      </c>
      <c r="T38" s="46">
        <f>ROUND(INDEX(Summary!H:H,MATCH(H:H,Summary!A:A,0)),2)</f>
        <v>0.11</v>
      </c>
      <c r="U38" s="46">
        <f>ROUND(INDEX(Summary!I:I,MATCH(H:H,Summary!A:A,0)),2)</f>
        <v>0.49</v>
      </c>
      <c r="V38" s="79">
        <f t="shared" si="8"/>
        <v>5187.0655328334551</v>
      </c>
      <c r="W38" s="79">
        <f t="shared" si="9"/>
        <v>2300097.6812776821</v>
      </c>
      <c r="X38" s="44">
        <f t="shared" si="10"/>
        <v>2305284.7468105154</v>
      </c>
      <c r="Y38" s="44" t="s">
        <v>2765</v>
      </c>
      <c r="Z38" s="44" t="str">
        <f t="shared" si="11"/>
        <v>Yes</v>
      </c>
      <c r="AA38" s="44" t="str">
        <f t="shared" si="12"/>
        <v>Yes</v>
      </c>
      <c r="AB38" s="44" t="str">
        <f t="shared" si="13"/>
        <v>Yes</v>
      </c>
      <c r="AC38" s="80">
        <f t="shared" si="21"/>
        <v>2.5099999999999998</v>
      </c>
      <c r="AD38" s="80">
        <f t="shared" si="22"/>
        <v>7.0000000000000007E-2</v>
      </c>
      <c r="AE38" s="44">
        <f t="shared" si="23"/>
        <v>118359.40443101793</v>
      </c>
      <c r="AF38" s="44">
        <f t="shared" si="14"/>
        <v>328585.3830396689</v>
      </c>
      <c r="AG38" s="44">
        <f t="shared" si="15"/>
        <v>446944.78747068683</v>
      </c>
      <c r="AH38" s="46">
        <f>IF(Y38="No",0,IFERROR(ROUNDDOWN(INDEX('90% of ACR'!K:K,MATCH(H:H,'90% of ACR'!A:A,0))*IF(I38&gt;0,IF(O38&gt;0,$R$4*MAX(O38-V38,0),0),0)/I38,2),0))</f>
        <v>2.41</v>
      </c>
      <c r="AI38" s="80">
        <f>IF(Y38="No",0,IFERROR(ROUNDDOWN(INDEX('90% of ACR'!R:R,MATCH(H:H,'90% of ACR'!A:A,0))*IF(J38&gt;0,IF(P38&gt;0,$R$4*MAX(P38-W38,0),0),0)/J38,2),0))</f>
        <v>0.06</v>
      </c>
      <c r="AJ38" s="44">
        <f t="shared" si="16"/>
        <v>113643.89031026026</v>
      </c>
      <c r="AK38" s="44">
        <f t="shared" si="17"/>
        <v>281644.61403400189</v>
      </c>
      <c r="AL38" s="46">
        <f t="shared" si="18"/>
        <v>2.52</v>
      </c>
      <c r="AM38" s="46">
        <f t="shared" si="19"/>
        <v>0.55000000000000004</v>
      </c>
      <c r="AN38" s="81">
        <f>IFERROR(INDEX(FeeCalc!P:P,MATCH(C38,FeeCalc!F:F,0)),0)</f>
        <v>2700573.2511547781</v>
      </c>
      <c r="AO38" s="81">
        <f>IFERROR(INDEX(FeeCalc!S:S,MATCH(C38,FeeCalc!F:F,0)),0)</f>
        <v>165946.65866538059</v>
      </c>
      <c r="AP38" s="81">
        <f t="shared" si="20"/>
        <v>2866519.9098201585</v>
      </c>
      <c r="AQ38" s="68">
        <f t="shared" si="24"/>
        <v>1128124.6435495431</v>
      </c>
      <c r="AR38" s="68">
        <f>INDEX('IGT Commitment Suggestions'!H:H,MATCH(G38,'IGT Commitment Suggestions'!A:A,0))*AQ38</f>
        <v>519306.19830436923</v>
      </c>
    </row>
    <row r="39" spans="1:44">
      <c r="A39" s="103" t="s">
        <v>120</v>
      </c>
      <c r="B39" s="30" t="s">
        <v>120</v>
      </c>
      <c r="C39" s="30" t="s">
        <v>121</v>
      </c>
      <c r="D39" s="42" t="s">
        <v>121</v>
      </c>
      <c r="E39" s="119" t="s">
        <v>2760</v>
      </c>
      <c r="F39" s="43" t="s">
        <v>2283</v>
      </c>
      <c r="G39" s="42" t="s">
        <v>1365</v>
      </c>
      <c r="H39" s="42" t="str">
        <f t="shared" si="2"/>
        <v>Urban Tarrant</v>
      </c>
      <c r="I39" s="44">
        <f>INDEX(FeeCalc!M:M,MATCH(C:C,FeeCalc!F:F,0))</f>
        <v>0</v>
      </c>
      <c r="J39" s="44">
        <f>INDEX(FeeCalc!L:L,MATCH(C:C,FeeCalc!F:F,0))</f>
        <v>519888.59264732682</v>
      </c>
      <c r="K39" s="44">
        <f t="shared" si="3"/>
        <v>519888.59264732682</v>
      </c>
      <c r="L39" s="44">
        <v>42566.86</v>
      </c>
      <c r="M39" s="44">
        <v>306043.07</v>
      </c>
      <c r="N39" s="44">
        <f t="shared" si="4"/>
        <v>348609.93</v>
      </c>
      <c r="O39" s="44">
        <v>60793.592824062056</v>
      </c>
      <c r="P39" s="44">
        <v>1145493.2623214552</v>
      </c>
      <c r="Q39" s="44">
        <f t="shared" si="5"/>
        <v>1206286.8551455173</v>
      </c>
      <c r="R39" s="44" t="str">
        <f t="shared" si="6"/>
        <v>Yes</v>
      </c>
      <c r="S39" s="45" t="str">
        <f t="shared" si="7"/>
        <v>Yes</v>
      </c>
      <c r="T39" s="46">
        <f>ROUND(INDEX(Summary!H:H,MATCH(H:H,Summary!A:A,0)),2)</f>
        <v>0.84</v>
      </c>
      <c r="U39" s="46">
        <f>ROUND(INDEX(Summary!I:I,MATCH(H:H,Summary!A:A,0)),2)</f>
        <v>0.55000000000000004</v>
      </c>
      <c r="V39" s="79">
        <f t="shared" si="8"/>
        <v>0</v>
      </c>
      <c r="W39" s="79">
        <f t="shared" si="9"/>
        <v>285938.72595602978</v>
      </c>
      <c r="X39" s="44">
        <f t="shared" si="10"/>
        <v>285938.72595602978</v>
      </c>
      <c r="Y39" s="44" t="s">
        <v>2765</v>
      </c>
      <c r="Z39" s="44" t="str">
        <f t="shared" si="11"/>
        <v>No</v>
      </c>
      <c r="AA39" s="44" t="str">
        <f t="shared" si="12"/>
        <v>Yes</v>
      </c>
      <c r="AB39" s="44" t="str">
        <f t="shared" si="13"/>
        <v>Yes</v>
      </c>
      <c r="AC39" s="80">
        <f t="shared" si="21"/>
        <v>0</v>
      </c>
      <c r="AD39" s="80">
        <f t="shared" si="22"/>
        <v>1.1499999999999999</v>
      </c>
      <c r="AE39" s="44">
        <f t="shared" si="23"/>
        <v>0</v>
      </c>
      <c r="AF39" s="44">
        <f t="shared" si="14"/>
        <v>597871.88154442585</v>
      </c>
      <c r="AG39" s="44">
        <f t="shared" si="15"/>
        <v>597871.88154442585</v>
      </c>
      <c r="AH39" s="46">
        <f>IF(Y39="No",0,IFERROR(ROUNDDOWN(INDEX('90% of ACR'!K:K,MATCH(H:H,'90% of ACR'!A:A,0))*IF(I39&gt;0,IF(O39&gt;0,$R$4*MAX(O39-V39,0),0),0)/I39,2),0))</f>
        <v>0</v>
      </c>
      <c r="AI39" s="80">
        <f>IF(Y39="No",0,IFERROR(ROUNDDOWN(INDEX('90% of ACR'!R:R,MATCH(H:H,'90% of ACR'!A:A,0))*IF(J39&gt;0,IF(P39&gt;0,$R$4*MAX(P39-W39,0),0),0)/J39,2),0))</f>
        <v>1.1000000000000001</v>
      </c>
      <c r="AJ39" s="44">
        <f t="shared" si="16"/>
        <v>0</v>
      </c>
      <c r="AK39" s="44">
        <f t="shared" si="17"/>
        <v>571877.45191205957</v>
      </c>
      <c r="AL39" s="46">
        <f t="shared" si="18"/>
        <v>0.84</v>
      </c>
      <c r="AM39" s="46">
        <f t="shared" si="19"/>
        <v>1.6500000000000001</v>
      </c>
      <c r="AN39" s="81">
        <f>IFERROR(INDEX(FeeCalc!P:P,MATCH(C39,FeeCalc!F:F,0)),0)</f>
        <v>857816.17786808929</v>
      </c>
      <c r="AO39" s="81">
        <f>IFERROR(INDEX(FeeCalc!S:S,MATCH(C39,FeeCalc!F:F,0)),0)</f>
        <v>52333.612973384763</v>
      </c>
      <c r="AP39" s="81">
        <f t="shared" si="20"/>
        <v>910149.79084147408</v>
      </c>
      <c r="AQ39" s="68">
        <f t="shared" si="24"/>
        <v>358191.27048524388</v>
      </c>
      <c r="AR39" s="68">
        <f>INDEX('IGT Commitment Suggestions'!H:H,MATCH(G39,'IGT Commitment Suggestions'!A:A,0))*AQ39</f>
        <v>163367.62988349859</v>
      </c>
    </row>
    <row r="40" spans="1:44">
      <c r="A40" s="103" t="s">
        <v>798</v>
      </c>
      <c r="B40" s="30" t="s">
        <v>798</v>
      </c>
      <c r="C40" s="30" t="s">
        <v>799</v>
      </c>
      <c r="D40" s="42" t="s">
        <v>799</v>
      </c>
      <c r="E40" s="119" t="s">
        <v>2806</v>
      </c>
      <c r="F40" s="43" t="s">
        <v>2295</v>
      </c>
      <c r="G40" s="42" t="s">
        <v>1550</v>
      </c>
      <c r="H40" s="42" t="str">
        <f t="shared" si="2"/>
        <v>Rural Jefferson</v>
      </c>
      <c r="I40" s="44">
        <f>INDEX(FeeCalc!M:M,MATCH(C:C,FeeCalc!F:F,0))</f>
        <v>33153.128816681143</v>
      </c>
      <c r="J40" s="44">
        <f>INDEX(FeeCalc!L:L,MATCH(C:C,FeeCalc!F:F,0))</f>
        <v>610392.41363776312</v>
      </c>
      <c r="K40" s="44">
        <f t="shared" si="3"/>
        <v>643545.54245444422</v>
      </c>
      <c r="L40" s="44">
        <v>61305.08</v>
      </c>
      <c r="M40" s="44">
        <v>80650.429999999993</v>
      </c>
      <c r="N40" s="44">
        <f t="shared" si="4"/>
        <v>141955.51</v>
      </c>
      <c r="O40" s="44">
        <v>-12506.35994434261</v>
      </c>
      <c r="P40" s="44">
        <v>132041.37624716715</v>
      </c>
      <c r="Q40" s="44">
        <f t="shared" si="5"/>
        <v>119535.01630282454</v>
      </c>
      <c r="R40" s="44" t="str">
        <f t="shared" si="6"/>
        <v>No</v>
      </c>
      <c r="S40" s="45" t="str">
        <f t="shared" si="7"/>
        <v>Yes</v>
      </c>
      <c r="T40" s="46">
        <f>ROUND(INDEX(Summary!H:H,MATCH(H:H,Summary!A:A,0)),2)</f>
        <v>0</v>
      </c>
      <c r="U40" s="46">
        <f>ROUND(INDEX(Summary!I:I,MATCH(H:H,Summary!A:A,0)),2)</f>
        <v>0.23</v>
      </c>
      <c r="V40" s="79">
        <f t="shared" si="8"/>
        <v>0</v>
      </c>
      <c r="W40" s="79">
        <f t="shared" si="9"/>
        <v>140390.25513668553</v>
      </c>
      <c r="X40" s="44">
        <f t="shared" si="10"/>
        <v>140390.25513668553</v>
      </c>
      <c r="Y40" s="44" t="s">
        <v>2765</v>
      </c>
      <c r="Z40" s="44" t="str">
        <f t="shared" si="11"/>
        <v>No</v>
      </c>
      <c r="AA40" s="44" t="str">
        <f t="shared" si="12"/>
        <v>No</v>
      </c>
      <c r="AB40" s="44" t="str">
        <f t="shared" si="13"/>
        <v>No</v>
      </c>
      <c r="AC40" s="80">
        <f t="shared" si="21"/>
        <v>0</v>
      </c>
      <c r="AD40" s="80">
        <f t="shared" si="22"/>
        <v>0</v>
      </c>
      <c r="AE40" s="44">
        <f t="shared" si="23"/>
        <v>0</v>
      </c>
      <c r="AF40" s="44">
        <f t="shared" si="14"/>
        <v>0</v>
      </c>
      <c r="AG40" s="44">
        <f t="shared" si="15"/>
        <v>0</v>
      </c>
      <c r="AH40" s="46">
        <f>IF(Y40="No",0,IFERROR(ROUNDDOWN(INDEX('90% of ACR'!K:K,MATCH(H:H,'90% of ACR'!A:A,0))*IF(I40&gt;0,IF(O40&gt;0,$R$4*MAX(O40-V40,0),0),0)/I40,2),0))</f>
        <v>0</v>
      </c>
      <c r="AI40" s="80">
        <f>IF(Y40="No",0,IFERROR(ROUNDDOWN(INDEX('90% of ACR'!R:R,MATCH(H:H,'90% of ACR'!A:A,0))*IF(J40&gt;0,IF(P40&gt;0,$R$4*MAX(P40-W40,0),0),0)/J40,2),0))</f>
        <v>0</v>
      </c>
      <c r="AJ40" s="44">
        <f t="shared" si="16"/>
        <v>0</v>
      </c>
      <c r="AK40" s="44">
        <f t="shared" si="17"/>
        <v>0</v>
      </c>
      <c r="AL40" s="46">
        <f t="shared" si="18"/>
        <v>0</v>
      </c>
      <c r="AM40" s="46">
        <f t="shared" si="19"/>
        <v>0.23</v>
      </c>
      <c r="AN40" s="81">
        <f>IFERROR(INDEX(FeeCalc!P:P,MATCH(C40,FeeCalc!F:F,0)),0)</f>
        <v>140390.25513668553</v>
      </c>
      <c r="AO40" s="81">
        <f>IFERROR(INDEX(FeeCalc!S:S,MATCH(C40,FeeCalc!F:F,0)),0)</f>
        <v>8692.6780472104783</v>
      </c>
      <c r="AP40" s="81">
        <f t="shared" si="20"/>
        <v>149082.93318389601</v>
      </c>
      <c r="AQ40" s="68">
        <f t="shared" si="24"/>
        <v>58671.886520388645</v>
      </c>
      <c r="AR40" s="68">
        <f>INDEX('IGT Commitment Suggestions'!H:H,MATCH(G40,'IGT Commitment Suggestions'!A:A,0))*AQ40</f>
        <v>26850.673514090118</v>
      </c>
    </row>
    <row r="41" spans="1:44">
      <c r="A41" s="103" t="s">
        <v>1177</v>
      </c>
      <c r="B41" s="30" t="s">
        <v>1177</v>
      </c>
      <c r="C41" s="30" t="s">
        <v>1178</v>
      </c>
      <c r="D41" s="42" t="s">
        <v>1178</v>
      </c>
      <c r="E41" s="119" t="s">
        <v>2580</v>
      </c>
      <c r="F41" s="43" t="s">
        <v>2295</v>
      </c>
      <c r="G41" s="42" t="s">
        <v>1526</v>
      </c>
      <c r="H41" s="42" t="str">
        <f t="shared" si="2"/>
        <v>Rural Lubbock</v>
      </c>
      <c r="I41" s="44">
        <f>INDEX(FeeCalc!M:M,MATCH(C:C,FeeCalc!F:F,0))</f>
        <v>40375.984219920385</v>
      </c>
      <c r="J41" s="44">
        <f>INDEX(FeeCalc!L:L,MATCH(C:C,FeeCalc!F:F,0))</f>
        <v>349335.29446107714</v>
      </c>
      <c r="K41" s="44">
        <f t="shared" si="3"/>
        <v>389711.27868099755</v>
      </c>
      <c r="L41" s="44">
        <v>56850.14</v>
      </c>
      <c r="M41" s="44">
        <v>-5947.65</v>
      </c>
      <c r="N41" s="44">
        <f t="shared" si="4"/>
        <v>50902.49</v>
      </c>
      <c r="O41" s="44">
        <v>36557.346724628514</v>
      </c>
      <c r="P41" s="44">
        <v>45636.212695210415</v>
      </c>
      <c r="Q41" s="44">
        <f t="shared" si="5"/>
        <v>82193.55941983893</v>
      </c>
      <c r="R41" s="44" t="str">
        <f t="shared" si="6"/>
        <v>Yes</v>
      </c>
      <c r="S41" s="45" t="str">
        <f t="shared" si="7"/>
        <v>Yes</v>
      </c>
      <c r="T41" s="46">
        <f>ROUND(INDEX(Summary!H:H,MATCH(H:H,Summary!A:A,0)),2)</f>
        <v>0.62</v>
      </c>
      <c r="U41" s="46">
        <f>ROUND(INDEX(Summary!I:I,MATCH(H:H,Summary!A:A,0)),2)</f>
        <v>0.2</v>
      </c>
      <c r="V41" s="79">
        <f t="shared" si="8"/>
        <v>25033.11021635064</v>
      </c>
      <c r="W41" s="79">
        <f t="shared" si="9"/>
        <v>69867.058892215427</v>
      </c>
      <c r="X41" s="44">
        <f t="shared" si="10"/>
        <v>94900.169108566071</v>
      </c>
      <c r="Y41" s="44" t="s">
        <v>2765</v>
      </c>
      <c r="Z41" s="44" t="str">
        <f t="shared" si="11"/>
        <v>No</v>
      </c>
      <c r="AA41" s="44" t="str">
        <f t="shared" si="12"/>
        <v>No</v>
      </c>
      <c r="AB41" s="44" t="str">
        <f t="shared" si="13"/>
        <v>Yes</v>
      </c>
      <c r="AC41" s="80">
        <f t="shared" si="21"/>
        <v>0.2</v>
      </c>
      <c r="AD41" s="80">
        <f t="shared" si="22"/>
        <v>0</v>
      </c>
      <c r="AE41" s="44">
        <f t="shared" si="23"/>
        <v>8075.1968439840775</v>
      </c>
      <c r="AF41" s="44">
        <f t="shared" si="14"/>
        <v>0</v>
      </c>
      <c r="AG41" s="44">
        <f t="shared" si="15"/>
        <v>8075.1968439840775</v>
      </c>
      <c r="AH41" s="46">
        <f>IF(Y41="No",0,IFERROR(ROUNDDOWN(INDEX('90% of ACR'!K:K,MATCH(H:H,'90% of ACR'!A:A,0))*IF(I41&gt;0,IF(O41&gt;0,$R$4*MAX(O41-V41,0),0),0)/I41,2),0))</f>
        <v>0</v>
      </c>
      <c r="AI41" s="80">
        <f>IF(Y41="No",0,IFERROR(ROUNDDOWN(INDEX('90% of ACR'!R:R,MATCH(H:H,'90% of ACR'!A:A,0))*IF(J41&gt;0,IF(P41&gt;0,$R$4*MAX(P41-W41,0),0),0)/J41,2),0))</f>
        <v>0</v>
      </c>
      <c r="AJ41" s="44">
        <f t="shared" si="16"/>
        <v>0</v>
      </c>
      <c r="AK41" s="44">
        <f t="shared" si="17"/>
        <v>0</v>
      </c>
      <c r="AL41" s="46">
        <f t="shared" si="18"/>
        <v>0.62</v>
      </c>
      <c r="AM41" s="46">
        <f t="shared" si="19"/>
        <v>0.2</v>
      </c>
      <c r="AN41" s="81">
        <f>IFERROR(INDEX(FeeCalc!P:P,MATCH(C41,FeeCalc!F:F,0)),0)</f>
        <v>94900.169108566071</v>
      </c>
      <c r="AO41" s="81">
        <f>IFERROR(INDEX(FeeCalc!S:S,MATCH(C41,FeeCalc!F:F,0)),0)</f>
        <v>5837.2455087743019</v>
      </c>
      <c r="AP41" s="81">
        <f t="shared" si="20"/>
        <v>100737.41461734037</v>
      </c>
      <c r="AQ41" s="68">
        <f t="shared" si="24"/>
        <v>39645.410997483545</v>
      </c>
      <c r="AR41" s="68">
        <f>INDEX('IGT Commitment Suggestions'!H:H,MATCH(G41,'IGT Commitment Suggestions'!A:A,0))*AQ41</f>
        <v>18155.878751685945</v>
      </c>
    </row>
    <row r="42" spans="1:44">
      <c r="A42" s="103" t="s">
        <v>1706</v>
      </c>
      <c r="B42" s="30" t="s">
        <v>1706</v>
      </c>
      <c r="C42" s="30" t="s">
        <v>1707</v>
      </c>
      <c r="D42" s="42" t="s">
        <v>1707</v>
      </c>
      <c r="E42" s="119" t="s">
        <v>2618</v>
      </c>
      <c r="F42" s="43" t="s">
        <v>2295</v>
      </c>
      <c r="G42" s="42" t="s">
        <v>1486</v>
      </c>
      <c r="H42" s="42" t="str">
        <f t="shared" si="2"/>
        <v>Rural MRSA Central</v>
      </c>
      <c r="I42" s="44">
        <f>INDEX(FeeCalc!M:M,MATCH(C:C,FeeCalc!F:F,0))</f>
        <v>142539.64393803937</v>
      </c>
      <c r="J42" s="44">
        <f>INDEX(FeeCalc!L:L,MATCH(C:C,FeeCalc!F:F,0))</f>
        <v>519469.6066767305</v>
      </c>
      <c r="K42" s="44">
        <f t="shared" si="3"/>
        <v>662009.25061476987</v>
      </c>
      <c r="L42" s="44">
        <v>42300.24</v>
      </c>
      <c r="M42" s="44">
        <v>15717.99</v>
      </c>
      <c r="N42" s="44">
        <f t="shared" si="4"/>
        <v>58018.229999999996</v>
      </c>
      <c r="O42" s="44">
        <v>-22566.715848559717</v>
      </c>
      <c r="P42" s="44">
        <v>158427.79123804372</v>
      </c>
      <c r="Q42" s="44">
        <f t="shared" si="5"/>
        <v>135861.075389484</v>
      </c>
      <c r="R42" s="44" t="str">
        <f t="shared" si="6"/>
        <v>No</v>
      </c>
      <c r="S42" s="45" t="str">
        <f t="shared" si="7"/>
        <v>Yes</v>
      </c>
      <c r="T42" s="46">
        <f>ROUND(INDEX(Summary!H:H,MATCH(H:H,Summary!A:A,0)),2)</f>
        <v>0.11</v>
      </c>
      <c r="U42" s="46">
        <f>ROUND(INDEX(Summary!I:I,MATCH(H:H,Summary!A:A,0)),2)</f>
        <v>0.09</v>
      </c>
      <c r="V42" s="79">
        <f t="shared" si="8"/>
        <v>15679.360833184332</v>
      </c>
      <c r="W42" s="79">
        <f t="shared" si="9"/>
        <v>46752.264600905743</v>
      </c>
      <c r="X42" s="44">
        <f t="shared" si="10"/>
        <v>62431.625434090078</v>
      </c>
      <c r="Y42" s="44" t="s">
        <v>2765</v>
      </c>
      <c r="Z42" s="44" t="str">
        <f t="shared" si="11"/>
        <v>No</v>
      </c>
      <c r="AA42" s="44" t="str">
        <f t="shared" si="12"/>
        <v>Yes</v>
      </c>
      <c r="AB42" s="44" t="str">
        <f t="shared" si="13"/>
        <v>Yes</v>
      </c>
      <c r="AC42" s="80">
        <f t="shared" si="21"/>
        <v>0</v>
      </c>
      <c r="AD42" s="80">
        <f t="shared" si="22"/>
        <v>0.15</v>
      </c>
      <c r="AE42" s="44">
        <f t="shared" si="23"/>
        <v>0</v>
      </c>
      <c r="AF42" s="44">
        <f t="shared" si="14"/>
        <v>77920.441001509578</v>
      </c>
      <c r="AG42" s="44">
        <f t="shared" si="15"/>
        <v>77920.441001509578</v>
      </c>
      <c r="AH42" s="46">
        <f>IF(Y42="No",0,IFERROR(ROUNDDOWN(INDEX('90% of ACR'!K:K,MATCH(H:H,'90% of ACR'!A:A,0))*IF(I42&gt;0,IF(O42&gt;0,$R$4*MAX(O42-V42,0),0),0)/I42,2),0))</f>
        <v>0</v>
      </c>
      <c r="AI42" s="80">
        <f>IF(Y42="No",0,IFERROR(ROUNDDOWN(INDEX('90% of ACR'!R:R,MATCH(H:H,'90% of ACR'!A:A,0))*IF(J42&gt;0,IF(P42&gt;0,$R$4*MAX(P42-W42,0),0),0)/J42,2),0))</f>
        <v>0.14000000000000001</v>
      </c>
      <c r="AJ42" s="44">
        <f t="shared" si="16"/>
        <v>0</v>
      </c>
      <c r="AK42" s="44">
        <f t="shared" si="17"/>
        <v>72725.744934742281</v>
      </c>
      <c r="AL42" s="46">
        <f t="shared" si="18"/>
        <v>0.11</v>
      </c>
      <c r="AM42" s="46">
        <f t="shared" si="19"/>
        <v>0.23</v>
      </c>
      <c r="AN42" s="81">
        <f>IFERROR(INDEX(FeeCalc!P:P,MATCH(C42,FeeCalc!F:F,0)),0)</f>
        <v>135157.37036883234</v>
      </c>
      <c r="AO42" s="81">
        <f>IFERROR(INDEX(FeeCalc!S:S,MATCH(C42,FeeCalc!F:F,0)),0)</f>
        <v>8385.283505448313</v>
      </c>
      <c r="AP42" s="81">
        <f t="shared" si="20"/>
        <v>143542.65387428066</v>
      </c>
      <c r="AQ42" s="68">
        <f t="shared" si="24"/>
        <v>56491.498517530905</v>
      </c>
      <c r="AR42" s="68">
        <f>INDEX('IGT Commitment Suggestions'!H:H,MATCH(G42,'IGT Commitment Suggestions'!A:A,0))*AQ42</f>
        <v>25807.404663613972</v>
      </c>
    </row>
    <row r="43" spans="1:44">
      <c r="A43" s="103" t="s">
        <v>786</v>
      </c>
      <c r="B43" s="30" t="s">
        <v>786</v>
      </c>
      <c r="C43" s="30" t="s">
        <v>787</v>
      </c>
      <c r="D43" s="47" t="s">
        <v>787</v>
      </c>
      <c r="E43" s="119" t="s">
        <v>2807</v>
      </c>
      <c r="F43" s="43" t="s">
        <v>2295</v>
      </c>
      <c r="G43" s="43" t="s">
        <v>1526</v>
      </c>
      <c r="H43" s="42" t="str">
        <f t="shared" si="2"/>
        <v>Rural Lubbock</v>
      </c>
      <c r="I43" s="44">
        <f>INDEX(FeeCalc!M:M,MATCH(C:C,FeeCalc!F:F,0))</f>
        <v>309961.43144528451</v>
      </c>
      <c r="J43" s="44">
        <f>INDEX(FeeCalc!L:L,MATCH(C:C,FeeCalc!F:F,0))</f>
        <v>332446.4911826828</v>
      </c>
      <c r="K43" s="44">
        <f t="shared" si="3"/>
        <v>642407.92262796732</v>
      </c>
      <c r="L43" s="44">
        <v>884907.54</v>
      </c>
      <c r="M43" s="44">
        <v>160400.79</v>
      </c>
      <c r="N43" s="44">
        <f t="shared" si="4"/>
        <v>1045308.3300000001</v>
      </c>
      <c r="O43" s="44">
        <v>93870.877275271487</v>
      </c>
      <c r="P43" s="44">
        <v>180049.99396254902</v>
      </c>
      <c r="Q43" s="44">
        <f t="shared" si="5"/>
        <v>273920.87123782048</v>
      </c>
      <c r="R43" s="44" t="str">
        <f t="shared" si="6"/>
        <v>Yes</v>
      </c>
      <c r="S43" s="45" t="str">
        <f t="shared" si="7"/>
        <v>Yes</v>
      </c>
      <c r="T43" s="46">
        <f>ROUND(INDEX(Summary!H:H,MATCH(H:H,Summary!A:A,0)),2)</f>
        <v>0.62</v>
      </c>
      <c r="U43" s="46">
        <f>ROUND(INDEX(Summary!I:I,MATCH(H:H,Summary!A:A,0)),2)</f>
        <v>0.2</v>
      </c>
      <c r="V43" s="79">
        <f t="shared" si="8"/>
        <v>192176.08749607639</v>
      </c>
      <c r="W43" s="79">
        <f t="shared" si="9"/>
        <v>66489.298236536561</v>
      </c>
      <c r="X43" s="44">
        <f t="shared" si="10"/>
        <v>258665.38573261295</v>
      </c>
      <c r="Y43" s="44" t="s">
        <v>2765</v>
      </c>
      <c r="Z43" s="44" t="str">
        <f t="shared" si="11"/>
        <v>No</v>
      </c>
      <c r="AA43" s="44" t="str">
        <f t="shared" si="12"/>
        <v>Yes</v>
      </c>
      <c r="AB43" s="44" t="str">
        <f t="shared" si="13"/>
        <v>Yes</v>
      </c>
      <c r="AC43" s="80">
        <f t="shared" si="21"/>
        <v>0</v>
      </c>
      <c r="AD43" s="80">
        <f t="shared" si="22"/>
        <v>0.24</v>
      </c>
      <c r="AE43" s="44">
        <f t="shared" si="23"/>
        <v>0</v>
      </c>
      <c r="AF43" s="44">
        <f t="shared" si="14"/>
        <v>79787.157883843873</v>
      </c>
      <c r="AG43" s="44">
        <f t="shared" si="15"/>
        <v>79787.157883843873</v>
      </c>
      <c r="AH43" s="46">
        <f>IF(Y43="No",0,IFERROR(ROUNDDOWN(INDEX('90% of ACR'!K:K,MATCH(H:H,'90% of ACR'!A:A,0))*IF(I43&gt;0,IF(O43&gt;0,$R$4*MAX(O43-V43,0),0),0)/I43,2),0))</f>
        <v>0</v>
      </c>
      <c r="AI43" s="80">
        <f>IF(Y43="No",0,IFERROR(ROUNDDOWN(INDEX('90% of ACR'!R:R,MATCH(H:H,'90% of ACR'!A:A,0))*IF(J43&gt;0,IF(P43&gt;0,$R$4*MAX(P43-W43,0),0),0)/J43,2),0))</f>
        <v>0.19</v>
      </c>
      <c r="AJ43" s="44">
        <f t="shared" si="16"/>
        <v>0</v>
      </c>
      <c r="AK43" s="44">
        <f t="shared" si="17"/>
        <v>63164.833324709733</v>
      </c>
      <c r="AL43" s="46">
        <f t="shared" si="18"/>
        <v>0.62</v>
      </c>
      <c r="AM43" s="46">
        <f t="shared" si="19"/>
        <v>0.39</v>
      </c>
      <c r="AN43" s="81">
        <f>IFERROR(INDEX(FeeCalc!P:P,MATCH(C43,FeeCalc!F:F,0)),0)</f>
        <v>321830.21905732271</v>
      </c>
      <c r="AO43" s="81">
        <f>IFERROR(INDEX(FeeCalc!S:S,MATCH(C43,FeeCalc!F:F,0)),0)</f>
        <v>19773.845446438787</v>
      </c>
      <c r="AP43" s="81">
        <f t="shared" si="20"/>
        <v>341604.06450376147</v>
      </c>
      <c r="AQ43" s="68">
        <f t="shared" si="24"/>
        <v>134438.96279358436</v>
      </c>
      <c r="AR43" s="68">
        <f>INDEX('IGT Commitment Suggestions'!H:H,MATCH(G43,'IGT Commitment Suggestions'!A:A,0))*AQ43</f>
        <v>61567.21412568196</v>
      </c>
    </row>
    <row r="44" spans="1:44">
      <c r="A44" s="103" t="s">
        <v>106</v>
      </c>
      <c r="B44" s="30" t="s">
        <v>106</v>
      </c>
      <c r="C44" s="30" t="s">
        <v>107</v>
      </c>
      <c r="D44" s="42" t="s">
        <v>107</v>
      </c>
      <c r="E44" s="119" t="s">
        <v>2606</v>
      </c>
      <c r="F44" s="43" t="s">
        <v>2295</v>
      </c>
      <c r="G44" s="42" t="s">
        <v>227</v>
      </c>
      <c r="H44" s="42" t="str">
        <f t="shared" si="2"/>
        <v>Rural MRSA West</v>
      </c>
      <c r="I44" s="44">
        <f>INDEX(FeeCalc!M:M,MATCH(C:C,FeeCalc!F:F,0))</f>
        <v>241787.92089824818</v>
      </c>
      <c r="J44" s="44">
        <f>INDEX(FeeCalc!L:L,MATCH(C:C,FeeCalc!F:F,0))</f>
        <v>921233.84475151345</v>
      </c>
      <c r="K44" s="44">
        <f t="shared" si="3"/>
        <v>1163021.7656497615</v>
      </c>
      <c r="L44" s="44">
        <v>114458.78</v>
      </c>
      <c r="M44" s="44">
        <v>204700.55</v>
      </c>
      <c r="N44" s="44">
        <f t="shared" si="4"/>
        <v>319159.32999999996</v>
      </c>
      <c r="O44" s="44">
        <v>-68328.351084458365</v>
      </c>
      <c r="P44" s="44">
        <v>19763.93076844333</v>
      </c>
      <c r="Q44" s="44">
        <f t="shared" si="5"/>
        <v>-48564.420316015035</v>
      </c>
      <c r="R44" s="44" t="str">
        <f t="shared" si="6"/>
        <v>No</v>
      </c>
      <c r="S44" s="45" t="str">
        <f t="shared" si="7"/>
        <v>Yes</v>
      </c>
      <c r="T44" s="46">
        <f>ROUND(INDEX(Summary!H:H,MATCH(H:H,Summary!A:A,0)),2)</f>
        <v>0</v>
      </c>
      <c r="U44" s="46">
        <f>ROUND(INDEX(Summary!I:I,MATCH(H:H,Summary!A:A,0)),2)</f>
        <v>0.18</v>
      </c>
      <c r="V44" s="79">
        <f t="shared" si="8"/>
        <v>0</v>
      </c>
      <c r="W44" s="79">
        <f t="shared" si="9"/>
        <v>165822.09205527243</v>
      </c>
      <c r="X44" s="44">
        <f t="shared" si="10"/>
        <v>165822.09205527243</v>
      </c>
      <c r="Y44" s="44" t="s">
        <v>2765</v>
      </c>
      <c r="Z44" s="44" t="str">
        <f t="shared" si="11"/>
        <v>No</v>
      </c>
      <c r="AA44" s="44" t="str">
        <f t="shared" si="12"/>
        <v>No</v>
      </c>
      <c r="AB44" s="44" t="str">
        <f t="shared" si="13"/>
        <v>No</v>
      </c>
      <c r="AC44" s="80">
        <f t="shared" si="21"/>
        <v>0</v>
      </c>
      <c r="AD44" s="80">
        <f t="shared" si="22"/>
        <v>0</v>
      </c>
      <c r="AE44" s="44">
        <f t="shared" si="23"/>
        <v>0</v>
      </c>
      <c r="AF44" s="44">
        <f t="shared" si="14"/>
        <v>0</v>
      </c>
      <c r="AG44" s="44">
        <f t="shared" si="15"/>
        <v>0</v>
      </c>
      <c r="AH44" s="46">
        <f>IF(Y44="No",0,IFERROR(ROUNDDOWN(INDEX('90% of ACR'!K:K,MATCH(H:H,'90% of ACR'!A:A,0))*IF(I44&gt;0,IF(O44&gt;0,$R$4*MAX(O44-V44,0),0),0)/I44,2),0))</f>
        <v>0</v>
      </c>
      <c r="AI44" s="80">
        <f>IF(Y44="No",0,IFERROR(ROUNDDOWN(INDEX('90% of ACR'!R:R,MATCH(H:H,'90% of ACR'!A:A,0))*IF(J44&gt;0,IF(P44&gt;0,$R$4*MAX(P44-W44,0),0),0)/J44,2),0))</f>
        <v>0</v>
      </c>
      <c r="AJ44" s="44">
        <f t="shared" si="16"/>
        <v>0</v>
      </c>
      <c r="AK44" s="44">
        <f t="shared" si="17"/>
        <v>0</v>
      </c>
      <c r="AL44" s="46">
        <f t="shared" si="18"/>
        <v>0</v>
      </c>
      <c r="AM44" s="46">
        <f t="shared" si="19"/>
        <v>0.18</v>
      </c>
      <c r="AN44" s="81">
        <f>IFERROR(INDEX(FeeCalc!P:P,MATCH(C44,FeeCalc!F:F,0)),0)</f>
        <v>165822.09205527243</v>
      </c>
      <c r="AO44" s="81">
        <f>IFERROR(INDEX(FeeCalc!S:S,MATCH(C44,FeeCalc!F:F,0)),0)</f>
        <v>10180.392177387943</v>
      </c>
      <c r="AP44" s="81">
        <f t="shared" si="20"/>
        <v>176002.48423266038</v>
      </c>
      <c r="AQ44" s="68">
        <f t="shared" si="24"/>
        <v>69266.129674731957</v>
      </c>
      <c r="AR44" s="68">
        <f>INDEX('IGT Commitment Suggestions'!H:H,MATCH(G44,'IGT Commitment Suggestions'!A:A,0))*AQ44</f>
        <v>33944.812378347502</v>
      </c>
    </row>
    <row r="45" spans="1:44">
      <c r="A45" s="103" t="s">
        <v>611</v>
      </c>
      <c r="B45" s="30" t="s">
        <v>611</v>
      </c>
      <c r="C45" s="30" t="s">
        <v>612</v>
      </c>
      <c r="D45" s="42" t="s">
        <v>612</v>
      </c>
      <c r="E45" s="119" t="s">
        <v>2588</v>
      </c>
      <c r="F45" s="43" t="s">
        <v>2283</v>
      </c>
      <c r="G45" s="42" t="s">
        <v>1548</v>
      </c>
      <c r="H45" s="42" t="str">
        <f t="shared" si="2"/>
        <v>Urban Nueces</v>
      </c>
      <c r="I45" s="44">
        <f>INDEX(FeeCalc!M:M,MATCH(C:C,FeeCalc!F:F,0))</f>
        <v>2641175.09191901</v>
      </c>
      <c r="J45" s="44">
        <f>INDEX(FeeCalc!L:L,MATCH(C:C,FeeCalc!F:F,0))</f>
        <v>2628333.9265746577</v>
      </c>
      <c r="K45" s="44">
        <f t="shared" si="3"/>
        <v>5269509.0184936672</v>
      </c>
      <c r="L45" s="44">
        <v>1684986.42</v>
      </c>
      <c r="M45" s="44">
        <v>1831022.7</v>
      </c>
      <c r="N45" s="44">
        <f t="shared" si="4"/>
        <v>3516009.12</v>
      </c>
      <c r="O45" s="44">
        <v>2668097.9911794998</v>
      </c>
      <c r="P45" s="44">
        <v>2523795.2755434215</v>
      </c>
      <c r="Q45" s="44">
        <f t="shared" si="5"/>
        <v>5191893.2667229213</v>
      </c>
      <c r="R45" s="44" t="str">
        <f t="shared" si="6"/>
        <v>Yes</v>
      </c>
      <c r="S45" s="45" t="str">
        <f t="shared" si="7"/>
        <v>Yes</v>
      </c>
      <c r="T45" s="46">
        <f>ROUND(INDEX(Summary!H:H,MATCH(H:H,Summary!A:A,0)),2)</f>
        <v>0.33</v>
      </c>
      <c r="U45" s="46">
        <f>ROUND(INDEX(Summary!I:I,MATCH(H:H,Summary!A:A,0)),2)</f>
        <v>0.74</v>
      </c>
      <c r="V45" s="79">
        <f t="shared" si="8"/>
        <v>871587.78033327335</v>
      </c>
      <c r="W45" s="79">
        <f t="shared" si="9"/>
        <v>1944967.1056652467</v>
      </c>
      <c r="X45" s="44">
        <f t="shared" si="10"/>
        <v>2816554.8859985201</v>
      </c>
      <c r="Y45" s="44" t="s">
        <v>2765</v>
      </c>
      <c r="Z45" s="44" t="str">
        <f t="shared" si="11"/>
        <v>Yes</v>
      </c>
      <c r="AA45" s="44" t="str">
        <f t="shared" si="12"/>
        <v>Yes</v>
      </c>
      <c r="AB45" s="44" t="str">
        <f t="shared" si="13"/>
        <v>Yes</v>
      </c>
      <c r="AC45" s="80">
        <f t="shared" si="21"/>
        <v>0.47</v>
      </c>
      <c r="AD45" s="80">
        <f t="shared" si="22"/>
        <v>0.15</v>
      </c>
      <c r="AE45" s="44">
        <f t="shared" si="23"/>
        <v>1241352.2932019345</v>
      </c>
      <c r="AF45" s="44">
        <f t="shared" si="14"/>
        <v>394250.08898619865</v>
      </c>
      <c r="AG45" s="44">
        <f t="shared" si="15"/>
        <v>1635602.3821881332</v>
      </c>
      <c r="AH45" s="46">
        <f>IF(Y45="No",0,IFERROR(ROUNDDOWN(INDEX('90% of ACR'!K:K,MATCH(H:H,'90% of ACR'!A:A,0))*IF(I45&gt;0,IF(O45&gt;0,$R$4*MAX(O45-V45,0),0),0)/I45,2),0))</f>
        <v>0.47</v>
      </c>
      <c r="AI45" s="80">
        <f>IF(Y45="No",0,IFERROR(ROUNDDOWN(INDEX('90% of ACR'!R:R,MATCH(H:H,'90% of ACR'!A:A,0))*IF(J45&gt;0,IF(P45&gt;0,$R$4*MAX(P45-W45,0),0),0)/J45,2),0))</f>
        <v>0.13</v>
      </c>
      <c r="AJ45" s="44">
        <f t="shared" si="16"/>
        <v>1241352.2932019345</v>
      </c>
      <c r="AK45" s="44">
        <f t="shared" si="17"/>
        <v>341683.41045470553</v>
      </c>
      <c r="AL45" s="46">
        <f t="shared" si="18"/>
        <v>0.8</v>
      </c>
      <c r="AM45" s="46">
        <f t="shared" si="19"/>
        <v>0.87</v>
      </c>
      <c r="AN45" s="81">
        <f>IFERROR(INDEX(FeeCalc!P:P,MATCH(C45,FeeCalc!F:F,0)),0)</f>
        <v>4399590.5896551609</v>
      </c>
      <c r="AO45" s="81">
        <f>IFERROR(INDEX(FeeCalc!S:S,MATCH(C45,FeeCalc!F:F,0)),0)</f>
        <v>273733.07544741948</v>
      </c>
      <c r="AP45" s="81">
        <f t="shared" si="20"/>
        <v>4673323.6651025806</v>
      </c>
      <c r="AQ45" s="68">
        <f t="shared" si="24"/>
        <v>1839195.8750484511</v>
      </c>
      <c r="AR45" s="68">
        <f>INDEX('IGT Commitment Suggestions'!H:H,MATCH(G45,'IGT Commitment Suggestions'!A:A,0))*AQ45</f>
        <v>841254.08531947306</v>
      </c>
    </row>
    <row r="46" spans="1:44" ht="23.25">
      <c r="A46" s="103" t="s">
        <v>1515</v>
      </c>
      <c r="B46" s="30" t="s">
        <v>1515</v>
      </c>
      <c r="C46" s="30" t="s">
        <v>1516</v>
      </c>
      <c r="D46" s="42" t="s">
        <v>1516</v>
      </c>
      <c r="E46" s="119" t="s">
        <v>2734</v>
      </c>
      <c r="F46" s="43" t="s">
        <v>2544</v>
      </c>
      <c r="G46" s="42" t="s">
        <v>300</v>
      </c>
      <c r="H46" s="42" t="str">
        <f t="shared" si="2"/>
        <v>Non-state-owned IMD Harris</v>
      </c>
      <c r="I46" s="44">
        <f>INDEX(FeeCalc!M:M,MATCH(C:C,FeeCalc!F:F,0))</f>
        <v>1695322.4476820694</v>
      </c>
      <c r="J46" s="44">
        <f>INDEX(FeeCalc!L:L,MATCH(C:C,FeeCalc!F:F,0))</f>
        <v>0</v>
      </c>
      <c r="K46" s="44">
        <f t="shared" si="3"/>
        <v>1695322.4476820694</v>
      </c>
      <c r="L46" s="44">
        <v>539167.54</v>
      </c>
      <c r="M46" s="44">
        <v>0</v>
      </c>
      <c r="N46" s="44">
        <f t="shared" si="4"/>
        <v>539167.54</v>
      </c>
      <c r="O46" s="44">
        <v>440407.60592846852</v>
      </c>
      <c r="P46" s="44">
        <v>0</v>
      </c>
      <c r="Q46" s="44">
        <f t="shared" si="5"/>
        <v>440407.60592846852</v>
      </c>
      <c r="R46" s="44" t="str">
        <f t="shared" si="6"/>
        <v>Yes</v>
      </c>
      <c r="S46" s="45" t="str">
        <f t="shared" si="7"/>
        <v>No</v>
      </c>
      <c r="T46" s="46">
        <f>ROUND(INDEX(Summary!H:H,MATCH(H:H,Summary!A:A,0)),2)</f>
        <v>0.24</v>
      </c>
      <c r="U46" s="46">
        <f>ROUND(INDEX(Summary!I:I,MATCH(H:H,Summary!A:A,0)),2)</f>
        <v>0</v>
      </c>
      <c r="V46" s="79">
        <f t="shared" si="8"/>
        <v>406877.38744369661</v>
      </c>
      <c r="W46" s="79">
        <f t="shared" si="9"/>
        <v>0</v>
      </c>
      <c r="X46" s="44">
        <f t="shared" si="10"/>
        <v>406877.38744369661</v>
      </c>
      <c r="Y46" s="44" t="s">
        <v>2766</v>
      </c>
      <c r="Z46" s="44" t="str">
        <f t="shared" si="11"/>
        <v>No</v>
      </c>
      <c r="AA46" s="44" t="str">
        <f t="shared" si="12"/>
        <v>No</v>
      </c>
      <c r="AB46" s="44" t="str">
        <f t="shared" si="13"/>
        <v>No</v>
      </c>
      <c r="AC46" s="80">
        <f t="shared" si="21"/>
        <v>0</v>
      </c>
      <c r="AD46" s="80">
        <f t="shared" si="22"/>
        <v>0</v>
      </c>
      <c r="AE46" s="44">
        <f t="shared" si="23"/>
        <v>0</v>
      </c>
      <c r="AF46" s="44">
        <f t="shared" si="14"/>
        <v>0</v>
      </c>
      <c r="AG46" s="44">
        <f t="shared" si="15"/>
        <v>0</v>
      </c>
      <c r="AH46" s="46">
        <f>IF(Y46="No",0,IFERROR(ROUNDDOWN(INDEX('90% of ACR'!K:K,MATCH(H:H,'90% of ACR'!A:A,0))*IF(I46&gt;0,IF(O46&gt;0,$R$4*MAX(O46-V46,0),0),0)/I46,2),0))</f>
        <v>0</v>
      </c>
      <c r="AI46" s="80">
        <f>IF(Y46="No",0,IFERROR(ROUNDDOWN(INDEX('90% of ACR'!R:R,MATCH(H:H,'90% of ACR'!A:A,0))*IF(J46&gt;0,IF(P46&gt;0,$R$4*MAX(P46-W46,0),0),0)/J46,2),0))</f>
        <v>0</v>
      </c>
      <c r="AJ46" s="44">
        <f t="shared" si="16"/>
        <v>0</v>
      </c>
      <c r="AK46" s="44">
        <f t="shared" si="17"/>
        <v>0</v>
      </c>
      <c r="AL46" s="46">
        <f t="shared" si="18"/>
        <v>0.24</v>
      </c>
      <c r="AM46" s="46">
        <f t="shared" si="19"/>
        <v>0</v>
      </c>
      <c r="AN46" s="81">
        <f>IFERROR(INDEX(FeeCalc!P:P,MATCH(C46,FeeCalc!F:F,0)),0)</f>
        <v>406877.38744369661</v>
      </c>
      <c r="AO46" s="81">
        <f>IFERROR(INDEX(FeeCalc!S:S,MATCH(C46,FeeCalc!F:F,0)),0)</f>
        <v>24822.758385159214</v>
      </c>
      <c r="AP46" s="81">
        <f t="shared" si="20"/>
        <v>431700.14582885581</v>
      </c>
      <c r="AQ46" s="68">
        <f t="shared" si="24"/>
        <v>169896.45579123788</v>
      </c>
      <c r="AR46" s="68">
        <f>INDEX('IGT Commitment Suggestions'!H:H,MATCH(G46,'IGT Commitment Suggestions'!A:A,0))*AQ46</f>
        <v>77947.445383710306</v>
      </c>
    </row>
    <row r="47" spans="1:44">
      <c r="A47" s="103" t="s">
        <v>895</v>
      </c>
      <c r="B47" s="30" t="s">
        <v>895</v>
      </c>
      <c r="C47" s="30" t="s">
        <v>896</v>
      </c>
      <c r="D47" s="42" t="s">
        <v>896</v>
      </c>
      <c r="E47" s="119" t="s">
        <v>2472</v>
      </c>
      <c r="F47" s="43" t="s">
        <v>2295</v>
      </c>
      <c r="G47" s="42" t="s">
        <v>227</v>
      </c>
      <c r="H47" s="42" t="str">
        <f t="shared" si="2"/>
        <v>Rural MRSA West</v>
      </c>
      <c r="I47" s="44">
        <f>INDEX(FeeCalc!M:M,MATCH(C:C,FeeCalc!F:F,0))</f>
        <v>1058192.6251957668</v>
      </c>
      <c r="J47" s="44">
        <f>INDEX(FeeCalc!L:L,MATCH(C:C,FeeCalc!F:F,0))</f>
        <v>583516.20752745518</v>
      </c>
      <c r="K47" s="44">
        <f t="shared" si="3"/>
        <v>1641708.832723222</v>
      </c>
      <c r="L47" s="44">
        <v>-125983.81</v>
      </c>
      <c r="M47" s="44">
        <v>-48677.35</v>
      </c>
      <c r="N47" s="44">
        <f t="shared" si="4"/>
        <v>-174661.16</v>
      </c>
      <c r="O47" s="44">
        <v>138745.64528741932</v>
      </c>
      <c r="P47" s="44">
        <v>317613.86857168138</v>
      </c>
      <c r="Q47" s="44">
        <f t="shared" si="5"/>
        <v>456359.5138591007</v>
      </c>
      <c r="R47" s="44" t="str">
        <f t="shared" si="6"/>
        <v>Yes</v>
      </c>
      <c r="S47" s="45" t="str">
        <f t="shared" si="7"/>
        <v>Yes</v>
      </c>
      <c r="T47" s="46">
        <f>ROUND(INDEX(Summary!H:H,MATCH(H:H,Summary!A:A,0)),2)</f>
        <v>0</v>
      </c>
      <c r="U47" s="46">
        <f>ROUND(INDEX(Summary!I:I,MATCH(H:H,Summary!A:A,0)),2)</f>
        <v>0.18</v>
      </c>
      <c r="V47" s="79">
        <f t="shared" si="8"/>
        <v>0</v>
      </c>
      <c r="W47" s="79">
        <f t="shared" si="9"/>
        <v>105032.91735494192</v>
      </c>
      <c r="X47" s="44">
        <f t="shared" si="10"/>
        <v>105032.91735494192</v>
      </c>
      <c r="Y47" s="44" t="s">
        <v>2766</v>
      </c>
      <c r="Z47" s="44" t="str">
        <f t="shared" si="11"/>
        <v>No</v>
      </c>
      <c r="AA47" s="44" t="str">
        <f t="shared" si="12"/>
        <v>No</v>
      </c>
      <c r="AB47" s="44" t="str">
        <f t="shared" si="13"/>
        <v>No</v>
      </c>
      <c r="AC47" s="80">
        <f t="shared" si="21"/>
        <v>0</v>
      </c>
      <c r="AD47" s="80">
        <f t="shared" si="22"/>
        <v>0</v>
      </c>
      <c r="AE47" s="44">
        <f t="shared" si="23"/>
        <v>0</v>
      </c>
      <c r="AF47" s="44">
        <f t="shared" si="14"/>
        <v>0</v>
      </c>
      <c r="AG47" s="44">
        <f t="shared" si="15"/>
        <v>0</v>
      </c>
      <c r="AH47" s="46">
        <f>IF(Y47="No",0,IFERROR(ROUNDDOWN(INDEX('90% of ACR'!K:K,MATCH(H:H,'90% of ACR'!A:A,0))*IF(I47&gt;0,IF(O47&gt;0,$R$4*MAX(O47-V47,0),0),0)/I47,2),0))</f>
        <v>0</v>
      </c>
      <c r="AI47" s="80">
        <f>IF(Y47="No",0,IFERROR(ROUNDDOWN(INDEX('90% of ACR'!R:R,MATCH(H:H,'90% of ACR'!A:A,0))*IF(J47&gt;0,IF(P47&gt;0,$R$4*MAX(P47-W47,0),0),0)/J47,2),0))</f>
        <v>0</v>
      </c>
      <c r="AJ47" s="44">
        <f t="shared" si="16"/>
        <v>0</v>
      </c>
      <c r="AK47" s="44">
        <f t="shared" si="17"/>
        <v>0</v>
      </c>
      <c r="AL47" s="46">
        <f t="shared" si="18"/>
        <v>0</v>
      </c>
      <c r="AM47" s="46">
        <f t="shared" si="19"/>
        <v>0.18</v>
      </c>
      <c r="AN47" s="81">
        <f>IFERROR(INDEX(FeeCalc!P:P,MATCH(C47,FeeCalc!F:F,0)),0)</f>
        <v>105032.91735494192</v>
      </c>
      <c r="AO47" s="81">
        <f>IFERROR(INDEX(FeeCalc!S:S,MATCH(C47,FeeCalc!F:F,0)),0)</f>
        <v>6425.3893610943742</v>
      </c>
      <c r="AP47" s="81">
        <f t="shared" si="20"/>
        <v>111458.3067160363</v>
      </c>
      <c r="AQ47" s="68">
        <f t="shared" si="24"/>
        <v>43864.639524709521</v>
      </c>
      <c r="AR47" s="68">
        <f>INDEX('IGT Commitment Suggestions'!H:H,MATCH(G47,'IGT Commitment Suggestions'!A:A,0))*AQ47</f>
        <v>21496.465382174865</v>
      </c>
    </row>
    <row r="48" spans="1:44">
      <c r="A48" s="103" t="s">
        <v>835</v>
      </c>
      <c r="B48" s="30" t="s">
        <v>835</v>
      </c>
      <c r="C48" s="30" t="s">
        <v>836</v>
      </c>
      <c r="D48" s="42" t="s">
        <v>836</v>
      </c>
      <c r="E48" s="119" t="s">
        <v>2614</v>
      </c>
      <c r="F48" s="43" t="s">
        <v>2283</v>
      </c>
      <c r="G48" s="42" t="s">
        <v>300</v>
      </c>
      <c r="H48" s="42" t="str">
        <f t="shared" si="2"/>
        <v>Urban Harris</v>
      </c>
      <c r="I48" s="44">
        <f>INDEX(FeeCalc!M:M,MATCH(C:C,FeeCalc!F:F,0))</f>
        <v>134586536.88587189</v>
      </c>
      <c r="J48" s="44">
        <f>INDEX(FeeCalc!L:L,MATCH(C:C,FeeCalc!F:F,0))</f>
        <v>43900660.77294343</v>
      </c>
      <c r="K48" s="44">
        <f t="shared" si="3"/>
        <v>178487197.65881532</v>
      </c>
      <c r="L48" s="44">
        <v>88420921.989999995</v>
      </c>
      <c r="M48" s="44">
        <v>17273063.629999999</v>
      </c>
      <c r="N48" s="44">
        <f t="shared" si="4"/>
        <v>105693985.61999999</v>
      </c>
      <c r="O48" s="44">
        <v>221658970.35858157</v>
      </c>
      <c r="P48" s="44">
        <v>32979998.709189653</v>
      </c>
      <c r="Q48" s="44">
        <f t="shared" si="5"/>
        <v>254638969.06777123</v>
      </c>
      <c r="R48" s="44" t="str">
        <f t="shared" si="6"/>
        <v>Yes</v>
      </c>
      <c r="S48" s="45" t="str">
        <f t="shared" si="7"/>
        <v>Yes</v>
      </c>
      <c r="T48" s="46">
        <f>ROUND(INDEX(Summary!H:H,MATCH(H:H,Summary!A:A,0)),2)</f>
        <v>1.74</v>
      </c>
      <c r="U48" s="46">
        <f>ROUND(INDEX(Summary!I:I,MATCH(H:H,Summary!A:A,0)),2)</f>
        <v>0.33</v>
      </c>
      <c r="V48" s="79">
        <f t="shared" si="8"/>
        <v>234180574.18141708</v>
      </c>
      <c r="W48" s="79">
        <f t="shared" si="9"/>
        <v>14487218.055071332</v>
      </c>
      <c r="X48" s="44">
        <f t="shared" si="10"/>
        <v>248667792.2364884</v>
      </c>
      <c r="Y48" s="44" t="s">
        <v>2765</v>
      </c>
      <c r="Z48" s="44" t="str">
        <f t="shared" si="11"/>
        <v>No</v>
      </c>
      <c r="AA48" s="44" t="str">
        <f t="shared" si="12"/>
        <v>Yes</v>
      </c>
      <c r="AB48" s="44" t="str">
        <f t="shared" si="13"/>
        <v>Yes</v>
      </c>
      <c r="AC48" s="80">
        <f t="shared" si="21"/>
        <v>0</v>
      </c>
      <c r="AD48" s="80">
        <f t="shared" si="22"/>
        <v>0.28999999999999998</v>
      </c>
      <c r="AE48" s="44">
        <f t="shared" si="23"/>
        <v>0</v>
      </c>
      <c r="AF48" s="44">
        <f t="shared" si="14"/>
        <v>12731191.624153594</v>
      </c>
      <c r="AG48" s="44">
        <f t="shared" si="15"/>
        <v>12731191.624153594</v>
      </c>
      <c r="AH48" s="46">
        <f>IF(Y48="No",0,IFERROR(ROUNDDOWN(INDEX('90% of ACR'!K:K,MATCH(H:H,'90% of ACR'!A:A,0))*IF(I48&gt;0,IF(O48&gt;0,$R$4*MAX(O48-V48,0),0),0)/I48,2),0))</f>
        <v>0</v>
      </c>
      <c r="AI48" s="80">
        <f>IF(Y48="No",0,IFERROR(ROUNDDOWN(INDEX('90% of ACR'!R:R,MATCH(H:H,'90% of ACR'!A:A,0))*IF(J48&gt;0,IF(P48&gt;0,$R$4*MAX(P48-W48,0),0),0)/J48,2),0))</f>
        <v>0.27</v>
      </c>
      <c r="AJ48" s="44">
        <f t="shared" si="16"/>
        <v>0</v>
      </c>
      <c r="AK48" s="44">
        <f t="shared" si="17"/>
        <v>11853178.408694727</v>
      </c>
      <c r="AL48" s="46">
        <f t="shared" si="18"/>
        <v>1.74</v>
      </c>
      <c r="AM48" s="46">
        <f t="shared" si="19"/>
        <v>0.60000000000000009</v>
      </c>
      <c r="AN48" s="81">
        <f>IFERROR(INDEX(FeeCalc!P:P,MATCH(C48,FeeCalc!F:F,0)),0)</f>
        <v>260520970.64518315</v>
      </c>
      <c r="AO48" s="81">
        <f>IFERROR(INDEX(FeeCalc!S:S,MATCH(C48,FeeCalc!F:F,0)),0)</f>
        <v>16028176.640432537</v>
      </c>
      <c r="AP48" s="81">
        <f t="shared" si="20"/>
        <v>276549147.28561568</v>
      </c>
      <c r="AQ48" s="68">
        <f t="shared" si="24"/>
        <v>108836470.01254864</v>
      </c>
      <c r="AR48" s="68">
        <f>INDEX('IGT Commitment Suggestions'!H:H,MATCH(G48,'IGT Commitment Suggestions'!A:A,0))*AQ48</f>
        <v>49933500.746379219</v>
      </c>
    </row>
    <row r="49" spans="1:44">
      <c r="A49" s="103" t="s">
        <v>13</v>
      </c>
      <c r="B49" s="30" t="s">
        <v>13</v>
      </c>
      <c r="C49" s="30" t="s">
        <v>14</v>
      </c>
      <c r="D49" s="42" t="s">
        <v>14</v>
      </c>
      <c r="E49" s="119" t="s">
        <v>2808</v>
      </c>
      <c r="F49" s="43" t="s">
        <v>2283</v>
      </c>
      <c r="G49" s="42" t="s">
        <v>300</v>
      </c>
      <c r="H49" s="42" t="str">
        <f t="shared" si="2"/>
        <v>Urban Harris</v>
      </c>
      <c r="I49" s="44">
        <f>INDEX(FeeCalc!M:M,MATCH(C:C,FeeCalc!F:F,0))</f>
        <v>58220982.093577549</v>
      </c>
      <c r="J49" s="44">
        <f>INDEX(FeeCalc!L:L,MATCH(C:C,FeeCalc!F:F,0))</f>
        <v>32469378.734522011</v>
      </c>
      <c r="K49" s="44">
        <f t="shared" si="3"/>
        <v>90690360.828099564</v>
      </c>
      <c r="L49" s="44">
        <v>38320566.979999997</v>
      </c>
      <c r="M49" s="44">
        <v>11427601.41</v>
      </c>
      <c r="N49" s="44">
        <f t="shared" si="4"/>
        <v>49748168.390000001</v>
      </c>
      <c r="O49" s="44">
        <v>89723483.605964661</v>
      </c>
      <c r="P49" s="44">
        <v>19998445.432117719</v>
      </c>
      <c r="Q49" s="44">
        <f t="shared" si="5"/>
        <v>109721929.03808238</v>
      </c>
      <c r="R49" s="44" t="str">
        <f t="shared" si="6"/>
        <v>Yes</v>
      </c>
      <c r="S49" s="45" t="str">
        <f t="shared" si="7"/>
        <v>Yes</v>
      </c>
      <c r="T49" s="46">
        <f>ROUND(INDEX(Summary!H:H,MATCH(H:H,Summary!A:A,0)),2)</f>
        <v>1.74</v>
      </c>
      <c r="U49" s="46">
        <f>ROUND(INDEX(Summary!I:I,MATCH(H:H,Summary!A:A,0)),2)</f>
        <v>0.33</v>
      </c>
      <c r="V49" s="79">
        <f t="shared" si="8"/>
        <v>101304508.84282494</v>
      </c>
      <c r="W49" s="79">
        <f t="shared" si="9"/>
        <v>10714894.982392265</v>
      </c>
      <c r="X49" s="44">
        <f t="shared" si="10"/>
        <v>112019403.8252172</v>
      </c>
      <c r="Y49" s="44" t="s">
        <v>2765</v>
      </c>
      <c r="Z49" s="44" t="str">
        <f t="shared" si="11"/>
        <v>No</v>
      </c>
      <c r="AA49" s="44" t="str">
        <f t="shared" si="12"/>
        <v>Yes</v>
      </c>
      <c r="AB49" s="44" t="str">
        <f t="shared" si="13"/>
        <v>Yes</v>
      </c>
      <c r="AC49" s="80">
        <f t="shared" si="21"/>
        <v>0</v>
      </c>
      <c r="AD49" s="80">
        <f t="shared" si="22"/>
        <v>0.2</v>
      </c>
      <c r="AE49" s="44">
        <f t="shared" si="23"/>
        <v>0</v>
      </c>
      <c r="AF49" s="44">
        <f t="shared" si="14"/>
        <v>6493875.746904403</v>
      </c>
      <c r="AG49" s="44">
        <f t="shared" si="15"/>
        <v>6493875.746904403</v>
      </c>
      <c r="AH49" s="46">
        <f>IF(Y49="No",0,IFERROR(ROUNDDOWN(INDEX('90% of ACR'!K:K,MATCH(H:H,'90% of ACR'!A:A,0))*IF(I49&gt;0,IF(O49&gt;0,$R$4*MAX(O49-V49,0),0),0)/I49,2),0))</f>
        <v>0</v>
      </c>
      <c r="AI49" s="80">
        <f>IF(Y49="No",0,IFERROR(ROUNDDOWN(INDEX('90% of ACR'!R:R,MATCH(H:H,'90% of ACR'!A:A,0))*IF(J49&gt;0,IF(P49&gt;0,$R$4*MAX(P49-W49,0),0),0)/J49,2),0))</f>
        <v>0.18</v>
      </c>
      <c r="AJ49" s="44">
        <f t="shared" si="16"/>
        <v>0</v>
      </c>
      <c r="AK49" s="44">
        <f t="shared" si="17"/>
        <v>5844488.1722139614</v>
      </c>
      <c r="AL49" s="46">
        <f t="shared" si="18"/>
        <v>1.74</v>
      </c>
      <c r="AM49" s="46">
        <f t="shared" si="19"/>
        <v>0.51</v>
      </c>
      <c r="AN49" s="81">
        <f>IFERROR(INDEX(FeeCalc!P:P,MATCH(C49,FeeCalc!F:F,0)),0)</f>
        <v>117863891.99743116</v>
      </c>
      <c r="AO49" s="81">
        <f>IFERROR(INDEX(FeeCalc!S:S,MATCH(C49,FeeCalc!F:F,0)),0)</f>
        <v>7333744.6086109625</v>
      </c>
      <c r="AP49" s="81">
        <f t="shared" si="20"/>
        <v>125197636.60604212</v>
      </c>
      <c r="AQ49" s="68">
        <f t="shared" si="24"/>
        <v>49271780.281581089</v>
      </c>
      <c r="AR49" s="68">
        <f>INDEX('IGT Commitment Suggestions'!H:H,MATCH(G49,'IGT Commitment Suggestions'!A:A,0))*AQ49</f>
        <v>22605588.707370725</v>
      </c>
    </row>
    <row r="50" spans="1:44">
      <c r="A50" s="103" t="s">
        <v>838</v>
      </c>
      <c r="B50" s="30" t="s">
        <v>838</v>
      </c>
      <c r="C50" s="30" t="s">
        <v>839</v>
      </c>
      <c r="D50" s="42" t="s">
        <v>839</v>
      </c>
      <c r="E50" s="119" t="s">
        <v>2809</v>
      </c>
      <c r="F50" s="43" t="s">
        <v>2283</v>
      </c>
      <c r="G50" s="42" t="s">
        <v>300</v>
      </c>
      <c r="H50" s="42" t="str">
        <f t="shared" si="2"/>
        <v>Urban Harris</v>
      </c>
      <c r="I50" s="44">
        <f>INDEX(FeeCalc!M:M,MATCH(C:C,FeeCalc!F:F,0))</f>
        <v>9959178.8775292691</v>
      </c>
      <c r="J50" s="44">
        <f>INDEX(FeeCalc!L:L,MATCH(C:C,FeeCalc!F:F,0))</f>
        <v>6794730.6649458921</v>
      </c>
      <c r="K50" s="44">
        <f t="shared" si="3"/>
        <v>16753909.54247516</v>
      </c>
      <c r="L50" s="44">
        <v>8629614.5199999996</v>
      </c>
      <c r="M50" s="44">
        <v>2533934.2599999998</v>
      </c>
      <c r="N50" s="44">
        <f t="shared" si="4"/>
        <v>11163548.779999999</v>
      </c>
      <c r="O50" s="44">
        <v>21441994.587682977</v>
      </c>
      <c r="P50" s="44">
        <v>4222064.5820884677</v>
      </c>
      <c r="Q50" s="44">
        <f t="shared" si="5"/>
        <v>25664059.169771444</v>
      </c>
      <c r="R50" s="44" t="str">
        <f t="shared" si="6"/>
        <v>Yes</v>
      </c>
      <c r="S50" s="45" t="str">
        <f t="shared" si="7"/>
        <v>Yes</v>
      </c>
      <c r="T50" s="46">
        <f>ROUND(INDEX(Summary!H:H,MATCH(H:H,Summary!A:A,0)),2)</f>
        <v>1.74</v>
      </c>
      <c r="U50" s="46">
        <f>ROUND(INDEX(Summary!I:I,MATCH(H:H,Summary!A:A,0)),2)</f>
        <v>0.33</v>
      </c>
      <c r="V50" s="79">
        <f t="shared" si="8"/>
        <v>17328971.246900927</v>
      </c>
      <c r="W50" s="79">
        <f t="shared" si="9"/>
        <v>2242261.1194321443</v>
      </c>
      <c r="X50" s="44">
        <f t="shared" si="10"/>
        <v>19571232.366333071</v>
      </c>
      <c r="Y50" s="44" t="s">
        <v>2765</v>
      </c>
      <c r="Z50" s="44" t="str">
        <f t="shared" si="11"/>
        <v>No</v>
      </c>
      <c r="AA50" s="44" t="str">
        <f t="shared" si="12"/>
        <v>Yes</v>
      </c>
      <c r="AB50" s="44" t="str">
        <f t="shared" si="13"/>
        <v>Yes</v>
      </c>
      <c r="AC50" s="80">
        <f t="shared" si="21"/>
        <v>0.28999999999999998</v>
      </c>
      <c r="AD50" s="80">
        <f t="shared" si="22"/>
        <v>0.2</v>
      </c>
      <c r="AE50" s="44">
        <f t="shared" si="23"/>
        <v>2888161.874483488</v>
      </c>
      <c r="AF50" s="44">
        <f t="shared" si="14"/>
        <v>1358946.1329891784</v>
      </c>
      <c r="AG50" s="44">
        <f t="shared" si="15"/>
        <v>4247108.007472666</v>
      </c>
      <c r="AH50" s="46">
        <f>IF(Y50="No",0,IFERROR(ROUNDDOWN(INDEX('90% of ACR'!K:K,MATCH(H:H,'90% of ACR'!A:A,0))*IF(I50&gt;0,IF(O50&gt;0,$R$4*MAX(O50-V50,0),0),0)/I50,2),0))</f>
        <v>0</v>
      </c>
      <c r="AI50" s="80">
        <f>IF(Y50="No",0,IFERROR(ROUNDDOWN(INDEX('90% of ACR'!R:R,MATCH(H:H,'90% of ACR'!A:A,0))*IF(J50&gt;0,IF(P50&gt;0,$R$4*MAX(P50-W50,0),0),0)/J50,2),0))</f>
        <v>0.18</v>
      </c>
      <c r="AJ50" s="44">
        <f t="shared" si="16"/>
        <v>0</v>
      </c>
      <c r="AK50" s="44">
        <f t="shared" si="17"/>
        <v>1223051.5196902605</v>
      </c>
      <c r="AL50" s="46">
        <f t="shared" si="18"/>
        <v>1.74</v>
      </c>
      <c r="AM50" s="46">
        <f t="shared" si="19"/>
        <v>0.51</v>
      </c>
      <c r="AN50" s="81">
        <f>IFERROR(INDEX(FeeCalc!P:P,MATCH(C50,FeeCalc!F:F,0)),0)</f>
        <v>20794283.886023331</v>
      </c>
      <c r="AO50" s="81">
        <f>IFERROR(INDEX(FeeCalc!S:S,MATCH(C50,FeeCalc!F:F,0)),0)</f>
        <v>1290394.0815748349</v>
      </c>
      <c r="AP50" s="81">
        <f t="shared" si="20"/>
        <v>22084677.967598166</v>
      </c>
      <c r="AQ50" s="68">
        <f t="shared" si="24"/>
        <v>8691469.183504194</v>
      </c>
      <c r="AR50" s="68">
        <f>INDEX('IGT Commitment Suggestions'!H:H,MATCH(G50,'IGT Commitment Suggestions'!A:A,0))*AQ50</f>
        <v>3987592.4211029606</v>
      </c>
    </row>
    <row r="51" spans="1:44">
      <c r="A51" s="103" t="s">
        <v>246</v>
      </c>
      <c r="B51" s="30" t="s">
        <v>246</v>
      </c>
      <c r="C51" s="30" t="s">
        <v>247</v>
      </c>
      <c r="D51" s="42" t="s">
        <v>247</v>
      </c>
      <c r="E51" s="119" t="s">
        <v>2810</v>
      </c>
      <c r="F51" s="43" t="s">
        <v>2283</v>
      </c>
      <c r="G51" s="42" t="s">
        <v>300</v>
      </c>
      <c r="H51" s="42" t="str">
        <f t="shared" si="2"/>
        <v>Urban Harris</v>
      </c>
      <c r="I51" s="44">
        <f>INDEX(FeeCalc!M:M,MATCH(C:C,FeeCalc!F:F,0))</f>
        <v>5589143.3541319836</v>
      </c>
      <c r="J51" s="44">
        <f>INDEX(FeeCalc!L:L,MATCH(C:C,FeeCalc!F:F,0))</f>
        <v>5854759.6545303259</v>
      </c>
      <c r="K51" s="44">
        <f t="shared" si="3"/>
        <v>11443903.008662309</v>
      </c>
      <c r="L51" s="44">
        <v>5166449.8099999996</v>
      </c>
      <c r="M51" s="44">
        <v>1754517.53</v>
      </c>
      <c r="N51" s="44">
        <f t="shared" si="4"/>
        <v>6920967.3399999999</v>
      </c>
      <c r="O51" s="44">
        <v>10042852.962052241</v>
      </c>
      <c r="P51" s="44">
        <v>3417415.8123975527</v>
      </c>
      <c r="Q51" s="44">
        <f t="shared" si="5"/>
        <v>13460268.774449794</v>
      </c>
      <c r="R51" s="44" t="str">
        <f t="shared" si="6"/>
        <v>Yes</v>
      </c>
      <c r="S51" s="45" t="str">
        <f t="shared" si="7"/>
        <v>Yes</v>
      </c>
      <c r="T51" s="46">
        <f>ROUND(INDEX(Summary!H:H,MATCH(H:H,Summary!A:A,0)),2)</f>
        <v>1.74</v>
      </c>
      <c r="U51" s="46">
        <f>ROUND(INDEX(Summary!I:I,MATCH(H:H,Summary!A:A,0)),2)</f>
        <v>0.33</v>
      </c>
      <c r="V51" s="79">
        <f t="shared" si="8"/>
        <v>9725109.4361896515</v>
      </c>
      <c r="W51" s="79">
        <f t="shared" si="9"/>
        <v>1932070.6859950076</v>
      </c>
      <c r="X51" s="44">
        <f t="shared" si="10"/>
        <v>11657180.122184658</v>
      </c>
      <c r="Y51" s="44" t="s">
        <v>2765</v>
      </c>
      <c r="Z51" s="44" t="str">
        <f t="shared" si="11"/>
        <v>No</v>
      </c>
      <c r="AA51" s="44" t="str">
        <f t="shared" si="12"/>
        <v>Yes</v>
      </c>
      <c r="AB51" s="44" t="str">
        <f t="shared" si="13"/>
        <v>Yes</v>
      </c>
      <c r="AC51" s="80">
        <f t="shared" si="21"/>
        <v>0.04</v>
      </c>
      <c r="AD51" s="80">
        <f t="shared" si="22"/>
        <v>0.18</v>
      </c>
      <c r="AE51" s="44">
        <f t="shared" si="23"/>
        <v>223565.73416527934</v>
      </c>
      <c r="AF51" s="44">
        <f t="shared" si="14"/>
        <v>1053856.7378154586</v>
      </c>
      <c r="AG51" s="44">
        <f t="shared" si="15"/>
        <v>1277422.471980738</v>
      </c>
      <c r="AH51" s="46">
        <f>IF(Y51="No",0,IFERROR(ROUNDDOWN(INDEX('90% of ACR'!K:K,MATCH(H:H,'90% of ACR'!A:A,0))*IF(I51&gt;0,IF(O51&gt;0,$R$4*MAX(O51-V51,0),0),0)/I51,2),0))</f>
        <v>0</v>
      </c>
      <c r="AI51" s="80">
        <f>IF(Y51="No",0,IFERROR(ROUNDDOWN(INDEX('90% of ACR'!R:R,MATCH(H:H,'90% of ACR'!A:A,0))*IF(J51&gt;0,IF(P51&gt;0,$R$4*MAX(P51-W51,0),0),0)/J51,2),0))</f>
        <v>0.16</v>
      </c>
      <c r="AJ51" s="44">
        <f t="shared" si="16"/>
        <v>0</v>
      </c>
      <c r="AK51" s="44">
        <f t="shared" si="17"/>
        <v>936761.5447248522</v>
      </c>
      <c r="AL51" s="46">
        <f t="shared" si="18"/>
        <v>1.74</v>
      </c>
      <c r="AM51" s="46">
        <f t="shared" si="19"/>
        <v>0.49</v>
      </c>
      <c r="AN51" s="81">
        <f>IFERROR(INDEX(FeeCalc!P:P,MATCH(C51,FeeCalc!F:F,0)),0)</f>
        <v>12593941.666909512</v>
      </c>
      <c r="AO51" s="81">
        <f>IFERROR(INDEX(FeeCalc!S:S,MATCH(C51,FeeCalc!F:F,0)),0)</f>
        <v>775981.91726605687</v>
      </c>
      <c r="AP51" s="81">
        <f t="shared" si="20"/>
        <v>13369923.584175568</v>
      </c>
      <c r="AQ51" s="68">
        <f t="shared" si="24"/>
        <v>5261760.166399464</v>
      </c>
      <c r="AR51" s="68">
        <f>INDEX('IGT Commitment Suggestions'!H:H,MATCH(G51,'IGT Commitment Suggestions'!A:A,0))*AQ51</f>
        <v>2414063.0908544064</v>
      </c>
    </row>
    <row r="52" spans="1:44">
      <c r="A52" s="103" t="s">
        <v>240</v>
      </c>
      <c r="B52" s="30" t="s">
        <v>240</v>
      </c>
      <c r="C52" s="30" t="s">
        <v>241</v>
      </c>
      <c r="D52" s="42" t="s">
        <v>241</v>
      </c>
      <c r="E52" s="119" t="s">
        <v>2811</v>
      </c>
      <c r="F52" s="43" t="s">
        <v>2283</v>
      </c>
      <c r="G52" s="42" t="s">
        <v>300</v>
      </c>
      <c r="H52" s="42" t="str">
        <f t="shared" si="2"/>
        <v>Urban Harris</v>
      </c>
      <c r="I52" s="44">
        <f>INDEX(FeeCalc!M:M,MATCH(C:C,FeeCalc!F:F,0))</f>
        <v>3853195.5283351457</v>
      </c>
      <c r="J52" s="44">
        <f>INDEX(FeeCalc!L:L,MATCH(C:C,FeeCalc!F:F,0))</f>
        <v>4023919.2494073547</v>
      </c>
      <c r="K52" s="44">
        <f t="shared" si="3"/>
        <v>7877114.7777425004</v>
      </c>
      <c r="L52" s="44">
        <v>3875903.88</v>
      </c>
      <c r="M52" s="44">
        <v>1232599.48</v>
      </c>
      <c r="N52" s="44">
        <f t="shared" si="4"/>
        <v>5108503.3599999994</v>
      </c>
      <c r="O52" s="44">
        <v>8439220.4983919077</v>
      </c>
      <c r="P52" s="44">
        <v>2936754.0233350825</v>
      </c>
      <c r="Q52" s="44">
        <f t="shared" si="5"/>
        <v>11375974.52172699</v>
      </c>
      <c r="R52" s="44" t="str">
        <f t="shared" si="6"/>
        <v>Yes</v>
      </c>
      <c r="S52" s="45" t="str">
        <f t="shared" si="7"/>
        <v>Yes</v>
      </c>
      <c r="T52" s="46">
        <f>ROUND(INDEX(Summary!H:H,MATCH(H:H,Summary!A:A,0)),2)</f>
        <v>1.74</v>
      </c>
      <c r="U52" s="46">
        <f>ROUND(INDEX(Summary!I:I,MATCH(H:H,Summary!A:A,0)),2)</f>
        <v>0.33</v>
      </c>
      <c r="V52" s="79">
        <f t="shared" si="8"/>
        <v>6704560.2193031535</v>
      </c>
      <c r="W52" s="79">
        <f t="shared" si="9"/>
        <v>1327893.3523044272</v>
      </c>
      <c r="X52" s="44">
        <f t="shared" si="10"/>
        <v>8032453.5716075804</v>
      </c>
      <c r="Y52" s="44" t="s">
        <v>2765</v>
      </c>
      <c r="Z52" s="44" t="str">
        <f t="shared" si="11"/>
        <v>No</v>
      </c>
      <c r="AA52" s="44" t="str">
        <f t="shared" si="12"/>
        <v>Yes</v>
      </c>
      <c r="AB52" s="44" t="str">
        <f t="shared" si="13"/>
        <v>Yes</v>
      </c>
      <c r="AC52" s="80">
        <f t="shared" si="21"/>
        <v>0.31</v>
      </c>
      <c r="AD52" s="80">
        <f t="shared" si="22"/>
        <v>0.28000000000000003</v>
      </c>
      <c r="AE52" s="44">
        <f t="shared" si="23"/>
        <v>1194490.613783895</v>
      </c>
      <c r="AF52" s="44">
        <f t="shared" si="14"/>
        <v>1126697.3898340594</v>
      </c>
      <c r="AG52" s="44">
        <f t="shared" si="15"/>
        <v>2321188.0036179544</v>
      </c>
      <c r="AH52" s="46">
        <f>IF(Y52="No",0,IFERROR(ROUNDDOWN(INDEX('90% of ACR'!K:K,MATCH(H:H,'90% of ACR'!A:A,0))*IF(I52&gt;0,IF(O52&gt;0,$R$4*MAX(O52-V52,0),0),0)/I52,2),0))</f>
        <v>0</v>
      </c>
      <c r="AI52" s="80">
        <f>IF(Y52="No",0,IFERROR(ROUNDDOWN(INDEX('90% of ACR'!R:R,MATCH(H:H,'90% of ACR'!A:A,0))*IF(J52&gt;0,IF(P52&gt;0,$R$4*MAX(P52-W52,0),0),0)/J52,2),0))</f>
        <v>0.25</v>
      </c>
      <c r="AJ52" s="44">
        <f t="shared" si="16"/>
        <v>0</v>
      </c>
      <c r="AK52" s="44">
        <f t="shared" si="17"/>
        <v>1005979.8123518387</v>
      </c>
      <c r="AL52" s="46">
        <f t="shared" si="18"/>
        <v>1.74</v>
      </c>
      <c r="AM52" s="46">
        <f t="shared" si="19"/>
        <v>0.58000000000000007</v>
      </c>
      <c r="AN52" s="81">
        <f>IFERROR(INDEX(FeeCalc!P:P,MATCH(C52,FeeCalc!F:F,0)),0)</f>
        <v>9038433.38395942</v>
      </c>
      <c r="AO52" s="81">
        <f>IFERROR(INDEX(FeeCalc!S:S,MATCH(C52,FeeCalc!F:F,0)),0)</f>
        <v>563192.65282095631</v>
      </c>
      <c r="AP52" s="81">
        <f t="shared" si="20"/>
        <v>9601626.036780376</v>
      </c>
      <c r="AQ52" s="68">
        <f t="shared" si="24"/>
        <v>3778739.130026991</v>
      </c>
      <c r="AR52" s="68">
        <f>INDEX('IGT Commitment Suggestions'!H:H,MATCH(G52,'IGT Commitment Suggestions'!A:A,0))*AQ52</f>
        <v>1733662.1919823382</v>
      </c>
    </row>
    <row r="53" spans="1:44">
      <c r="A53" s="103" t="s">
        <v>243</v>
      </c>
      <c r="B53" s="123" t="s">
        <v>243</v>
      </c>
      <c r="C53" s="30" t="s">
        <v>244</v>
      </c>
      <c r="D53" s="124" t="s">
        <v>244</v>
      </c>
      <c r="E53" s="119" t="s">
        <v>2812</v>
      </c>
      <c r="F53" s="99" t="s">
        <v>2283</v>
      </c>
      <c r="G53" s="99" t="s">
        <v>300</v>
      </c>
      <c r="H53" s="42" t="str">
        <f t="shared" si="2"/>
        <v>Urban Harris</v>
      </c>
      <c r="I53" s="44">
        <f>INDEX(FeeCalc!M:M,MATCH(C:C,FeeCalc!F:F,0))</f>
        <v>9243695.8369969912</v>
      </c>
      <c r="J53" s="44">
        <f>INDEX(FeeCalc!L:L,MATCH(C:C,FeeCalc!F:F,0))</f>
        <v>7996756.764143127</v>
      </c>
      <c r="K53" s="44">
        <f t="shared" si="3"/>
        <v>17240452.601140119</v>
      </c>
      <c r="L53" s="44">
        <v>9294345.9499999993</v>
      </c>
      <c r="M53" s="44">
        <v>4034593.32</v>
      </c>
      <c r="N53" s="44">
        <f t="shared" si="4"/>
        <v>13328939.27</v>
      </c>
      <c r="O53" s="44">
        <v>17604841.557998933</v>
      </c>
      <c r="P53" s="44">
        <v>8217399.4302990884</v>
      </c>
      <c r="Q53" s="44">
        <f t="shared" si="5"/>
        <v>25822240.988298021</v>
      </c>
      <c r="R53" s="44" t="str">
        <f t="shared" si="6"/>
        <v>Yes</v>
      </c>
      <c r="S53" s="45" t="str">
        <f t="shared" si="7"/>
        <v>Yes</v>
      </c>
      <c r="T53" s="46">
        <f>ROUND(INDEX(Summary!H:H,MATCH(H:H,Summary!A:A,0)),2)</f>
        <v>1.74</v>
      </c>
      <c r="U53" s="46">
        <f>ROUND(INDEX(Summary!I:I,MATCH(H:H,Summary!A:A,0)),2)</f>
        <v>0.33</v>
      </c>
      <c r="V53" s="79">
        <f t="shared" si="8"/>
        <v>16084030.756374765</v>
      </c>
      <c r="W53" s="79">
        <f t="shared" si="9"/>
        <v>2638929.7321672319</v>
      </c>
      <c r="X53" s="44">
        <f t="shared" si="10"/>
        <v>18722960.488541998</v>
      </c>
      <c r="Y53" s="44" t="s">
        <v>2765</v>
      </c>
      <c r="Z53" s="44" t="str">
        <f t="shared" si="11"/>
        <v>No</v>
      </c>
      <c r="AA53" s="44" t="str">
        <f t="shared" si="12"/>
        <v>Yes</v>
      </c>
      <c r="AB53" s="44" t="str">
        <f t="shared" si="13"/>
        <v>Yes</v>
      </c>
      <c r="AC53" s="80">
        <f t="shared" si="21"/>
        <v>0.11</v>
      </c>
      <c r="AD53" s="80">
        <f t="shared" si="22"/>
        <v>0.49</v>
      </c>
      <c r="AE53" s="44">
        <f t="shared" si="23"/>
        <v>1016806.542069669</v>
      </c>
      <c r="AF53" s="44">
        <f t="shared" si="14"/>
        <v>3918410.814430132</v>
      </c>
      <c r="AG53" s="44">
        <f t="shared" si="15"/>
        <v>4935217.3564998014</v>
      </c>
      <c r="AH53" s="46">
        <f>IF(Y53="No",0,IFERROR(ROUNDDOWN(INDEX('90% of ACR'!K:K,MATCH(H:H,'90% of ACR'!A:A,0))*IF(I53&gt;0,IF(O53&gt;0,$R$4*MAX(O53-V53,0),0),0)/I53,2),0))</f>
        <v>0</v>
      </c>
      <c r="AI53" s="80">
        <f>IF(Y53="No",0,IFERROR(ROUNDDOWN(INDEX('90% of ACR'!R:R,MATCH(H:H,'90% of ACR'!A:A,0))*IF(J53&gt;0,IF(P53&gt;0,$R$4*MAX(P53-W53,0),0),0)/J53,2),0))</f>
        <v>0.45</v>
      </c>
      <c r="AJ53" s="44">
        <f t="shared" si="16"/>
        <v>0</v>
      </c>
      <c r="AK53" s="44">
        <f t="shared" si="17"/>
        <v>3598540.5438644071</v>
      </c>
      <c r="AL53" s="46">
        <f t="shared" si="18"/>
        <v>1.74</v>
      </c>
      <c r="AM53" s="46">
        <f t="shared" si="19"/>
        <v>0.78</v>
      </c>
      <c r="AN53" s="81">
        <f>IFERROR(INDEX(FeeCalc!P:P,MATCH(C53,FeeCalc!F:F,0)),0)</f>
        <v>22321501.032406405</v>
      </c>
      <c r="AO53" s="81">
        <f>IFERROR(INDEX(FeeCalc!S:S,MATCH(C53,FeeCalc!F:F,0)),0)</f>
        <v>1392437.2317130328</v>
      </c>
      <c r="AP53" s="81">
        <f t="shared" si="20"/>
        <v>23713938.264119439</v>
      </c>
      <c r="AQ53" s="68">
        <f t="shared" si="24"/>
        <v>9332667.831720734</v>
      </c>
      <c r="AR53" s="68">
        <f>INDEX('IGT Commitment Suggestions'!H:H,MATCH(G53,'IGT Commitment Suggestions'!A:A,0))*AQ53</f>
        <v>4281770.403681837</v>
      </c>
    </row>
    <row r="54" spans="1:44">
      <c r="A54" s="103" t="s">
        <v>1662</v>
      </c>
      <c r="B54" s="123" t="s">
        <v>1662</v>
      </c>
      <c r="C54" s="30" t="s">
        <v>1663</v>
      </c>
      <c r="D54" s="124" t="s">
        <v>1663</v>
      </c>
      <c r="E54" s="119" t="s">
        <v>2813</v>
      </c>
      <c r="F54" s="99" t="s">
        <v>2283</v>
      </c>
      <c r="G54" s="99" t="s">
        <v>300</v>
      </c>
      <c r="H54" s="42" t="str">
        <f t="shared" si="2"/>
        <v>Urban Harris</v>
      </c>
      <c r="I54" s="44">
        <f>INDEX(FeeCalc!M:M,MATCH(C:C,FeeCalc!F:F,0))</f>
        <v>152360.5527318737</v>
      </c>
      <c r="J54" s="44">
        <f>INDEX(FeeCalc!L:L,MATCH(C:C,FeeCalc!F:F,0))</f>
        <v>1326930.4590352776</v>
      </c>
      <c r="K54" s="44">
        <f t="shared" si="3"/>
        <v>1479291.0117671513</v>
      </c>
      <c r="L54" s="44">
        <v>278004.63</v>
      </c>
      <c r="M54" s="44">
        <v>0</v>
      </c>
      <c r="N54" s="44">
        <f t="shared" si="4"/>
        <v>278004.63</v>
      </c>
      <c r="O54" s="44">
        <v>587108.1429322093</v>
      </c>
      <c r="P54" s="44">
        <v>0</v>
      </c>
      <c r="Q54" s="44">
        <f t="shared" si="5"/>
        <v>587108.1429322093</v>
      </c>
      <c r="R54" s="44" t="str">
        <f t="shared" si="6"/>
        <v>Yes</v>
      </c>
      <c r="S54" s="45" t="str">
        <f t="shared" si="7"/>
        <v>No</v>
      </c>
      <c r="T54" s="46">
        <f>ROUND(INDEX(Summary!H:H,MATCH(H:H,Summary!A:A,0)),2)</f>
        <v>1.74</v>
      </c>
      <c r="U54" s="46">
        <f>ROUND(INDEX(Summary!I:I,MATCH(H:H,Summary!A:A,0)),2)</f>
        <v>0.33</v>
      </c>
      <c r="V54" s="79">
        <f t="shared" si="8"/>
        <v>265107.36175346025</v>
      </c>
      <c r="W54" s="79">
        <f t="shared" si="9"/>
        <v>437887.05148164165</v>
      </c>
      <c r="X54" s="44">
        <f t="shared" si="10"/>
        <v>702994.41323510185</v>
      </c>
      <c r="Y54" s="44" t="s">
        <v>2765</v>
      </c>
      <c r="Z54" s="44" t="str">
        <f t="shared" si="11"/>
        <v>No</v>
      </c>
      <c r="AA54" s="44" t="str">
        <f t="shared" si="12"/>
        <v>No</v>
      </c>
      <c r="AB54" s="44" t="str">
        <f t="shared" si="13"/>
        <v>Yes</v>
      </c>
      <c r="AC54" s="80">
        <f t="shared" si="21"/>
        <v>1.47</v>
      </c>
      <c r="AD54" s="80">
        <f t="shared" si="22"/>
        <v>0</v>
      </c>
      <c r="AE54" s="44">
        <f t="shared" si="23"/>
        <v>223970.01251585432</v>
      </c>
      <c r="AF54" s="44">
        <f t="shared" si="14"/>
        <v>0</v>
      </c>
      <c r="AG54" s="44">
        <f t="shared" si="15"/>
        <v>223970.01251585432</v>
      </c>
      <c r="AH54" s="46">
        <f>IF(Y54="No",0,IFERROR(ROUNDDOWN(INDEX('90% of ACR'!K:K,MATCH(H:H,'90% of ACR'!A:A,0))*IF(I54&gt;0,IF(O54&gt;0,$R$4*MAX(O54-V54,0),0),0)/I54,2),0))</f>
        <v>0</v>
      </c>
      <c r="AI54" s="80">
        <f>IF(Y54="No",0,IFERROR(ROUNDDOWN(INDEX('90% of ACR'!R:R,MATCH(H:H,'90% of ACR'!A:A,0))*IF(J54&gt;0,IF(P54&gt;0,$R$4*MAX(P54-W54,0),0),0)/J54,2),0))</f>
        <v>0</v>
      </c>
      <c r="AJ54" s="44">
        <f t="shared" si="16"/>
        <v>0</v>
      </c>
      <c r="AK54" s="44">
        <f t="shared" si="17"/>
        <v>0</v>
      </c>
      <c r="AL54" s="46">
        <f t="shared" si="18"/>
        <v>1.74</v>
      </c>
      <c r="AM54" s="46">
        <f t="shared" si="19"/>
        <v>0.33</v>
      </c>
      <c r="AN54" s="81">
        <f>IFERROR(INDEX(FeeCalc!P:P,MATCH(C54,FeeCalc!F:F,0)),0)</f>
        <v>702994.41323510185</v>
      </c>
      <c r="AO54" s="81">
        <f>IFERROR(INDEX(FeeCalc!S:S,MATCH(C54,FeeCalc!F:F,0)),0)</f>
        <v>44069.410376457759</v>
      </c>
      <c r="AP54" s="81">
        <f t="shared" si="20"/>
        <v>747063.82361155958</v>
      </c>
      <c r="AQ54" s="68">
        <f t="shared" si="24"/>
        <v>294008.46190997656</v>
      </c>
      <c r="AR54" s="68">
        <f>INDEX('IGT Commitment Suggestions'!H:H,MATCH(G54,'IGT Commitment Suggestions'!A:A,0))*AQ54</f>
        <v>134889.26782108002</v>
      </c>
    </row>
    <row r="55" spans="1:44">
      <c r="A55" s="103" t="s">
        <v>1474</v>
      </c>
      <c r="B55" s="123" t="s">
        <v>2617</v>
      </c>
      <c r="C55" s="30" t="s">
        <v>1475</v>
      </c>
      <c r="D55" s="124" t="s">
        <v>1475</v>
      </c>
      <c r="E55" s="119" t="s">
        <v>2814</v>
      </c>
      <c r="F55" s="99" t="s">
        <v>2283</v>
      </c>
      <c r="G55" s="99" t="s">
        <v>300</v>
      </c>
      <c r="H55" s="42" t="str">
        <f t="shared" si="2"/>
        <v>Urban Harris</v>
      </c>
      <c r="I55" s="44">
        <f>INDEX(FeeCalc!M:M,MATCH(C:C,FeeCalc!F:F,0))</f>
        <v>0</v>
      </c>
      <c r="J55" s="44">
        <f>INDEX(FeeCalc!L:L,MATCH(C:C,FeeCalc!F:F,0))</f>
        <v>559242.66301284684</v>
      </c>
      <c r="K55" s="44">
        <f t="shared" si="3"/>
        <v>559242.66301284684</v>
      </c>
      <c r="L55" s="44">
        <v>0</v>
      </c>
      <c r="M55" s="44">
        <v>0</v>
      </c>
      <c r="N55" s="44">
        <f t="shared" si="4"/>
        <v>0</v>
      </c>
      <c r="O55" s="44">
        <v>0</v>
      </c>
      <c r="P55" s="44">
        <v>0</v>
      </c>
      <c r="Q55" s="44">
        <f t="shared" si="5"/>
        <v>0</v>
      </c>
      <c r="R55" s="44" t="str">
        <f t="shared" si="6"/>
        <v>No</v>
      </c>
      <c r="S55" s="45" t="str">
        <f t="shared" si="7"/>
        <v>No</v>
      </c>
      <c r="T55" s="46">
        <f>ROUND(INDEX(Summary!H:H,MATCH(H:H,Summary!A:A,0)),2)</f>
        <v>1.74</v>
      </c>
      <c r="U55" s="46">
        <f>ROUND(INDEX(Summary!I:I,MATCH(H:H,Summary!A:A,0)),2)</f>
        <v>0.33</v>
      </c>
      <c r="V55" s="79">
        <f t="shared" si="8"/>
        <v>0</v>
      </c>
      <c r="W55" s="79">
        <f t="shared" si="9"/>
        <v>184550.07879423947</v>
      </c>
      <c r="X55" s="44">
        <f t="shared" si="10"/>
        <v>184550.07879423947</v>
      </c>
      <c r="Y55" s="44" t="s">
        <v>2765</v>
      </c>
      <c r="Z55" s="44" t="str">
        <f t="shared" si="11"/>
        <v>No</v>
      </c>
      <c r="AA55" s="44" t="str">
        <f t="shared" si="12"/>
        <v>No</v>
      </c>
      <c r="AB55" s="44" t="str">
        <f t="shared" si="13"/>
        <v>No</v>
      </c>
      <c r="AC55" s="80">
        <f t="shared" si="21"/>
        <v>0</v>
      </c>
      <c r="AD55" s="80">
        <f t="shared" si="22"/>
        <v>0</v>
      </c>
      <c r="AE55" s="44">
        <f t="shared" si="23"/>
        <v>0</v>
      </c>
      <c r="AF55" s="44">
        <f t="shared" si="14"/>
        <v>0</v>
      </c>
      <c r="AG55" s="44">
        <f t="shared" si="15"/>
        <v>0</v>
      </c>
      <c r="AH55" s="46">
        <f>IF(Y55="No",0,IFERROR(ROUNDDOWN(INDEX('90% of ACR'!K:K,MATCH(H:H,'90% of ACR'!A:A,0))*IF(I55&gt;0,IF(O55&gt;0,$R$4*MAX(O55-V55,0),0),0)/I55,2),0))</f>
        <v>0</v>
      </c>
      <c r="AI55" s="80">
        <f>IF(Y55="No",0,IFERROR(ROUNDDOWN(INDEX('90% of ACR'!R:R,MATCH(H:H,'90% of ACR'!A:A,0))*IF(J55&gt;0,IF(P55&gt;0,$R$4*MAX(P55-W55,0),0),0)/J55,2),0))</f>
        <v>0</v>
      </c>
      <c r="AJ55" s="44">
        <f t="shared" si="16"/>
        <v>0</v>
      </c>
      <c r="AK55" s="44">
        <f t="shared" si="17"/>
        <v>0</v>
      </c>
      <c r="AL55" s="46">
        <f t="shared" si="18"/>
        <v>1.74</v>
      </c>
      <c r="AM55" s="46">
        <f t="shared" si="19"/>
        <v>0.33</v>
      </c>
      <c r="AN55" s="81">
        <f>IFERROR(INDEX(FeeCalc!P:P,MATCH(C55,FeeCalc!F:F,0)),0)</f>
        <v>184550.07879423947</v>
      </c>
      <c r="AO55" s="81">
        <f>IFERROR(INDEX(FeeCalc!S:S,MATCH(C55,FeeCalc!F:F,0)),0)</f>
        <v>11395.61156852448</v>
      </c>
      <c r="AP55" s="81">
        <f t="shared" si="20"/>
        <v>195945.69036276394</v>
      </c>
      <c r="AQ55" s="68">
        <f t="shared" si="24"/>
        <v>77114.818333646486</v>
      </c>
      <c r="AR55" s="68">
        <f>INDEX('IGT Commitment Suggestions'!H:H,MATCH(G55,'IGT Commitment Suggestions'!A:A,0))*AQ55</f>
        <v>35379.802729508461</v>
      </c>
    </row>
    <row r="56" spans="1:44">
      <c r="A56" s="103" t="s">
        <v>155</v>
      </c>
      <c r="B56" s="123" t="s">
        <v>155</v>
      </c>
      <c r="C56" s="30" t="s">
        <v>156</v>
      </c>
      <c r="D56" s="124" t="s">
        <v>156</v>
      </c>
      <c r="E56" s="119" t="s">
        <v>2815</v>
      </c>
      <c r="F56" s="99" t="s">
        <v>2295</v>
      </c>
      <c r="G56" s="99" t="s">
        <v>227</v>
      </c>
      <c r="H56" s="42" t="str">
        <f t="shared" si="2"/>
        <v>Rural MRSA West</v>
      </c>
      <c r="I56" s="44">
        <f>INDEX(FeeCalc!M:M,MATCH(C:C,FeeCalc!F:F,0))</f>
        <v>135931.33536267476</v>
      </c>
      <c r="J56" s="44">
        <f>INDEX(FeeCalc!L:L,MATCH(C:C,FeeCalc!F:F,0))</f>
        <v>768791.18509566563</v>
      </c>
      <c r="K56" s="44">
        <f t="shared" si="3"/>
        <v>904722.52045834041</v>
      </c>
      <c r="L56" s="44">
        <v>-5868.22</v>
      </c>
      <c r="M56" s="44">
        <v>270460.82</v>
      </c>
      <c r="N56" s="44">
        <f t="shared" si="4"/>
        <v>264592.60000000003</v>
      </c>
      <c r="O56" s="44">
        <v>-10747.709202414437</v>
      </c>
      <c r="P56" s="44">
        <v>348261.54559588461</v>
      </c>
      <c r="Q56" s="44">
        <f t="shared" si="5"/>
        <v>337513.83639347018</v>
      </c>
      <c r="R56" s="44" t="str">
        <f t="shared" si="6"/>
        <v>No</v>
      </c>
      <c r="S56" s="45" t="str">
        <f t="shared" si="7"/>
        <v>Yes</v>
      </c>
      <c r="T56" s="46">
        <f>ROUND(INDEX(Summary!H:H,MATCH(H:H,Summary!A:A,0)),2)</f>
        <v>0</v>
      </c>
      <c r="U56" s="46">
        <f>ROUND(INDEX(Summary!I:I,MATCH(H:H,Summary!A:A,0)),2)</f>
        <v>0.18</v>
      </c>
      <c r="V56" s="79">
        <f t="shared" si="8"/>
        <v>0</v>
      </c>
      <c r="W56" s="79">
        <f t="shared" si="9"/>
        <v>138382.41331721982</v>
      </c>
      <c r="X56" s="44">
        <f t="shared" si="10"/>
        <v>138382.41331721982</v>
      </c>
      <c r="Y56" s="44" t="s">
        <v>2765</v>
      </c>
      <c r="Z56" s="44" t="str">
        <f t="shared" si="11"/>
        <v>No</v>
      </c>
      <c r="AA56" s="44" t="str">
        <f t="shared" si="12"/>
        <v>Yes</v>
      </c>
      <c r="AB56" s="44" t="str">
        <f t="shared" si="13"/>
        <v>Yes</v>
      </c>
      <c r="AC56" s="80">
        <f t="shared" si="21"/>
        <v>0</v>
      </c>
      <c r="AD56" s="80">
        <f t="shared" si="22"/>
        <v>0.19</v>
      </c>
      <c r="AE56" s="44">
        <f t="shared" si="23"/>
        <v>0</v>
      </c>
      <c r="AF56" s="44">
        <f t="shared" si="14"/>
        <v>146070.32516817647</v>
      </c>
      <c r="AG56" s="44">
        <f t="shared" si="15"/>
        <v>146070.32516817647</v>
      </c>
      <c r="AH56" s="46">
        <f>IF(Y56="No",0,IFERROR(ROUNDDOWN(INDEX('90% of ACR'!K:K,MATCH(H:H,'90% of ACR'!A:A,0))*IF(I56&gt;0,IF(O56&gt;0,$R$4*MAX(O56-V56,0),0),0)/I56,2),0))</f>
        <v>0</v>
      </c>
      <c r="AI56" s="80">
        <f>IF(Y56="No",0,IFERROR(ROUNDDOWN(INDEX('90% of ACR'!R:R,MATCH(H:H,'90% of ACR'!A:A,0))*IF(J56&gt;0,IF(P56&gt;0,$R$4*MAX(P56-W56,0),0),0)/J56,2),0))</f>
        <v>0.18</v>
      </c>
      <c r="AJ56" s="44">
        <f t="shared" si="16"/>
        <v>0</v>
      </c>
      <c r="AK56" s="44">
        <f t="shared" si="17"/>
        <v>138382.41331721982</v>
      </c>
      <c r="AL56" s="46">
        <f t="shared" si="18"/>
        <v>0</v>
      </c>
      <c r="AM56" s="46">
        <f t="shared" si="19"/>
        <v>0.36</v>
      </c>
      <c r="AN56" s="81">
        <f>IFERROR(INDEX(FeeCalc!P:P,MATCH(C56,FeeCalc!F:F,0)),0)</f>
        <v>276764.82663443964</v>
      </c>
      <c r="AO56" s="81">
        <f>IFERROR(INDEX(FeeCalc!S:S,MATCH(C56,FeeCalc!F:F,0)),0)</f>
        <v>17103.783249890846</v>
      </c>
      <c r="AP56" s="81">
        <f t="shared" si="20"/>
        <v>293868.60988433048</v>
      </c>
      <c r="AQ56" s="68">
        <f t="shared" si="24"/>
        <v>115652.57915719804</v>
      </c>
      <c r="AR56" s="68">
        <f>INDEX('IGT Commitment Suggestions'!H:H,MATCH(G56,'IGT Commitment Suggestions'!A:A,0))*AQ56</f>
        <v>56677.125154795387</v>
      </c>
    </row>
    <row r="57" spans="1:44">
      <c r="A57" s="103" t="s">
        <v>656</v>
      </c>
      <c r="B57" s="123" t="s">
        <v>656</v>
      </c>
      <c r="C57" s="30" t="s">
        <v>657</v>
      </c>
      <c r="D57" s="124" t="s">
        <v>657</v>
      </c>
      <c r="E57" s="119" t="s">
        <v>2816</v>
      </c>
      <c r="F57" s="99" t="s">
        <v>2295</v>
      </c>
      <c r="G57" s="99" t="s">
        <v>227</v>
      </c>
      <c r="H57" s="42" t="str">
        <f t="shared" si="2"/>
        <v>Rural MRSA West</v>
      </c>
      <c r="I57" s="44">
        <f>INDEX(FeeCalc!M:M,MATCH(C:C,FeeCalc!F:F,0))</f>
        <v>286477.09789380053</v>
      </c>
      <c r="J57" s="44">
        <f>INDEX(FeeCalc!L:L,MATCH(C:C,FeeCalc!F:F,0))</f>
        <v>528406.18934299995</v>
      </c>
      <c r="K57" s="44">
        <f t="shared" si="3"/>
        <v>814883.28723680042</v>
      </c>
      <c r="L57" s="44">
        <v>139487.6</v>
      </c>
      <c r="M57" s="44">
        <v>-5892.58</v>
      </c>
      <c r="N57" s="44">
        <f t="shared" si="4"/>
        <v>133595.02000000002</v>
      </c>
      <c r="O57" s="44">
        <v>-75380.308915066475</v>
      </c>
      <c r="P57" s="44">
        <v>37078.100942206744</v>
      </c>
      <c r="Q57" s="44">
        <f t="shared" si="5"/>
        <v>-38302.207972859731</v>
      </c>
      <c r="R57" s="44" t="str">
        <f t="shared" si="6"/>
        <v>No</v>
      </c>
      <c r="S57" s="45" t="str">
        <f t="shared" si="7"/>
        <v>Yes</v>
      </c>
      <c r="T57" s="46">
        <f>ROUND(INDEX(Summary!H:H,MATCH(H:H,Summary!A:A,0)),2)</f>
        <v>0</v>
      </c>
      <c r="U57" s="46">
        <f>ROUND(INDEX(Summary!I:I,MATCH(H:H,Summary!A:A,0)),2)</f>
        <v>0.18</v>
      </c>
      <c r="V57" s="79">
        <f t="shared" si="8"/>
        <v>0</v>
      </c>
      <c r="W57" s="79">
        <f t="shared" si="9"/>
        <v>95113.114081739986</v>
      </c>
      <c r="X57" s="44">
        <f t="shared" si="10"/>
        <v>95113.114081739986</v>
      </c>
      <c r="Y57" s="44" t="s">
        <v>2765</v>
      </c>
      <c r="Z57" s="44" t="str">
        <f t="shared" si="11"/>
        <v>No</v>
      </c>
      <c r="AA57" s="44" t="str">
        <f t="shared" si="12"/>
        <v>No</v>
      </c>
      <c r="AB57" s="44" t="str">
        <f t="shared" si="13"/>
        <v>No</v>
      </c>
      <c r="AC57" s="80">
        <f t="shared" si="21"/>
        <v>0</v>
      </c>
      <c r="AD57" s="80">
        <f t="shared" si="22"/>
        <v>0</v>
      </c>
      <c r="AE57" s="44">
        <f t="shared" si="23"/>
        <v>0</v>
      </c>
      <c r="AF57" s="44">
        <f t="shared" si="14"/>
        <v>0</v>
      </c>
      <c r="AG57" s="44">
        <f t="shared" si="15"/>
        <v>0</v>
      </c>
      <c r="AH57" s="46">
        <f>IF(Y57="No",0,IFERROR(ROUNDDOWN(INDEX('90% of ACR'!K:K,MATCH(H:H,'90% of ACR'!A:A,0))*IF(I57&gt;0,IF(O57&gt;0,$R$4*MAX(O57-V57,0),0),0)/I57,2),0))</f>
        <v>0</v>
      </c>
      <c r="AI57" s="80">
        <f>IF(Y57="No",0,IFERROR(ROUNDDOWN(INDEX('90% of ACR'!R:R,MATCH(H:H,'90% of ACR'!A:A,0))*IF(J57&gt;0,IF(P57&gt;0,$R$4*MAX(P57-W57,0),0),0)/J57,2),0))</f>
        <v>0</v>
      </c>
      <c r="AJ57" s="44">
        <f t="shared" si="16"/>
        <v>0</v>
      </c>
      <c r="AK57" s="44">
        <f t="shared" si="17"/>
        <v>0</v>
      </c>
      <c r="AL57" s="46">
        <f t="shared" si="18"/>
        <v>0</v>
      </c>
      <c r="AM57" s="46">
        <f t="shared" si="19"/>
        <v>0.18</v>
      </c>
      <c r="AN57" s="81">
        <f>IFERROR(INDEX(FeeCalc!P:P,MATCH(C57,FeeCalc!F:F,0)),0)</f>
        <v>95113.114081739986</v>
      </c>
      <c r="AO57" s="81">
        <f>IFERROR(INDEX(FeeCalc!S:S,MATCH(C57,FeeCalc!F:F,0)),0)</f>
        <v>5826.2671623167698</v>
      </c>
      <c r="AP57" s="81">
        <f t="shared" si="20"/>
        <v>100939.38124405676</v>
      </c>
      <c r="AQ57" s="68">
        <f t="shared" si="24"/>
        <v>39724.895367361023</v>
      </c>
      <c r="AR57" s="68">
        <f>INDEX('IGT Commitment Suggestions'!H:H,MATCH(G57,'IGT Commitment Suggestions'!A:A,0))*AQ57</f>
        <v>19467.727247455361</v>
      </c>
    </row>
    <row r="58" spans="1:44">
      <c r="A58" s="103" t="s">
        <v>55</v>
      </c>
      <c r="B58" s="123" t="s">
        <v>55</v>
      </c>
      <c r="C58" s="30" t="s">
        <v>56</v>
      </c>
      <c r="D58" s="124" t="s">
        <v>56</v>
      </c>
      <c r="E58" s="119" t="s">
        <v>2817</v>
      </c>
      <c r="F58" s="99" t="s">
        <v>1547</v>
      </c>
      <c r="G58" s="99" t="s">
        <v>223</v>
      </c>
      <c r="H58" s="42" t="str">
        <f t="shared" si="2"/>
        <v>Children's Dallas</v>
      </c>
      <c r="I58" s="44">
        <f>INDEX(FeeCalc!M:M,MATCH(C:C,FeeCalc!F:F,0))</f>
        <v>170689973.54812285</v>
      </c>
      <c r="J58" s="44">
        <f>INDEX(FeeCalc!L:L,MATCH(C:C,FeeCalc!F:F,0))</f>
        <v>213692789.65924492</v>
      </c>
      <c r="K58" s="44">
        <f t="shared" si="3"/>
        <v>384382763.20736778</v>
      </c>
      <c r="L58" s="44">
        <v>137045652.50999999</v>
      </c>
      <c r="M58" s="44">
        <v>-34420856.460000001</v>
      </c>
      <c r="N58" s="44">
        <f t="shared" si="4"/>
        <v>102624796.04999998</v>
      </c>
      <c r="O58" s="44">
        <v>221836091.74397185</v>
      </c>
      <c r="P58" s="44">
        <v>89550163.935557887</v>
      </c>
      <c r="Q58" s="44">
        <f t="shared" si="5"/>
        <v>311386255.67952973</v>
      </c>
      <c r="R58" s="44" t="str">
        <f t="shared" si="6"/>
        <v>Yes</v>
      </c>
      <c r="S58" s="45" t="str">
        <f t="shared" si="7"/>
        <v>Yes</v>
      </c>
      <c r="T58" s="46">
        <f>ROUND(INDEX(Summary!H:H,MATCH(H:H,Summary!A:A,0)),2)</f>
        <v>0.71</v>
      </c>
      <c r="U58" s="46">
        <f>ROUND(INDEX(Summary!I:I,MATCH(H:H,Summary!A:A,0)),2)</f>
        <v>0</v>
      </c>
      <c r="V58" s="79">
        <f t="shared" si="8"/>
        <v>121189881.21916722</v>
      </c>
      <c r="W58" s="79">
        <f t="shared" si="9"/>
        <v>0</v>
      </c>
      <c r="X58" s="44">
        <f t="shared" si="10"/>
        <v>121189881.21916722</v>
      </c>
      <c r="Y58" s="44" t="s">
        <v>2765</v>
      </c>
      <c r="Z58" s="44" t="str">
        <f t="shared" si="11"/>
        <v>Yes</v>
      </c>
      <c r="AA58" s="44" t="str">
        <f t="shared" si="12"/>
        <v>Yes</v>
      </c>
      <c r="AB58" s="44" t="str">
        <f t="shared" si="13"/>
        <v>Yes</v>
      </c>
      <c r="AC58" s="80">
        <f t="shared" si="21"/>
        <v>0.41</v>
      </c>
      <c r="AD58" s="80">
        <f t="shared" si="22"/>
        <v>0.28999999999999998</v>
      </c>
      <c r="AE58" s="44">
        <f t="shared" si="23"/>
        <v>69982889.154730365</v>
      </c>
      <c r="AF58" s="44">
        <f t="shared" si="14"/>
        <v>61970909.001181021</v>
      </c>
      <c r="AG58" s="44">
        <f t="shared" si="15"/>
        <v>131953798.15591139</v>
      </c>
      <c r="AH58" s="46">
        <f>IF(Y58="No",0,IFERROR(ROUNDDOWN(INDEX('90% of ACR'!K:K,MATCH(H:H,'90% of ACR'!A:A,0))*IF(I58&gt;0,IF(O58&gt;0,$R$4*MAX(O58-V58,0),0),0)/I58,2),0))</f>
        <v>0.34</v>
      </c>
      <c r="AI58" s="80">
        <f>IF(Y58="No",0,IFERROR(ROUNDDOWN(INDEX('90% of ACR'!R:R,MATCH(H:H,'90% of ACR'!A:A,0))*IF(J58&gt;0,IF(P58&gt;0,$R$4*MAX(P58-W58,0),0),0)/J58,2),0))</f>
        <v>0.28999999999999998</v>
      </c>
      <c r="AJ58" s="44">
        <f t="shared" si="16"/>
        <v>58034591.006361775</v>
      </c>
      <c r="AK58" s="44">
        <f t="shared" si="17"/>
        <v>61970909.001181021</v>
      </c>
      <c r="AL58" s="46">
        <f t="shared" si="18"/>
        <v>1.05</v>
      </c>
      <c r="AM58" s="46">
        <f t="shared" si="19"/>
        <v>0.28999999999999998</v>
      </c>
      <c r="AN58" s="81">
        <f>IFERROR(INDEX(FeeCalc!P:P,MATCH(C58,FeeCalc!F:F,0)),0)</f>
        <v>241195381.22671002</v>
      </c>
      <c r="AO58" s="81">
        <f>IFERROR(INDEX(FeeCalc!S:S,MATCH(C58,FeeCalc!F:F,0)),0)</f>
        <v>14716828.022629671</v>
      </c>
      <c r="AP58" s="81">
        <f t="shared" si="20"/>
        <v>255912209.2493397</v>
      </c>
      <c r="AQ58" s="68">
        <f t="shared" si="24"/>
        <v>100714761.77449614</v>
      </c>
      <c r="AR58" s="68">
        <f>INDEX('IGT Commitment Suggestions'!H:H,MATCH(G58,'IGT Commitment Suggestions'!A:A,0))*AQ58</f>
        <v>46060257.926509902</v>
      </c>
    </row>
    <row r="59" spans="1:44">
      <c r="A59" s="103" t="s">
        <v>58</v>
      </c>
      <c r="B59" s="123" t="s">
        <v>58</v>
      </c>
      <c r="C59" s="30" t="s">
        <v>59</v>
      </c>
      <c r="D59" s="124" t="s">
        <v>59</v>
      </c>
      <c r="E59" s="119" t="s">
        <v>2587</v>
      </c>
      <c r="F59" s="99" t="s">
        <v>1547</v>
      </c>
      <c r="G59" s="99" t="s">
        <v>223</v>
      </c>
      <c r="H59" s="42" t="str">
        <f t="shared" si="2"/>
        <v>Children's Dallas</v>
      </c>
      <c r="I59" s="44">
        <f>INDEX(FeeCalc!M:M,MATCH(C:C,FeeCalc!F:F,0))</f>
        <v>11982053.771844156</v>
      </c>
      <c r="J59" s="44">
        <f>INDEX(FeeCalc!L:L,MATCH(C:C,FeeCalc!F:F,0))</f>
        <v>56342253.144392923</v>
      </c>
      <c r="K59" s="44">
        <f t="shared" si="3"/>
        <v>68324306.916237086</v>
      </c>
      <c r="L59" s="44">
        <v>-2538628.1</v>
      </c>
      <c r="M59" s="44">
        <v>-4269380.3</v>
      </c>
      <c r="N59" s="44">
        <f t="shared" si="4"/>
        <v>-6808008.4000000004</v>
      </c>
      <c r="O59" s="44">
        <v>8521038.2706753649</v>
      </c>
      <c r="P59" s="44">
        <v>22493409.578856461</v>
      </c>
      <c r="Q59" s="44">
        <f t="shared" si="5"/>
        <v>31014447.849531826</v>
      </c>
      <c r="R59" s="44" t="str">
        <f t="shared" si="6"/>
        <v>Yes</v>
      </c>
      <c r="S59" s="45" t="str">
        <f t="shared" si="7"/>
        <v>Yes</v>
      </c>
      <c r="T59" s="46">
        <f>ROUND(INDEX(Summary!H:H,MATCH(H:H,Summary!A:A,0)),2)</f>
        <v>0.71</v>
      </c>
      <c r="U59" s="46">
        <f>ROUND(INDEX(Summary!I:I,MATCH(H:H,Summary!A:A,0)),2)</f>
        <v>0</v>
      </c>
      <c r="V59" s="79">
        <f t="shared" si="8"/>
        <v>8507258.1780093499</v>
      </c>
      <c r="W59" s="79">
        <f t="shared" si="9"/>
        <v>0</v>
      </c>
      <c r="X59" s="44">
        <f t="shared" si="10"/>
        <v>8507258.1780093499</v>
      </c>
      <c r="Y59" s="44" t="s">
        <v>2765</v>
      </c>
      <c r="Z59" s="44" t="str">
        <f t="shared" si="11"/>
        <v>No</v>
      </c>
      <c r="AA59" s="44" t="str">
        <f t="shared" si="12"/>
        <v>Yes</v>
      </c>
      <c r="AB59" s="44" t="str">
        <f t="shared" si="13"/>
        <v>Yes</v>
      </c>
      <c r="AC59" s="80">
        <f t="shared" si="21"/>
        <v>0</v>
      </c>
      <c r="AD59" s="80">
        <f t="shared" si="22"/>
        <v>0.28000000000000003</v>
      </c>
      <c r="AE59" s="44">
        <f t="shared" si="23"/>
        <v>0</v>
      </c>
      <c r="AF59" s="44">
        <f t="shared" si="14"/>
        <v>15775830.88043002</v>
      </c>
      <c r="AG59" s="44">
        <f t="shared" si="15"/>
        <v>15775830.88043002</v>
      </c>
      <c r="AH59" s="46">
        <f>IF(Y59="No",0,IFERROR(ROUNDDOWN(INDEX('90% of ACR'!K:K,MATCH(H:H,'90% of ACR'!A:A,0))*IF(I59&gt;0,IF(O59&gt;0,$R$4*MAX(O59-V59,0),0),0)/I59,2),0))</f>
        <v>0</v>
      </c>
      <c r="AI59" s="80">
        <f>IF(Y59="No",0,IFERROR(ROUNDDOWN(INDEX('90% of ACR'!R:R,MATCH(H:H,'90% of ACR'!A:A,0))*IF(J59&gt;0,IF(P59&gt;0,$R$4*MAX(P59-W59,0),0),0)/J59,2),0))</f>
        <v>0.27</v>
      </c>
      <c r="AJ59" s="44">
        <f t="shared" si="16"/>
        <v>0</v>
      </c>
      <c r="AK59" s="44">
        <f t="shared" si="17"/>
        <v>15212408.348986089</v>
      </c>
      <c r="AL59" s="46">
        <f t="shared" si="18"/>
        <v>0.71</v>
      </c>
      <c r="AM59" s="46">
        <f t="shared" si="19"/>
        <v>0.27</v>
      </c>
      <c r="AN59" s="81">
        <f>IFERROR(INDEX(FeeCalc!P:P,MATCH(C59,FeeCalc!F:F,0)),0)</f>
        <v>23719666.526995439</v>
      </c>
      <c r="AO59" s="81">
        <f>IFERROR(INDEX(FeeCalc!S:S,MATCH(C59,FeeCalc!F:F,0)),0)</f>
        <v>1447098.8026859965</v>
      </c>
      <c r="AP59" s="81">
        <f t="shared" si="20"/>
        <v>25166765.329681434</v>
      </c>
      <c r="AQ59" s="68">
        <f t="shared" si="24"/>
        <v>9904430.8290267885</v>
      </c>
      <c r="AR59" s="68">
        <f>INDEX('IGT Commitment Suggestions'!H:H,MATCH(G59,'IGT Commitment Suggestions'!A:A,0))*AQ59</f>
        <v>4529630.3199495152</v>
      </c>
    </row>
    <row r="60" spans="1:44">
      <c r="A60" s="103" t="s">
        <v>741</v>
      </c>
      <c r="B60" s="123" t="s">
        <v>741</v>
      </c>
      <c r="C60" s="30" t="s">
        <v>742</v>
      </c>
      <c r="D60" s="124" t="s">
        <v>742</v>
      </c>
      <c r="E60" s="119" t="s">
        <v>2700</v>
      </c>
      <c r="F60" s="99" t="s">
        <v>2295</v>
      </c>
      <c r="G60" s="99" t="s">
        <v>227</v>
      </c>
      <c r="H60" s="42" t="str">
        <f t="shared" si="2"/>
        <v>Rural MRSA West</v>
      </c>
      <c r="I60" s="44">
        <f>INDEX(FeeCalc!M:M,MATCH(C:C,FeeCalc!F:F,0))</f>
        <v>229726.5124953597</v>
      </c>
      <c r="J60" s="44">
        <f>INDEX(FeeCalc!L:L,MATCH(C:C,FeeCalc!F:F,0))</f>
        <v>10787.940521320319</v>
      </c>
      <c r="K60" s="44">
        <f t="shared" si="3"/>
        <v>240514.45301668003</v>
      </c>
      <c r="L60" s="44">
        <v>21437.97</v>
      </c>
      <c r="M60" s="44">
        <v>552.78</v>
      </c>
      <c r="N60" s="44">
        <f t="shared" si="4"/>
        <v>21990.75</v>
      </c>
      <c r="O60" s="44">
        <v>-1969.3075796264002</v>
      </c>
      <c r="P60" s="44">
        <v>2720.3473515254036</v>
      </c>
      <c r="Q60" s="44">
        <f t="shared" si="5"/>
        <v>751.03977189900343</v>
      </c>
      <c r="R60" s="44" t="str">
        <f t="shared" si="6"/>
        <v>No</v>
      </c>
      <c r="S60" s="45" t="str">
        <f t="shared" si="7"/>
        <v>Yes</v>
      </c>
      <c r="T60" s="46">
        <f>ROUND(INDEX(Summary!H:H,MATCH(H:H,Summary!A:A,0)),2)</f>
        <v>0</v>
      </c>
      <c r="U60" s="46">
        <f>ROUND(INDEX(Summary!I:I,MATCH(H:H,Summary!A:A,0)),2)</f>
        <v>0.18</v>
      </c>
      <c r="V60" s="79">
        <f t="shared" si="8"/>
        <v>0</v>
      </c>
      <c r="W60" s="79">
        <f t="shared" si="9"/>
        <v>1941.8292938376574</v>
      </c>
      <c r="X60" s="44">
        <f t="shared" si="10"/>
        <v>1941.8292938376574</v>
      </c>
      <c r="Y60" s="44" t="s">
        <v>2765</v>
      </c>
      <c r="Z60" s="44" t="str">
        <f t="shared" si="11"/>
        <v>No</v>
      </c>
      <c r="AA60" s="44" t="str">
        <f t="shared" si="12"/>
        <v>Yes</v>
      </c>
      <c r="AB60" s="44" t="str">
        <f t="shared" si="13"/>
        <v>Yes</v>
      </c>
      <c r="AC60" s="80">
        <f t="shared" si="21"/>
        <v>0</v>
      </c>
      <c r="AD60" s="80">
        <f t="shared" si="22"/>
        <v>0.05</v>
      </c>
      <c r="AE60" s="44">
        <f t="shared" si="23"/>
        <v>0</v>
      </c>
      <c r="AF60" s="44">
        <f t="shared" si="14"/>
        <v>539.397026066016</v>
      </c>
      <c r="AG60" s="44">
        <f t="shared" si="15"/>
        <v>539.397026066016</v>
      </c>
      <c r="AH60" s="46">
        <f>IF(Y60="No",0,IFERROR(ROUNDDOWN(INDEX('90% of ACR'!K:K,MATCH(H:H,'90% of ACR'!A:A,0))*IF(I60&gt;0,IF(O60&gt;0,$R$4*MAX(O60-V60,0),0),0)/I60,2),0))</f>
        <v>0</v>
      </c>
      <c r="AI60" s="80">
        <f>IF(Y60="No",0,IFERROR(ROUNDDOWN(INDEX('90% of ACR'!R:R,MATCH(H:H,'90% of ACR'!A:A,0))*IF(J60&gt;0,IF(P60&gt;0,$R$4*MAX(P60-W60,0),0),0)/J60,2),0))</f>
        <v>0.04</v>
      </c>
      <c r="AJ60" s="44">
        <f t="shared" si="16"/>
        <v>0</v>
      </c>
      <c r="AK60" s="44">
        <f t="shared" si="17"/>
        <v>431.5176208528128</v>
      </c>
      <c r="AL60" s="46">
        <f t="shared" si="18"/>
        <v>0</v>
      </c>
      <c r="AM60" s="46">
        <f t="shared" si="19"/>
        <v>0.22</v>
      </c>
      <c r="AN60" s="81">
        <f>IFERROR(INDEX(FeeCalc!P:P,MATCH(C60,FeeCalc!F:F,0)),0)</f>
        <v>2373.3469146904704</v>
      </c>
      <c r="AO60" s="81">
        <f>IFERROR(INDEX(FeeCalc!S:S,MATCH(C60,FeeCalc!F:F,0)),0)</f>
        <v>145.34422894600806</v>
      </c>
      <c r="AP60" s="81">
        <f t="shared" si="20"/>
        <v>2518.6911436364785</v>
      </c>
      <c r="AQ60" s="68">
        <f t="shared" si="24"/>
        <v>991.23593696042349</v>
      </c>
      <c r="AR60" s="68">
        <f>INDEX('IGT Commitment Suggestions'!H:H,MATCH(G60,'IGT Commitment Suggestions'!A:A,0))*AQ60</f>
        <v>485.76870197313031</v>
      </c>
    </row>
    <row r="61" spans="1:44">
      <c r="A61" s="103" t="s">
        <v>762</v>
      </c>
      <c r="B61" s="123" t="s">
        <v>762</v>
      </c>
      <c r="C61" s="30" t="s">
        <v>763</v>
      </c>
      <c r="D61" s="124" t="s">
        <v>763</v>
      </c>
      <c r="E61" s="119" t="s">
        <v>2474</v>
      </c>
      <c r="F61" s="99" t="s">
        <v>2283</v>
      </c>
      <c r="G61" s="99" t="s">
        <v>223</v>
      </c>
      <c r="H61" s="42" t="str">
        <f t="shared" si="2"/>
        <v>Urban Dallas</v>
      </c>
      <c r="I61" s="44">
        <f>INDEX(FeeCalc!M:M,MATCH(C:C,FeeCalc!F:F,0))</f>
        <v>6404872.4563122997</v>
      </c>
      <c r="J61" s="44">
        <f>INDEX(FeeCalc!L:L,MATCH(C:C,FeeCalc!F:F,0))</f>
        <v>4650486.2366330344</v>
      </c>
      <c r="K61" s="44">
        <f t="shared" si="3"/>
        <v>11055358.692945335</v>
      </c>
      <c r="L61" s="44">
        <v>3332900.15</v>
      </c>
      <c r="M61" s="44">
        <v>1393701.15</v>
      </c>
      <c r="N61" s="44">
        <f t="shared" si="4"/>
        <v>4726601.3</v>
      </c>
      <c r="O61" s="44">
        <v>5970710.7015589047</v>
      </c>
      <c r="P61" s="44">
        <v>1846226.179088047</v>
      </c>
      <c r="Q61" s="44">
        <f t="shared" si="5"/>
        <v>7816936.8806469515</v>
      </c>
      <c r="R61" s="44" t="str">
        <f t="shared" si="6"/>
        <v>Yes</v>
      </c>
      <c r="S61" s="45" t="str">
        <f t="shared" si="7"/>
        <v>Yes</v>
      </c>
      <c r="T61" s="46">
        <f>ROUND(INDEX(Summary!H:H,MATCH(H:H,Summary!A:A,0)),2)</f>
        <v>0.6</v>
      </c>
      <c r="U61" s="46">
        <f>ROUND(INDEX(Summary!I:I,MATCH(H:H,Summary!A:A,0)),2)</f>
        <v>0.3</v>
      </c>
      <c r="V61" s="79">
        <f t="shared" si="8"/>
        <v>3842923.4737873795</v>
      </c>
      <c r="W61" s="79">
        <f t="shared" si="9"/>
        <v>1395145.8709899103</v>
      </c>
      <c r="X61" s="44">
        <f t="shared" si="10"/>
        <v>5238069.3447772898</v>
      </c>
      <c r="Y61" s="44" t="s">
        <v>2765</v>
      </c>
      <c r="Z61" s="44" t="str">
        <f t="shared" si="11"/>
        <v>Yes</v>
      </c>
      <c r="AA61" s="44" t="str">
        <f t="shared" si="12"/>
        <v>Yes</v>
      </c>
      <c r="AB61" s="44" t="str">
        <f t="shared" si="13"/>
        <v>Yes</v>
      </c>
      <c r="AC61" s="80">
        <f t="shared" si="21"/>
        <v>0.23</v>
      </c>
      <c r="AD61" s="80">
        <f t="shared" si="22"/>
        <v>7.0000000000000007E-2</v>
      </c>
      <c r="AE61" s="44">
        <f t="shared" si="23"/>
        <v>1473120.664951829</v>
      </c>
      <c r="AF61" s="44">
        <f t="shared" si="14"/>
        <v>325534.03656431247</v>
      </c>
      <c r="AG61" s="44">
        <f t="shared" si="15"/>
        <v>1798654.7015161414</v>
      </c>
      <c r="AH61" s="46">
        <f>IF(Y61="No",0,IFERROR(ROUNDDOWN(INDEX('90% of ACR'!K:K,MATCH(H:H,'90% of ACR'!A:A,0))*IF(I61&gt;0,IF(O61&gt;0,$R$4*MAX(O61-V61,0),0),0)/I61,2),0))</f>
        <v>0.23</v>
      </c>
      <c r="AI61" s="80">
        <f>IF(Y61="No",0,IFERROR(ROUNDDOWN(INDEX('90% of ACR'!R:R,MATCH(H:H,'90% of ACR'!A:A,0))*IF(J61&gt;0,IF(P61&gt;0,$R$4*MAX(P61-W61,0),0),0)/J61,2),0))</f>
        <v>0.06</v>
      </c>
      <c r="AJ61" s="44">
        <f t="shared" si="16"/>
        <v>1473120.664951829</v>
      </c>
      <c r="AK61" s="44">
        <f t="shared" si="17"/>
        <v>279029.17419798207</v>
      </c>
      <c r="AL61" s="46">
        <f t="shared" si="18"/>
        <v>0.83</v>
      </c>
      <c r="AM61" s="46">
        <f t="shared" si="19"/>
        <v>0.36</v>
      </c>
      <c r="AN61" s="81">
        <f>IFERROR(INDEX(FeeCalc!P:P,MATCH(C61,FeeCalc!F:F,0)),0)</f>
        <v>6990219.1839271011</v>
      </c>
      <c r="AO61" s="81">
        <f>IFERROR(INDEX(FeeCalc!S:S,MATCH(C61,FeeCalc!F:F,0)),0)</f>
        <v>431187.97173538117</v>
      </c>
      <c r="AP61" s="81">
        <f t="shared" si="20"/>
        <v>7421407.1556624826</v>
      </c>
      <c r="AQ61" s="68">
        <f t="shared" si="24"/>
        <v>2920709.6289252816</v>
      </c>
      <c r="AR61" s="68">
        <f>INDEX('IGT Commitment Suggestions'!H:H,MATCH(G61,'IGT Commitment Suggestions'!A:A,0))*AQ61</f>
        <v>1335739.0363286943</v>
      </c>
    </row>
    <row r="62" spans="1:44">
      <c r="A62" s="103" t="s">
        <v>171</v>
      </c>
      <c r="B62" s="123" t="s">
        <v>171</v>
      </c>
      <c r="C62" s="30" t="s">
        <v>172</v>
      </c>
      <c r="D62" s="124" t="s">
        <v>172</v>
      </c>
      <c r="E62" s="119" t="s">
        <v>2818</v>
      </c>
      <c r="F62" s="99" t="s">
        <v>2295</v>
      </c>
      <c r="G62" s="99" t="s">
        <v>227</v>
      </c>
      <c r="H62" s="42" t="str">
        <f t="shared" si="2"/>
        <v>Rural MRSA West</v>
      </c>
      <c r="I62" s="44">
        <f>INDEX(FeeCalc!M:M,MATCH(C:C,FeeCalc!F:F,0))</f>
        <v>101522.99948452669</v>
      </c>
      <c r="J62" s="44">
        <f>INDEX(FeeCalc!L:L,MATCH(C:C,FeeCalc!F:F,0))</f>
        <v>480168.19455296779</v>
      </c>
      <c r="K62" s="44">
        <f t="shared" si="3"/>
        <v>581691.19403749448</v>
      </c>
      <c r="L62" s="44">
        <v>132161.99</v>
      </c>
      <c r="M62" s="44">
        <v>4290.74</v>
      </c>
      <c r="N62" s="44">
        <f t="shared" si="4"/>
        <v>136452.72999999998</v>
      </c>
      <c r="O62" s="44">
        <v>699.69614870678924</v>
      </c>
      <c r="P62" s="44">
        <v>-37327.75040520342</v>
      </c>
      <c r="Q62" s="44">
        <f t="shared" si="5"/>
        <v>-36628.054256496631</v>
      </c>
      <c r="R62" s="44" t="str">
        <f t="shared" si="6"/>
        <v>Yes</v>
      </c>
      <c r="S62" s="45" t="str">
        <f t="shared" si="7"/>
        <v>No</v>
      </c>
      <c r="T62" s="46">
        <f>ROUND(INDEX(Summary!H:H,MATCH(H:H,Summary!A:A,0)),2)</f>
        <v>0</v>
      </c>
      <c r="U62" s="46">
        <f>ROUND(INDEX(Summary!I:I,MATCH(H:H,Summary!A:A,0)),2)</f>
        <v>0.18</v>
      </c>
      <c r="V62" s="79">
        <f t="shared" si="8"/>
        <v>0</v>
      </c>
      <c r="W62" s="79">
        <f t="shared" si="9"/>
        <v>86430.275019534194</v>
      </c>
      <c r="X62" s="44">
        <f t="shared" si="10"/>
        <v>86430.275019534194</v>
      </c>
      <c r="Y62" s="44" t="s">
        <v>2765</v>
      </c>
      <c r="Z62" s="44" t="str">
        <f t="shared" si="11"/>
        <v>No</v>
      </c>
      <c r="AA62" s="44" t="str">
        <f t="shared" si="12"/>
        <v>No</v>
      </c>
      <c r="AB62" s="44" t="str">
        <f t="shared" si="13"/>
        <v>No</v>
      </c>
      <c r="AC62" s="80">
        <f t="shared" si="21"/>
        <v>0</v>
      </c>
      <c r="AD62" s="80">
        <f t="shared" si="22"/>
        <v>0</v>
      </c>
      <c r="AE62" s="44">
        <f t="shared" si="23"/>
        <v>0</v>
      </c>
      <c r="AF62" s="44">
        <f t="shared" si="14"/>
        <v>0</v>
      </c>
      <c r="AG62" s="44">
        <f t="shared" si="15"/>
        <v>0</v>
      </c>
      <c r="AH62" s="46">
        <f>IF(Y62="No",0,IFERROR(ROUNDDOWN(INDEX('90% of ACR'!K:K,MATCH(H:H,'90% of ACR'!A:A,0))*IF(I62&gt;0,IF(O62&gt;0,$R$4*MAX(O62-V62,0),0),0)/I62,2),0))</f>
        <v>0</v>
      </c>
      <c r="AI62" s="80">
        <f>IF(Y62="No",0,IFERROR(ROUNDDOWN(INDEX('90% of ACR'!R:R,MATCH(H:H,'90% of ACR'!A:A,0))*IF(J62&gt;0,IF(P62&gt;0,$R$4*MAX(P62-W62,0),0),0)/J62,2),0))</f>
        <v>0</v>
      </c>
      <c r="AJ62" s="44">
        <f t="shared" si="16"/>
        <v>0</v>
      </c>
      <c r="AK62" s="44">
        <f t="shared" si="17"/>
        <v>0</v>
      </c>
      <c r="AL62" s="46">
        <f t="shared" si="18"/>
        <v>0</v>
      </c>
      <c r="AM62" s="46">
        <f t="shared" si="19"/>
        <v>0.18</v>
      </c>
      <c r="AN62" s="81">
        <f>IFERROR(INDEX(FeeCalc!P:P,MATCH(C62,FeeCalc!F:F,0)),0)</f>
        <v>86430.275019534194</v>
      </c>
      <c r="AO62" s="81">
        <f>IFERROR(INDEX(FeeCalc!S:S,MATCH(C62,FeeCalc!F:F,0)),0)</f>
        <v>5347.221882858219</v>
      </c>
      <c r="AP62" s="81">
        <f t="shared" si="20"/>
        <v>91777.49690239242</v>
      </c>
      <c r="AQ62" s="68">
        <f t="shared" si="24"/>
        <v>36119.217460930347</v>
      </c>
      <c r="AR62" s="68">
        <f>INDEX('IGT Commitment Suggestions'!H:H,MATCH(G62,'IGT Commitment Suggestions'!A:A,0))*AQ62</f>
        <v>17700.715569376993</v>
      </c>
    </row>
    <row r="63" spans="1:44">
      <c r="A63" s="103" t="s">
        <v>515</v>
      </c>
      <c r="B63" s="123" t="s">
        <v>515</v>
      </c>
      <c r="C63" s="30" t="s">
        <v>516</v>
      </c>
      <c r="D63" s="124" t="s">
        <v>516</v>
      </c>
      <c r="E63" s="119" t="s">
        <v>2573</v>
      </c>
      <c r="F63" s="99" t="s">
        <v>2295</v>
      </c>
      <c r="G63" s="99" t="s">
        <v>1514</v>
      </c>
      <c r="H63" s="42" t="str">
        <f t="shared" si="2"/>
        <v>Rural Hidalgo</v>
      </c>
      <c r="I63" s="44">
        <f>INDEX(FeeCalc!M:M,MATCH(C:C,FeeCalc!F:F,0))</f>
        <v>7864869.269674629</v>
      </c>
      <c r="J63" s="44">
        <f>INDEX(FeeCalc!L:L,MATCH(C:C,FeeCalc!F:F,0))</f>
        <v>3912400.0678490298</v>
      </c>
      <c r="K63" s="44">
        <f t="shared" si="3"/>
        <v>11777269.337523658</v>
      </c>
      <c r="L63" s="44">
        <v>-1803774.56</v>
      </c>
      <c r="M63" s="44">
        <v>611522.24</v>
      </c>
      <c r="N63" s="44">
        <f t="shared" si="4"/>
        <v>-1192252.32</v>
      </c>
      <c r="O63" s="44">
        <v>2932097.0968230302</v>
      </c>
      <c r="P63" s="44">
        <v>4071560.2441925067</v>
      </c>
      <c r="Q63" s="44">
        <f t="shared" si="5"/>
        <v>7003657.3410155363</v>
      </c>
      <c r="R63" s="44" t="str">
        <f t="shared" si="6"/>
        <v>Yes</v>
      </c>
      <c r="S63" s="45" t="str">
        <f t="shared" si="7"/>
        <v>Yes</v>
      </c>
      <c r="T63" s="46">
        <f>ROUND(INDEX(Summary!H:H,MATCH(H:H,Summary!A:A,0)),2)</f>
        <v>0</v>
      </c>
      <c r="U63" s="46">
        <f>ROUND(INDEX(Summary!I:I,MATCH(H:H,Summary!A:A,0)),2)</f>
        <v>0.06</v>
      </c>
      <c r="V63" s="79">
        <f t="shared" si="8"/>
        <v>0</v>
      </c>
      <c r="W63" s="79">
        <f t="shared" si="9"/>
        <v>234744.00407094177</v>
      </c>
      <c r="X63" s="44">
        <f t="shared" si="10"/>
        <v>234744.00407094177</v>
      </c>
      <c r="Y63" s="44" t="s">
        <v>2765</v>
      </c>
      <c r="Z63" s="44" t="str">
        <f t="shared" si="11"/>
        <v>Yes</v>
      </c>
      <c r="AA63" s="44" t="str">
        <f t="shared" si="12"/>
        <v>Yes</v>
      </c>
      <c r="AB63" s="44" t="str">
        <f t="shared" si="13"/>
        <v>Yes</v>
      </c>
      <c r="AC63" s="80">
        <f t="shared" si="21"/>
        <v>0.26</v>
      </c>
      <c r="AD63" s="80">
        <f t="shared" si="22"/>
        <v>0.68</v>
      </c>
      <c r="AE63" s="44">
        <f t="shared" si="23"/>
        <v>2044866.0101154037</v>
      </c>
      <c r="AF63" s="44">
        <f t="shared" si="14"/>
        <v>2660432.0461373404</v>
      </c>
      <c r="AG63" s="44">
        <f t="shared" si="15"/>
        <v>4705298.056252744</v>
      </c>
      <c r="AH63" s="46">
        <f>IF(Y63="No",0,IFERROR(ROUNDDOWN(INDEX('90% of ACR'!K:K,MATCH(H:H,'90% of ACR'!A:A,0))*IF(I63&gt;0,IF(O63&gt;0,$R$4*MAX(O63-V63,0),0),0)/I63,2),0))</f>
        <v>0.25</v>
      </c>
      <c r="AI63" s="80">
        <f>IF(Y63="No",0,IFERROR(ROUNDDOWN(INDEX('90% of ACR'!R:R,MATCH(H:H,'90% of ACR'!A:A,0))*IF(J63&gt;0,IF(P63&gt;0,$R$4*MAX(P63-W63,0),0),0)/J63,2),0))</f>
        <v>0.68</v>
      </c>
      <c r="AJ63" s="44">
        <f t="shared" si="16"/>
        <v>1966217.3174186572</v>
      </c>
      <c r="AK63" s="44">
        <f t="shared" si="17"/>
        <v>2660432.0461373404</v>
      </c>
      <c r="AL63" s="46">
        <f t="shared" si="18"/>
        <v>0.25</v>
      </c>
      <c r="AM63" s="46">
        <f t="shared" si="19"/>
        <v>0.74</v>
      </c>
      <c r="AN63" s="81">
        <f>IFERROR(INDEX(FeeCalc!P:P,MATCH(C63,FeeCalc!F:F,0)),0)</f>
        <v>4861393.367626939</v>
      </c>
      <c r="AO63" s="81">
        <f>IFERROR(INDEX(FeeCalc!S:S,MATCH(C63,FeeCalc!F:F,0)),0)</f>
        <v>298858.45123369142</v>
      </c>
      <c r="AP63" s="81">
        <f t="shared" si="20"/>
        <v>5160251.8188606305</v>
      </c>
      <c r="AQ63" s="68">
        <f t="shared" si="24"/>
        <v>2030827.423816239</v>
      </c>
      <c r="AR63" s="68">
        <f>INDEX('IGT Commitment Suggestions'!H:H,MATCH(G63,'IGT Commitment Suggestions'!A:A,0))*AQ63</f>
        <v>929819.51329644909</v>
      </c>
    </row>
    <row r="64" spans="1:44">
      <c r="A64" s="103" t="s">
        <v>792</v>
      </c>
      <c r="B64" s="123" t="s">
        <v>792</v>
      </c>
      <c r="C64" s="30" t="s">
        <v>793</v>
      </c>
      <c r="D64" s="124" t="s">
        <v>793</v>
      </c>
      <c r="E64" s="119" t="s">
        <v>2574</v>
      </c>
      <c r="F64" s="99" t="s">
        <v>2283</v>
      </c>
      <c r="G64" s="99" t="s">
        <v>1514</v>
      </c>
      <c r="H64" s="42" t="str">
        <f t="shared" si="2"/>
        <v>Urban Hidalgo</v>
      </c>
      <c r="I64" s="44">
        <f>INDEX(FeeCalc!M:M,MATCH(C:C,FeeCalc!F:F,0))</f>
        <v>9201030.9182563387</v>
      </c>
      <c r="J64" s="44">
        <f>INDEX(FeeCalc!L:L,MATCH(C:C,FeeCalc!F:F,0))</f>
        <v>10240505.988051938</v>
      </c>
      <c r="K64" s="44">
        <f t="shared" si="3"/>
        <v>19441536.906308278</v>
      </c>
      <c r="L64" s="44">
        <v>2561384.37</v>
      </c>
      <c r="M64" s="44">
        <v>3483310.99</v>
      </c>
      <c r="N64" s="44">
        <f t="shared" si="4"/>
        <v>6044695.3600000003</v>
      </c>
      <c r="O64" s="44">
        <v>9250959.2173947915</v>
      </c>
      <c r="P64" s="44">
        <v>8091399.613111591</v>
      </c>
      <c r="Q64" s="44">
        <f t="shared" si="5"/>
        <v>17342358.830506384</v>
      </c>
      <c r="R64" s="44" t="str">
        <f t="shared" si="6"/>
        <v>Yes</v>
      </c>
      <c r="S64" s="45" t="str">
        <f t="shared" si="7"/>
        <v>Yes</v>
      </c>
      <c r="T64" s="46">
        <f>ROUND(INDEX(Summary!H:H,MATCH(H:H,Summary!A:A,0)),2)</f>
        <v>0.72</v>
      </c>
      <c r="U64" s="46">
        <f>ROUND(INDEX(Summary!I:I,MATCH(H:H,Summary!A:A,0)),2)</f>
        <v>0.53</v>
      </c>
      <c r="V64" s="79">
        <f t="shared" si="8"/>
        <v>6624742.2611445636</v>
      </c>
      <c r="W64" s="79">
        <f t="shared" si="9"/>
        <v>5427468.1736675277</v>
      </c>
      <c r="X64" s="44">
        <f t="shared" si="10"/>
        <v>12052210.434812091</v>
      </c>
      <c r="Y64" s="44" t="s">
        <v>2765</v>
      </c>
      <c r="Z64" s="44" t="str">
        <f t="shared" si="11"/>
        <v>Yes</v>
      </c>
      <c r="AA64" s="44" t="str">
        <f t="shared" si="12"/>
        <v>Yes</v>
      </c>
      <c r="AB64" s="44" t="str">
        <f t="shared" si="13"/>
        <v>Yes</v>
      </c>
      <c r="AC64" s="80">
        <f t="shared" si="21"/>
        <v>0.2</v>
      </c>
      <c r="AD64" s="80">
        <f t="shared" si="22"/>
        <v>0.18</v>
      </c>
      <c r="AE64" s="44">
        <f t="shared" si="23"/>
        <v>1840206.1836512678</v>
      </c>
      <c r="AF64" s="44">
        <f t="shared" si="14"/>
        <v>1843291.0778493488</v>
      </c>
      <c r="AG64" s="44">
        <f t="shared" si="15"/>
        <v>3683497.2615006166</v>
      </c>
      <c r="AH64" s="46">
        <f>IF(Y64="No",0,IFERROR(ROUNDDOWN(INDEX('90% of ACR'!K:K,MATCH(H:H,'90% of ACR'!A:A,0))*IF(I64&gt;0,IF(O64&gt;0,$R$4*MAX(O64-V64,0),0),0)/I64,2),0))</f>
        <v>0.19</v>
      </c>
      <c r="AI64" s="80">
        <f>IF(Y64="No",0,IFERROR(ROUNDDOWN(INDEX('90% of ACR'!R:R,MATCH(H:H,'90% of ACR'!A:A,0))*IF(J64&gt;0,IF(P64&gt;0,$R$4*MAX(P64-W64,0),0),0)/J64,2),0))</f>
        <v>0.17</v>
      </c>
      <c r="AJ64" s="44">
        <f t="shared" si="16"/>
        <v>1748195.8744687045</v>
      </c>
      <c r="AK64" s="44">
        <f t="shared" si="17"/>
        <v>1740886.0179688295</v>
      </c>
      <c r="AL64" s="46">
        <f t="shared" si="18"/>
        <v>0.90999999999999992</v>
      </c>
      <c r="AM64" s="46">
        <f t="shared" si="19"/>
        <v>0.70000000000000007</v>
      </c>
      <c r="AN64" s="81">
        <f>IFERROR(INDEX(FeeCalc!P:P,MATCH(C64,FeeCalc!F:F,0)),0)</f>
        <v>15541292.327249624</v>
      </c>
      <c r="AO64" s="81">
        <f>IFERROR(INDEX(FeeCalc!S:S,MATCH(C64,FeeCalc!F:F,0)),0)</f>
        <v>954961.36669012741</v>
      </c>
      <c r="AP64" s="81">
        <f t="shared" si="20"/>
        <v>16496253.693939751</v>
      </c>
      <c r="AQ64" s="68">
        <f t="shared" si="24"/>
        <v>6492133.633757378</v>
      </c>
      <c r="AR64" s="68">
        <f>INDEX('IGT Commitment Suggestions'!H:H,MATCH(G64,'IGT Commitment Suggestions'!A:A,0))*AQ64</f>
        <v>2972439.9349759868</v>
      </c>
    </row>
    <row r="65" spans="1:44">
      <c r="A65" s="103" t="s">
        <v>1563</v>
      </c>
      <c r="B65" s="123" t="s">
        <v>1563</v>
      </c>
      <c r="C65" s="30" t="s">
        <v>1646</v>
      </c>
      <c r="D65" s="124" t="s">
        <v>1646</v>
      </c>
      <c r="E65" s="119" t="s">
        <v>2575</v>
      </c>
      <c r="F65" s="99" t="s">
        <v>2283</v>
      </c>
      <c r="G65" s="99" t="s">
        <v>1526</v>
      </c>
      <c r="H65" s="42" t="str">
        <f t="shared" si="2"/>
        <v>Urban Lubbock</v>
      </c>
      <c r="I65" s="44">
        <f>INDEX(FeeCalc!M:M,MATCH(C:C,FeeCalc!F:F,0))</f>
        <v>20938235.677203536</v>
      </c>
      <c r="J65" s="44">
        <f>INDEX(FeeCalc!L:L,MATCH(C:C,FeeCalc!F:F,0))</f>
        <v>12566050.639596587</v>
      </c>
      <c r="K65" s="44">
        <f t="shared" si="3"/>
        <v>33504286.316800125</v>
      </c>
      <c r="L65" s="44">
        <v>9067886.5600000005</v>
      </c>
      <c r="M65" s="44">
        <v>3299667.74</v>
      </c>
      <c r="N65" s="44">
        <f t="shared" si="4"/>
        <v>12367554.300000001</v>
      </c>
      <c r="O65" s="44">
        <v>20800035.377380669</v>
      </c>
      <c r="P65" s="44">
        <v>5264263.6132540544</v>
      </c>
      <c r="Q65" s="44">
        <f t="shared" si="5"/>
        <v>26064298.990634724</v>
      </c>
      <c r="R65" s="44" t="str">
        <f t="shared" si="6"/>
        <v>Yes</v>
      </c>
      <c r="S65" s="45" t="str">
        <f t="shared" si="7"/>
        <v>Yes</v>
      </c>
      <c r="T65" s="46">
        <f>ROUND(INDEX(Summary!H:H,MATCH(H:H,Summary!A:A,0)),2)</f>
        <v>0</v>
      </c>
      <c r="U65" s="46">
        <f>ROUND(INDEX(Summary!I:I,MATCH(H:H,Summary!A:A,0)),2)</f>
        <v>0.66</v>
      </c>
      <c r="V65" s="79">
        <f t="shared" si="8"/>
        <v>0</v>
      </c>
      <c r="W65" s="79">
        <f t="shared" si="9"/>
        <v>8293593.4221337475</v>
      </c>
      <c r="X65" s="44">
        <f t="shared" si="10"/>
        <v>8293593.4221337475</v>
      </c>
      <c r="Y65" s="44" t="s">
        <v>2765</v>
      </c>
      <c r="Z65" s="44" t="str">
        <f t="shared" si="11"/>
        <v>Yes</v>
      </c>
      <c r="AA65" s="44" t="str">
        <f t="shared" si="12"/>
        <v>No</v>
      </c>
      <c r="AB65" s="44" t="str">
        <f t="shared" si="13"/>
        <v>Yes</v>
      </c>
      <c r="AC65" s="80">
        <f t="shared" si="21"/>
        <v>0.69</v>
      </c>
      <c r="AD65" s="80">
        <f t="shared" si="22"/>
        <v>0</v>
      </c>
      <c r="AE65" s="44">
        <f t="shared" si="23"/>
        <v>14447382.617270438</v>
      </c>
      <c r="AF65" s="44">
        <f t="shared" si="14"/>
        <v>0</v>
      </c>
      <c r="AG65" s="44">
        <f t="shared" si="15"/>
        <v>14447382.617270438</v>
      </c>
      <c r="AH65" s="46">
        <f>IF(Y65="No",0,IFERROR(ROUNDDOWN(INDEX('90% of ACR'!K:K,MATCH(H:H,'90% of ACR'!A:A,0))*IF(I65&gt;0,IF(O65&gt;0,$R$4*MAX(O65-V65,0),0),0)/I65,2),0))</f>
        <v>0.25</v>
      </c>
      <c r="AI65" s="80">
        <f>IF(Y65="No",0,IFERROR(ROUNDDOWN(INDEX('90% of ACR'!R:R,MATCH(H:H,'90% of ACR'!A:A,0))*IF(J65&gt;0,IF(P65&gt;0,$R$4*MAX(P65-W65,0),0),0)/J65,2),0))</f>
        <v>0</v>
      </c>
      <c r="AJ65" s="44">
        <f t="shared" si="16"/>
        <v>5234558.919300884</v>
      </c>
      <c r="AK65" s="44">
        <f t="shared" si="17"/>
        <v>0</v>
      </c>
      <c r="AL65" s="46">
        <f t="shared" si="18"/>
        <v>0.25</v>
      </c>
      <c r="AM65" s="46">
        <f t="shared" si="19"/>
        <v>0.66</v>
      </c>
      <c r="AN65" s="81">
        <f>IFERROR(INDEX(FeeCalc!P:P,MATCH(C65,FeeCalc!F:F,0)),0)</f>
        <v>13528152.341434631</v>
      </c>
      <c r="AO65" s="81">
        <f>IFERROR(INDEX(FeeCalc!S:S,MATCH(C65,FeeCalc!F:F,0)),0)</f>
        <v>831589.37818598247</v>
      </c>
      <c r="AP65" s="81">
        <f t="shared" si="20"/>
        <v>14359741.719620613</v>
      </c>
      <c r="AQ65" s="68">
        <f t="shared" si="24"/>
        <v>5651305.0732401321</v>
      </c>
      <c r="AR65" s="68">
        <f>INDEX('IGT Commitment Suggestions'!H:H,MATCH(G65,'IGT Commitment Suggestions'!A:A,0))*AQ65</f>
        <v>2588052.6173646734</v>
      </c>
    </row>
    <row r="66" spans="1:44">
      <c r="A66" s="103" t="s">
        <v>1551</v>
      </c>
      <c r="B66" s="123" t="s">
        <v>1551</v>
      </c>
      <c r="C66" s="30" t="s">
        <v>1613</v>
      </c>
      <c r="D66" s="124" t="s">
        <v>1613</v>
      </c>
      <c r="E66" s="119" t="s">
        <v>2576</v>
      </c>
      <c r="F66" s="99" t="s">
        <v>2283</v>
      </c>
      <c r="G66" s="99" t="s">
        <v>1514</v>
      </c>
      <c r="H66" s="42" t="str">
        <f t="shared" si="2"/>
        <v>Urban Hidalgo</v>
      </c>
      <c r="I66" s="44">
        <f>INDEX(FeeCalc!M:M,MATCH(C:C,FeeCalc!F:F,0))</f>
        <v>24189016.358372543</v>
      </c>
      <c r="J66" s="44">
        <f>INDEX(FeeCalc!L:L,MATCH(C:C,FeeCalc!F:F,0))</f>
        <v>23035408.411882669</v>
      </c>
      <c r="K66" s="44">
        <f t="shared" si="3"/>
        <v>47224424.770255208</v>
      </c>
      <c r="L66" s="44">
        <v>16601222.4</v>
      </c>
      <c r="M66" s="44">
        <v>7760593.9500000002</v>
      </c>
      <c r="N66" s="44">
        <f t="shared" si="4"/>
        <v>24361816.350000001</v>
      </c>
      <c r="O66" s="44">
        <v>47080784.696972758</v>
      </c>
      <c r="P66" s="44">
        <v>27946476.441629499</v>
      </c>
      <c r="Q66" s="44">
        <f t="shared" si="5"/>
        <v>75027261.138602257</v>
      </c>
      <c r="R66" s="44" t="str">
        <f t="shared" si="6"/>
        <v>Yes</v>
      </c>
      <c r="S66" s="45" t="str">
        <f t="shared" si="7"/>
        <v>Yes</v>
      </c>
      <c r="T66" s="46">
        <f>ROUND(INDEX(Summary!H:H,MATCH(H:H,Summary!A:A,0)),2)</f>
        <v>0.72</v>
      </c>
      <c r="U66" s="46">
        <f>ROUND(INDEX(Summary!I:I,MATCH(H:H,Summary!A:A,0)),2)</f>
        <v>0.53</v>
      </c>
      <c r="V66" s="79">
        <f t="shared" si="8"/>
        <v>17416091.778028231</v>
      </c>
      <c r="W66" s="79">
        <f t="shared" si="9"/>
        <v>12208766.458297815</v>
      </c>
      <c r="X66" s="44">
        <f t="shared" si="10"/>
        <v>29624858.236326046</v>
      </c>
      <c r="Y66" s="44" t="s">
        <v>2765</v>
      </c>
      <c r="Z66" s="44" t="str">
        <f t="shared" si="11"/>
        <v>Yes</v>
      </c>
      <c r="AA66" s="44" t="str">
        <f t="shared" si="12"/>
        <v>Yes</v>
      </c>
      <c r="AB66" s="44" t="str">
        <f t="shared" si="13"/>
        <v>Yes</v>
      </c>
      <c r="AC66" s="80">
        <f t="shared" si="21"/>
        <v>0.85</v>
      </c>
      <c r="AD66" s="80">
        <f t="shared" si="22"/>
        <v>0.48</v>
      </c>
      <c r="AE66" s="44">
        <f t="shared" si="23"/>
        <v>20560663.904616661</v>
      </c>
      <c r="AF66" s="44">
        <f t="shared" si="14"/>
        <v>11056996.03770368</v>
      </c>
      <c r="AG66" s="44">
        <f t="shared" si="15"/>
        <v>31617659.942320339</v>
      </c>
      <c r="AH66" s="46">
        <f>IF(Y66="No",0,IFERROR(ROUNDDOWN(INDEX('90% of ACR'!K:K,MATCH(H:H,'90% of ACR'!A:A,0))*IF(I66&gt;0,IF(O66&gt;0,$R$4*MAX(O66-V66,0),0),0)/I66,2),0))</f>
        <v>0.85</v>
      </c>
      <c r="AI66" s="80">
        <f>IF(Y66="No",0,IFERROR(ROUNDDOWN(INDEX('90% of ACR'!R:R,MATCH(H:H,'90% of ACR'!A:A,0))*IF(J66&gt;0,IF(P66&gt;0,$R$4*MAX(P66-W66,0),0),0)/J66,2),0))</f>
        <v>0.45</v>
      </c>
      <c r="AJ66" s="44">
        <f t="shared" si="16"/>
        <v>20560663.904616661</v>
      </c>
      <c r="AK66" s="44">
        <f t="shared" si="17"/>
        <v>10365933.785347201</v>
      </c>
      <c r="AL66" s="46">
        <f t="shared" si="18"/>
        <v>1.5699999999999998</v>
      </c>
      <c r="AM66" s="46">
        <f t="shared" si="19"/>
        <v>0.98</v>
      </c>
      <c r="AN66" s="81">
        <f>IFERROR(INDEX(FeeCalc!P:P,MATCH(C66,FeeCalc!F:F,0)),0)</f>
        <v>60551455.926289901</v>
      </c>
      <c r="AO66" s="81">
        <f>IFERROR(INDEX(FeeCalc!S:S,MATCH(C66,FeeCalc!F:F,0)),0)</f>
        <v>3725772.5183110288</v>
      </c>
      <c r="AP66" s="81">
        <f t="shared" si="20"/>
        <v>64277228.444600932</v>
      </c>
      <c r="AQ66" s="68">
        <f t="shared" si="24"/>
        <v>25296431.808829587</v>
      </c>
      <c r="AR66" s="68">
        <f>INDEX('IGT Commitment Suggestions'!H:H,MATCH(G66,'IGT Commitment Suggestions'!A:A,0))*AQ66</f>
        <v>11582035.793284159</v>
      </c>
    </row>
    <row r="67" spans="1:44">
      <c r="A67" s="103" t="s">
        <v>1566</v>
      </c>
      <c r="B67" s="123" t="s">
        <v>1566</v>
      </c>
      <c r="C67" s="30" t="s">
        <v>1590</v>
      </c>
      <c r="D67" s="124" t="s">
        <v>1590</v>
      </c>
      <c r="E67" s="119" t="s">
        <v>2577</v>
      </c>
      <c r="F67" s="99" t="s">
        <v>2283</v>
      </c>
      <c r="G67" s="99" t="s">
        <v>310</v>
      </c>
      <c r="H67" s="42" t="str">
        <f t="shared" si="2"/>
        <v>Urban MRSA Northeast</v>
      </c>
      <c r="I67" s="44">
        <f>INDEX(FeeCalc!M:M,MATCH(C:C,FeeCalc!F:F,0))</f>
        <v>7890962.7003800459</v>
      </c>
      <c r="J67" s="44">
        <f>INDEX(FeeCalc!L:L,MATCH(C:C,FeeCalc!F:F,0))</f>
        <v>4411652.6572839664</v>
      </c>
      <c r="K67" s="44">
        <f t="shared" si="3"/>
        <v>12302615.357664011</v>
      </c>
      <c r="L67" s="44">
        <v>4811976.87</v>
      </c>
      <c r="M67" s="44">
        <v>2484451.17</v>
      </c>
      <c r="N67" s="44">
        <f t="shared" si="4"/>
        <v>7296428.04</v>
      </c>
      <c r="O67" s="44">
        <v>15728706.514511261</v>
      </c>
      <c r="P67" s="44">
        <v>4566887.8088462623</v>
      </c>
      <c r="Q67" s="44">
        <f t="shared" si="5"/>
        <v>20295594.323357522</v>
      </c>
      <c r="R67" s="44" t="str">
        <f t="shared" si="6"/>
        <v>Yes</v>
      </c>
      <c r="S67" s="45" t="str">
        <f t="shared" si="7"/>
        <v>Yes</v>
      </c>
      <c r="T67" s="46">
        <f>ROUND(INDEX(Summary!H:H,MATCH(H:H,Summary!A:A,0)),2)</f>
        <v>0.68</v>
      </c>
      <c r="U67" s="46">
        <f>ROUND(INDEX(Summary!I:I,MATCH(H:H,Summary!A:A,0)),2)</f>
        <v>1.06</v>
      </c>
      <c r="V67" s="79">
        <f t="shared" si="8"/>
        <v>5365854.6362584317</v>
      </c>
      <c r="W67" s="79">
        <f t="shared" si="9"/>
        <v>4676351.8167210044</v>
      </c>
      <c r="X67" s="44">
        <f t="shared" si="10"/>
        <v>10042206.452979436</v>
      </c>
      <c r="Y67" s="44" t="s">
        <v>2765</v>
      </c>
      <c r="Z67" s="44" t="str">
        <f t="shared" si="11"/>
        <v>Yes</v>
      </c>
      <c r="AA67" s="44" t="str">
        <f t="shared" si="12"/>
        <v>No</v>
      </c>
      <c r="AB67" s="44" t="str">
        <f t="shared" si="13"/>
        <v>Yes</v>
      </c>
      <c r="AC67" s="80">
        <f t="shared" si="21"/>
        <v>0.91</v>
      </c>
      <c r="AD67" s="80">
        <f t="shared" si="22"/>
        <v>0</v>
      </c>
      <c r="AE67" s="44">
        <f t="shared" si="23"/>
        <v>7180776.057345842</v>
      </c>
      <c r="AF67" s="44">
        <f t="shared" si="14"/>
        <v>0</v>
      </c>
      <c r="AG67" s="44">
        <f t="shared" si="15"/>
        <v>7180776.057345842</v>
      </c>
      <c r="AH67" s="46">
        <f>IF(Y67="No",0,IFERROR(ROUNDDOWN(INDEX('90% of ACR'!K:K,MATCH(H:H,'90% of ACR'!A:A,0))*IF(I67&gt;0,IF(O67&gt;0,$R$4*MAX(O67-V67,0),0),0)/I67,2),0))</f>
        <v>0.91</v>
      </c>
      <c r="AI67" s="80">
        <f>IF(Y67="No",0,IFERROR(ROUNDDOWN(INDEX('90% of ACR'!R:R,MATCH(H:H,'90% of ACR'!A:A,0))*IF(J67&gt;0,IF(P67&gt;0,$R$4*MAX(P67-W67,0),0),0)/J67,2),0))</f>
        <v>0</v>
      </c>
      <c r="AJ67" s="44">
        <f t="shared" si="16"/>
        <v>7180776.057345842</v>
      </c>
      <c r="AK67" s="44">
        <f t="shared" si="17"/>
        <v>0</v>
      </c>
      <c r="AL67" s="46">
        <f t="shared" si="18"/>
        <v>1.59</v>
      </c>
      <c r="AM67" s="46">
        <f t="shared" si="19"/>
        <v>1.06</v>
      </c>
      <c r="AN67" s="81">
        <f>IFERROR(INDEX(FeeCalc!P:P,MATCH(C67,FeeCalc!F:F,0)),0)</f>
        <v>17222982.510325279</v>
      </c>
      <c r="AO67" s="81">
        <f>IFERROR(INDEX(FeeCalc!S:S,MATCH(C67,FeeCalc!F:F,0)),0)</f>
        <v>1072636.5668515619</v>
      </c>
      <c r="AP67" s="81">
        <f t="shared" si="20"/>
        <v>18295619.077176839</v>
      </c>
      <c r="AQ67" s="68">
        <f t="shared" si="24"/>
        <v>7200277.4790610997</v>
      </c>
      <c r="AR67" s="68">
        <f>INDEX('IGT Commitment Suggestions'!H:H,MATCH(G67,'IGT Commitment Suggestions'!A:A,0))*AQ67</f>
        <v>3297773.3192898701</v>
      </c>
    </row>
    <row r="68" spans="1:44">
      <c r="A68" s="103" t="s">
        <v>662</v>
      </c>
      <c r="B68" s="123" t="s">
        <v>662</v>
      </c>
      <c r="C68" s="30" t="s">
        <v>663</v>
      </c>
      <c r="D68" s="124" t="s">
        <v>663</v>
      </c>
      <c r="E68" s="119" t="s">
        <v>2578</v>
      </c>
      <c r="F68" s="99" t="s">
        <v>2283</v>
      </c>
      <c r="G68" s="99" t="s">
        <v>1514</v>
      </c>
      <c r="H68" s="42" t="str">
        <f t="shared" si="2"/>
        <v>Urban Hidalgo</v>
      </c>
      <c r="I68" s="44">
        <f>INDEX(FeeCalc!M:M,MATCH(C:C,FeeCalc!F:F,0))</f>
        <v>259376.337472488</v>
      </c>
      <c r="J68" s="44">
        <f>INDEX(FeeCalc!L:L,MATCH(C:C,FeeCalc!F:F,0))</f>
        <v>656653.46979992092</v>
      </c>
      <c r="K68" s="44">
        <f t="shared" si="3"/>
        <v>916029.80727240886</v>
      </c>
      <c r="L68" s="44">
        <v>91669.11</v>
      </c>
      <c r="M68" s="44">
        <v>526014.75</v>
      </c>
      <c r="N68" s="44">
        <f t="shared" si="4"/>
        <v>617683.86</v>
      </c>
      <c r="O68" s="44">
        <v>182723.77120933749</v>
      </c>
      <c r="P68" s="44">
        <v>556727.6836754824</v>
      </c>
      <c r="Q68" s="44">
        <f t="shared" si="5"/>
        <v>739451.45488481992</v>
      </c>
      <c r="R68" s="44" t="str">
        <f t="shared" si="6"/>
        <v>Yes</v>
      </c>
      <c r="S68" s="45" t="str">
        <f t="shared" si="7"/>
        <v>Yes</v>
      </c>
      <c r="T68" s="46">
        <f>ROUND(INDEX(Summary!H:H,MATCH(H:H,Summary!A:A,0)),2)</f>
        <v>0.72</v>
      </c>
      <c r="U68" s="46">
        <f>ROUND(INDEX(Summary!I:I,MATCH(H:H,Summary!A:A,0)),2)</f>
        <v>0.53</v>
      </c>
      <c r="V68" s="79">
        <f t="shared" si="8"/>
        <v>186750.96298019134</v>
      </c>
      <c r="W68" s="79">
        <f t="shared" si="9"/>
        <v>348026.33899395808</v>
      </c>
      <c r="X68" s="44">
        <f t="shared" si="10"/>
        <v>534777.30197414942</v>
      </c>
      <c r="Y68" s="44" t="s">
        <v>2765</v>
      </c>
      <c r="Z68" s="44" t="str">
        <f t="shared" si="11"/>
        <v>No</v>
      </c>
      <c r="AA68" s="44" t="str">
        <f t="shared" si="12"/>
        <v>Yes</v>
      </c>
      <c r="AB68" s="44" t="str">
        <f t="shared" si="13"/>
        <v>Yes</v>
      </c>
      <c r="AC68" s="80">
        <f t="shared" si="21"/>
        <v>0</v>
      </c>
      <c r="AD68" s="80">
        <f t="shared" si="22"/>
        <v>0.22</v>
      </c>
      <c r="AE68" s="44">
        <f t="shared" si="23"/>
        <v>0</v>
      </c>
      <c r="AF68" s="44">
        <f t="shared" si="14"/>
        <v>144463.76335598261</v>
      </c>
      <c r="AG68" s="44">
        <f t="shared" si="15"/>
        <v>144463.76335598261</v>
      </c>
      <c r="AH68" s="46">
        <f>IF(Y68="No",0,IFERROR(ROUNDDOWN(INDEX('90% of ACR'!K:K,MATCH(H:H,'90% of ACR'!A:A,0))*IF(I68&gt;0,IF(O68&gt;0,$R$4*MAX(O68-V68,0),0),0)/I68,2),0))</f>
        <v>0</v>
      </c>
      <c r="AI68" s="80">
        <f>IF(Y68="No",0,IFERROR(ROUNDDOWN(INDEX('90% of ACR'!R:R,MATCH(H:H,'90% of ACR'!A:A,0))*IF(J68&gt;0,IF(P68&gt;0,$R$4*MAX(P68-W68,0),0),0)/J68,2),0))</f>
        <v>0.21</v>
      </c>
      <c r="AJ68" s="44">
        <f t="shared" si="16"/>
        <v>0</v>
      </c>
      <c r="AK68" s="44">
        <f t="shared" si="17"/>
        <v>137897.22865798339</v>
      </c>
      <c r="AL68" s="46">
        <f t="shared" si="18"/>
        <v>0.72</v>
      </c>
      <c r="AM68" s="46">
        <f t="shared" si="19"/>
        <v>0.74</v>
      </c>
      <c r="AN68" s="81">
        <f>IFERROR(INDEX(FeeCalc!P:P,MATCH(C68,FeeCalc!F:F,0)),0)</f>
        <v>672674.5306321329</v>
      </c>
      <c r="AO68" s="81">
        <f>IFERROR(INDEX(FeeCalc!S:S,MATCH(C68,FeeCalc!F:F,0)),0)</f>
        <v>41504.013172843799</v>
      </c>
      <c r="AP68" s="81">
        <f t="shared" si="20"/>
        <v>714178.54380497674</v>
      </c>
      <c r="AQ68" s="68">
        <f t="shared" si="24"/>
        <v>281066.39427153621</v>
      </c>
      <c r="AR68" s="68">
        <f>INDEX('IGT Commitment Suggestions'!H:H,MATCH(G68,'IGT Commitment Suggestions'!A:A,0))*AQ68</f>
        <v>128686.96515553619</v>
      </c>
    </row>
    <row r="69" spans="1:44">
      <c r="A69" s="103" t="s">
        <v>137</v>
      </c>
      <c r="B69" s="123" t="s">
        <v>137</v>
      </c>
      <c r="C69" s="30" t="s">
        <v>138</v>
      </c>
      <c r="D69" s="124" t="s">
        <v>138</v>
      </c>
      <c r="E69" s="119" t="s">
        <v>2579</v>
      </c>
      <c r="F69" s="99" t="s">
        <v>2295</v>
      </c>
      <c r="G69" s="99" t="s">
        <v>310</v>
      </c>
      <c r="H69" s="42" t="str">
        <f t="shared" ref="H69:H131" si="25">CONCATENATE(F69," ",G69)</f>
        <v>Rural MRSA Northeast</v>
      </c>
      <c r="I69" s="44">
        <f>INDEX(FeeCalc!M:M,MATCH(C:C,FeeCalc!F:F,0))</f>
        <v>93296.548141953303</v>
      </c>
      <c r="J69" s="44">
        <f>INDEX(FeeCalc!L:L,MATCH(C:C,FeeCalc!F:F,0))</f>
        <v>653028.82106436545</v>
      </c>
      <c r="K69" s="44">
        <f t="shared" ref="K69:K131" si="26">I69+J69</f>
        <v>746325.36920631875</v>
      </c>
      <c r="L69" s="44">
        <v>159.38999999999999</v>
      </c>
      <c r="M69" s="44">
        <v>-51317.25</v>
      </c>
      <c r="N69" s="44">
        <f t="shared" ref="N69:N131" si="27">+L69+M69</f>
        <v>-51157.86</v>
      </c>
      <c r="O69" s="44">
        <v>83057.379048866234</v>
      </c>
      <c r="P69" s="44">
        <v>182815.90509024679</v>
      </c>
      <c r="Q69" s="44">
        <f t="shared" ref="Q69:Q131" si="28">O69+P69</f>
        <v>265873.28413911304</v>
      </c>
      <c r="R69" s="44" t="str">
        <f t="shared" ref="R69:S131" si="29">IF(O69&gt;0,"Yes","No")</f>
        <v>Yes</v>
      </c>
      <c r="S69" s="45" t="str">
        <f t="shared" si="29"/>
        <v>Yes</v>
      </c>
      <c r="T69" s="46">
        <f>ROUND(INDEX(Summary!H:H,MATCH(H:H,Summary!A:A,0)),2)</f>
        <v>0</v>
      </c>
      <c r="U69" s="46">
        <f>ROUND(INDEX(Summary!I:I,MATCH(H:H,Summary!A:A,0)),2)</f>
        <v>0.32</v>
      </c>
      <c r="V69" s="79">
        <f t="shared" ref="V69:W131" si="30">+T69*I69</f>
        <v>0</v>
      </c>
      <c r="W69" s="79">
        <f t="shared" si="30"/>
        <v>208969.22274059695</v>
      </c>
      <c r="X69" s="44">
        <f t="shared" ref="X69:X131" si="31">+V69+W69</f>
        <v>208969.22274059695</v>
      </c>
      <c r="Y69" s="44" t="s">
        <v>2765</v>
      </c>
      <c r="Z69" s="44" t="str">
        <f t="shared" ref="Z69:AA131" si="32">IF(AJ69&gt;0,"Yes","No")</f>
        <v>Yes</v>
      </c>
      <c r="AA69" s="44" t="str">
        <f t="shared" si="32"/>
        <v>No</v>
      </c>
      <c r="AB69" s="44" t="str">
        <f t="shared" ref="AB69:AB131" si="33">IF(AG69&gt;0,"Yes","No")</f>
        <v>Yes</v>
      </c>
      <c r="AC69" s="80">
        <f t="shared" si="21"/>
        <v>0.62</v>
      </c>
      <c r="AD69" s="80">
        <f t="shared" si="22"/>
        <v>0</v>
      </c>
      <c r="AE69" s="44">
        <f t="shared" ref="AE69:AF131" si="34">AC69*I69</f>
        <v>57843.859848011045</v>
      </c>
      <c r="AF69" s="44">
        <f t="shared" si="34"/>
        <v>0</v>
      </c>
      <c r="AG69" s="44">
        <f t="shared" ref="AG69:AG131" si="35">AE69+AF69</f>
        <v>57843.859848011045</v>
      </c>
      <c r="AH69" s="46">
        <f>IF(Y69="No",0,IFERROR(ROUNDDOWN(INDEX('90% of ACR'!K:K,MATCH(H:H,'90% of ACR'!A:A,0))*IF(I69&gt;0,IF(O69&gt;0,$R$4*MAX(O69-V69,0),0),0)/I69,2),0))</f>
        <v>0.42</v>
      </c>
      <c r="AI69" s="80">
        <f>IF(Y69="No",0,IFERROR(ROUNDDOWN(INDEX('90% of ACR'!R:R,MATCH(H:H,'90% of ACR'!A:A,0))*IF(J69&gt;0,IF(P69&gt;0,$R$4*MAX(P69-W69,0),0),0)/J69,2),0))</f>
        <v>0</v>
      </c>
      <c r="AJ69" s="44">
        <f t="shared" ref="AJ69:AK131" si="36">I69*AH69</f>
        <v>39184.550219620389</v>
      </c>
      <c r="AK69" s="44">
        <f t="shared" si="36"/>
        <v>0</v>
      </c>
      <c r="AL69" s="46">
        <f t="shared" ref="AL69:AM131" si="37">T69+AH69</f>
        <v>0.42</v>
      </c>
      <c r="AM69" s="46">
        <f t="shared" si="37"/>
        <v>0.32</v>
      </c>
      <c r="AN69" s="81">
        <f>IFERROR(INDEX(FeeCalc!P:P,MATCH(C69,FeeCalc!F:F,0)),0)</f>
        <v>248153.77296021732</v>
      </c>
      <c r="AO69" s="81">
        <f>IFERROR(INDEX(FeeCalc!S:S,MATCH(C69,FeeCalc!F:F,0)),0)</f>
        <v>15327.2645633211</v>
      </c>
      <c r="AP69" s="81">
        <f t="shared" ref="AP69:AP131" si="38">AN69+AO69</f>
        <v>263481.0375235384</v>
      </c>
      <c r="AQ69" s="68">
        <f t="shared" ref="AQ69:AQ131" si="39">$AQ$3*AP69*1.08</f>
        <v>103693.4892794636</v>
      </c>
      <c r="AR69" s="68">
        <f>INDEX('IGT Commitment Suggestions'!H:H,MATCH(G69,'IGT Commitment Suggestions'!A:A,0))*AQ69</f>
        <v>47492.283918824156</v>
      </c>
    </row>
    <row r="70" spans="1:44">
      <c r="A70" s="103" t="s">
        <v>500</v>
      </c>
      <c r="B70" s="123" t="s">
        <v>500</v>
      </c>
      <c r="C70" s="30" t="s">
        <v>501</v>
      </c>
      <c r="D70" s="124" t="s">
        <v>501</v>
      </c>
      <c r="E70" s="119" t="s">
        <v>2704</v>
      </c>
      <c r="F70" s="99" t="s">
        <v>2295</v>
      </c>
      <c r="G70" s="99" t="s">
        <v>227</v>
      </c>
      <c r="H70" s="42" t="str">
        <f t="shared" si="25"/>
        <v>Rural MRSA West</v>
      </c>
      <c r="I70" s="44">
        <f>INDEX(FeeCalc!M:M,MATCH(C:C,FeeCalc!F:F,0))</f>
        <v>38202.956480993511</v>
      </c>
      <c r="J70" s="44">
        <f>INDEX(FeeCalc!L:L,MATCH(C:C,FeeCalc!F:F,0))</f>
        <v>192478.14202750201</v>
      </c>
      <c r="K70" s="44">
        <f t="shared" si="26"/>
        <v>230681.09850849552</v>
      </c>
      <c r="L70" s="44">
        <v>41030.410000000003</v>
      </c>
      <c r="M70" s="44">
        <v>-11432.64</v>
      </c>
      <c r="N70" s="44">
        <f t="shared" si="27"/>
        <v>29597.770000000004</v>
      </c>
      <c r="O70" s="44">
        <v>10180.430550728786</v>
      </c>
      <c r="P70" s="44">
        <v>16370.190407982329</v>
      </c>
      <c r="Q70" s="44">
        <f t="shared" si="28"/>
        <v>26550.620958711115</v>
      </c>
      <c r="R70" s="44" t="str">
        <f t="shared" si="29"/>
        <v>Yes</v>
      </c>
      <c r="S70" s="45" t="str">
        <f t="shared" si="29"/>
        <v>Yes</v>
      </c>
      <c r="T70" s="46">
        <f>ROUND(INDEX(Summary!H:H,MATCH(H:H,Summary!A:A,0)),2)</f>
        <v>0</v>
      </c>
      <c r="U70" s="46">
        <f>ROUND(INDEX(Summary!I:I,MATCH(H:H,Summary!A:A,0)),2)</f>
        <v>0.18</v>
      </c>
      <c r="V70" s="79">
        <f t="shared" si="30"/>
        <v>0</v>
      </c>
      <c r="W70" s="79">
        <f t="shared" si="30"/>
        <v>34646.065564950361</v>
      </c>
      <c r="X70" s="44">
        <f t="shared" si="31"/>
        <v>34646.065564950361</v>
      </c>
      <c r="Y70" s="44" t="s">
        <v>2765</v>
      </c>
      <c r="Z70" s="44" t="str">
        <f t="shared" si="32"/>
        <v>No</v>
      </c>
      <c r="AA70" s="44" t="str">
        <f t="shared" si="32"/>
        <v>No</v>
      </c>
      <c r="AB70" s="44" t="str">
        <f t="shared" si="33"/>
        <v>Yes</v>
      </c>
      <c r="AC70" s="80">
        <f t="shared" ref="AC70:AC133" si="40">IF(Y70="No",0,IFERROR(ROUND(IF(I70&gt;0,IF(O70&gt;0,$R$4*MAX(O70-V70,0),0),0)/I70,2),0))</f>
        <v>0.19</v>
      </c>
      <c r="AD70" s="80">
        <f t="shared" ref="AD70:AD133" si="41">IF(Y70="No",0,IFERROR(ROUND(IF(J70&gt;0,IF(P70&gt;0,$R$4*MAX(P70-W70,0),0),0)/J70,2),0))</f>
        <v>0</v>
      </c>
      <c r="AE70" s="44">
        <f t="shared" si="34"/>
        <v>7258.5617313887669</v>
      </c>
      <c r="AF70" s="44">
        <f t="shared" si="34"/>
        <v>0</v>
      </c>
      <c r="AG70" s="44">
        <f t="shared" si="35"/>
        <v>7258.5617313887669</v>
      </c>
      <c r="AH70" s="46">
        <f>IF(Y70="No",0,IFERROR(ROUNDDOWN(INDEX('90% of ACR'!K:K,MATCH(H:H,'90% of ACR'!A:A,0))*IF(I70&gt;0,IF(O70&gt;0,$R$4*MAX(O70-V70,0),0),0)/I70,2),0))</f>
        <v>0</v>
      </c>
      <c r="AI70" s="80">
        <f>IF(Y70="No",0,IFERROR(ROUNDDOWN(INDEX('90% of ACR'!R:R,MATCH(H:H,'90% of ACR'!A:A,0))*IF(J70&gt;0,IF(P70&gt;0,$R$4*MAX(P70-W70,0),0),0)/J70,2),0))</f>
        <v>0</v>
      </c>
      <c r="AJ70" s="44">
        <f t="shared" si="36"/>
        <v>0</v>
      </c>
      <c r="AK70" s="44">
        <f t="shared" si="36"/>
        <v>0</v>
      </c>
      <c r="AL70" s="46">
        <f t="shared" si="37"/>
        <v>0</v>
      </c>
      <c r="AM70" s="46">
        <f t="shared" si="37"/>
        <v>0.18</v>
      </c>
      <c r="AN70" s="81">
        <f>IFERROR(INDEX(FeeCalc!P:P,MATCH(C70,FeeCalc!F:F,0)),0)</f>
        <v>34646.065564950361</v>
      </c>
      <c r="AO70" s="81">
        <f>IFERROR(INDEX(FeeCalc!S:S,MATCH(C70,FeeCalc!F:F,0)),0)</f>
        <v>2133.9445697542051</v>
      </c>
      <c r="AP70" s="81">
        <f t="shared" si="38"/>
        <v>36780.010134704564</v>
      </c>
      <c r="AQ70" s="68">
        <f t="shared" si="39"/>
        <v>14474.846548533253</v>
      </c>
      <c r="AR70" s="68">
        <f>INDEX('IGT Commitment Suggestions'!H:H,MATCH(G70,'IGT Commitment Suggestions'!A:A,0))*AQ70</f>
        <v>7093.5961429150475</v>
      </c>
    </row>
    <row r="71" spans="1:44">
      <c r="A71" s="103" t="s">
        <v>692</v>
      </c>
      <c r="B71" s="123" t="s">
        <v>692</v>
      </c>
      <c r="C71" s="30" t="s">
        <v>693</v>
      </c>
      <c r="D71" s="124" t="s">
        <v>693</v>
      </c>
      <c r="E71" s="119" t="s">
        <v>2459</v>
      </c>
      <c r="F71" s="99" t="s">
        <v>2295</v>
      </c>
      <c r="G71" s="99" t="s">
        <v>227</v>
      </c>
      <c r="H71" s="42" t="str">
        <f t="shared" si="25"/>
        <v>Rural MRSA West</v>
      </c>
      <c r="I71" s="44">
        <f>INDEX(FeeCalc!M:M,MATCH(C:C,FeeCalc!F:F,0))</f>
        <v>155124.70519408368</v>
      </c>
      <c r="J71" s="44">
        <f>INDEX(FeeCalc!L:L,MATCH(C:C,FeeCalc!F:F,0))</f>
        <v>997797.7592699118</v>
      </c>
      <c r="K71" s="44">
        <f t="shared" si="26"/>
        <v>1152922.4644639955</v>
      </c>
      <c r="L71" s="44">
        <v>124604.33</v>
      </c>
      <c r="M71" s="44">
        <v>261491.3</v>
      </c>
      <c r="N71" s="44">
        <f t="shared" si="27"/>
        <v>386095.63</v>
      </c>
      <c r="O71" s="44">
        <v>21421.728943620386</v>
      </c>
      <c r="P71" s="44">
        <v>-64303.028443998948</v>
      </c>
      <c r="Q71" s="44">
        <f t="shared" si="28"/>
        <v>-42881.299500378562</v>
      </c>
      <c r="R71" s="44" t="str">
        <f t="shared" si="29"/>
        <v>Yes</v>
      </c>
      <c r="S71" s="45" t="str">
        <f t="shared" si="29"/>
        <v>No</v>
      </c>
      <c r="T71" s="46">
        <f>ROUND(INDEX(Summary!H:H,MATCH(H:H,Summary!A:A,0)),2)</f>
        <v>0</v>
      </c>
      <c r="U71" s="46">
        <f>ROUND(INDEX(Summary!I:I,MATCH(H:H,Summary!A:A,0)),2)</f>
        <v>0.18</v>
      </c>
      <c r="V71" s="79">
        <f t="shared" si="30"/>
        <v>0</v>
      </c>
      <c r="W71" s="79">
        <f t="shared" si="30"/>
        <v>179603.59666858413</v>
      </c>
      <c r="X71" s="44">
        <f t="shared" si="31"/>
        <v>179603.59666858413</v>
      </c>
      <c r="Y71" s="44" t="s">
        <v>2765</v>
      </c>
      <c r="Z71" s="44" t="str">
        <f t="shared" si="32"/>
        <v>No</v>
      </c>
      <c r="AA71" s="44" t="str">
        <f t="shared" si="32"/>
        <v>No</v>
      </c>
      <c r="AB71" s="44" t="str">
        <f t="shared" si="33"/>
        <v>Yes</v>
      </c>
      <c r="AC71" s="80">
        <f t="shared" si="40"/>
        <v>0.1</v>
      </c>
      <c r="AD71" s="80">
        <f t="shared" si="41"/>
        <v>0</v>
      </c>
      <c r="AE71" s="44">
        <f t="shared" si="34"/>
        <v>15512.470519408369</v>
      </c>
      <c r="AF71" s="44">
        <f t="shared" si="34"/>
        <v>0</v>
      </c>
      <c r="AG71" s="44">
        <f t="shared" si="35"/>
        <v>15512.470519408369</v>
      </c>
      <c r="AH71" s="46">
        <f>IF(Y71="No",0,IFERROR(ROUNDDOWN(INDEX('90% of ACR'!K:K,MATCH(H:H,'90% of ACR'!A:A,0))*IF(I71&gt;0,IF(O71&gt;0,$R$4*MAX(O71-V71,0),0),0)/I71,2),0))</f>
        <v>0</v>
      </c>
      <c r="AI71" s="80">
        <f>IF(Y71="No",0,IFERROR(ROUNDDOWN(INDEX('90% of ACR'!R:R,MATCH(H:H,'90% of ACR'!A:A,0))*IF(J71&gt;0,IF(P71&gt;0,$R$4*MAX(P71-W71,0),0),0)/J71,2),0))</f>
        <v>0</v>
      </c>
      <c r="AJ71" s="44">
        <f t="shared" si="36"/>
        <v>0</v>
      </c>
      <c r="AK71" s="44">
        <f t="shared" si="36"/>
        <v>0</v>
      </c>
      <c r="AL71" s="46">
        <f t="shared" si="37"/>
        <v>0</v>
      </c>
      <c r="AM71" s="46">
        <f t="shared" si="37"/>
        <v>0.18</v>
      </c>
      <c r="AN71" s="81">
        <f>IFERROR(INDEX(FeeCalc!P:P,MATCH(C71,FeeCalc!F:F,0)),0)</f>
        <v>179603.59666858413</v>
      </c>
      <c r="AO71" s="81">
        <f>IFERROR(INDEX(FeeCalc!S:S,MATCH(C71,FeeCalc!F:F,0)),0)</f>
        <v>11093.083385000442</v>
      </c>
      <c r="AP71" s="81">
        <f t="shared" si="38"/>
        <v>190696.68005358457</v>
      </c>
      <c r="AQ71" s="68">
        <f t="shared" si="39"/>
        <v>75049.059828448313</v>
      </c>
      <c r="AR71" s="68">
        <f>INDEX('IGT Commitment Suggestions'!H:H,MATCH(G71,'IGT Commitment Suggestions'!A:A,0))*AQ71</f>
        <v>36778.816241228262</v>
      </c>
    </row>
    <row r="72" spans="1:44">
      <c r="A72" s="103" t="s">
        <v>2288</v>
      </c>
      <c r="B72" s="123" t="s">
        <v>2288</v>
      </c>
      <c r="C72" s="30" t="s">
        <v>672</v>
      </c>
      <c r="D72" s="124" t="s">
        <v>672</v>
      </c>
      <c r="E72" s="119" t="s">
        <v>2473</v>
      </c>
      <c r="F72" s="99" t="s">
        <v>2283</v>
      </c>
      <c r="G72" s="99" t="s">
        <v>1526</v>
      </c>
      <c r="H72" s="42" t="str">
        <f t="shared" si="25"/>
        <v>Urban Lubbock</v>
      </c>
      <c r="I72" s="44">
        <f>INDEX(FeeCalc!M:M,MATCH(C:C,FeeCalc!F:F,0))</f>
        <v>4386322.4061436728</v>
      </c>
      <c r="J72" s="44">
        <f>INDEX(FeeCalc!L:L,MATCH(C:C,FeeCalc!F:F,0))</f>
        <v>2798334.6470305743</v>
      </c>
      <c r="K72" s="44">
        <f t="shared" si="26"/>
        <v>7184657.053174247</v>
      </c>
      <c r="L72" s="44">
        <v>4710929.4800000004</v>
      </c>
      <c r="M72" s="44">
        <v>5132332.0199999996</v>
      </c>
      <c r="N72" s="44">
        <f t="shared" si="27"/>
        <v>9843261.5</v>
      </c>
      <c r="O72" s="44">
        <v>19983843.39915223</v>
      </c>
      <c r="P72" s="44">
        <v>8163868.1135107568</v>
      </c>
      <c r="Q72" s="44">
        <f t="shared" si="28"/>
        <v>28147711.512662988</v>
      </c>
      <c r="R72" s="44" t="str">
        <f t="shared" si="29"/>
        <v>Yes</v>
      </c>
      <c r="S72" s="45" t="str">
        <f t="shared" si="29"/>
        <v>Yes</v>
      </c>
      <c r="T72" s="46">
        <f>ROUND(INDEX(Summary!H:H,MATCH(H:H,Summary!A:A,0)),2)</f>
        <v>0</v>
      </c>
      <c r="U72" s="46">
        <f>ROUND(INDEX(Summary!I:I,MATCH(H:H,Summary!A:A,0)),2)</f>
        <v>0.66</v>
      </c>
      <c r="V72" s="79">
        <f t="shared" si="30"/>
        <v>0</v>
      </c>
      <c r="W72" s="79">
        <f t="shared" si="30"/>
        <v>1846900.8670401792</v>
      </c>
      <c r="X72" s="44">
        <f t="shared" si="31"/>
        <v>1846900.8670401792</v>
      </c>
      <c r="Y72" s="44" t="s">
        <v>2765</v>
      </c>
      <c r="Z72" s="44" t="str">
        <f t="shared" si="32"/>
        <v>Yes</v>
      </c>
      <c r="AA72" s="44" t="str">
        <f t="shared" si="32"/>
        <v>Yes</v>
      </c>
      <c r="AB72" s="44" t="str">
        <f t="shared" si="33"/>
        <v>Yes</v>
      </c>
      <c r="AC72" s="80">
        <f t="shared" si="40"/>
        <v>3.17</v>
      </c>
      <c r="AD72" s="80">
        <f t="shared" si="41"/>
        <v>1.57</v>
      </c>
      <c r="AE72" s="44">
        <f t="shared" si="34"/>
        <v>13904642.027475443</v>
      </c>
      <c r="AF72" s="44">
        <f t="shared" si="34"/>
        <v>4393385.3958380017</v>
      </c>
      <c r="AG72" s="44">
        <f t="shared" si="35"/>
        <v>18298027.423313446</v>
      </c>
      <c r="AH72" s="46">
        <f>IF(Y72="No",0,IFERROR(ROUNDDOWN(INDEX('90% of ACR'!K:K,MATCH(H:H,'90% of ACR'!A:A,0))*IF(I72&gt;0,IF(O72&gt;0,$R$4*MAX(O72-V72,0),0),0)/I72,2),0))</f>
        <v>1.17</v>
      </c>
      <c r="AI72" s="80">
        <f>IF(Y72="No",0,IFERROR(ROUNDDOWN(INDEX('90% of ACR'!R:R,MATCH(H:H,'90% of ACR'!A:A,0))*IF(J72&gt;0,IF(P72&gt;0,$R$4*MAX(P72-W72,0),0),0)/J72,2),0))</f>
        <v>1.42</v>
      </c>
      <c r="AJ72" s="44">
        <f t="shared" si="36"/>
        <v>5131997.2151880972</v>
      </c>
      <c r="AK72" s="44">
        <f t="shared" si="36"/>
        <v>3973635.1987834154</v>
      </c>
      <c r="AL72" s="46">
        <f t="shared" si="37"/>
        <v>1.17</v>
      </c>
      <c r="AM72" s="46">
        <f t="shared" si="37"/>
        <v>2.08</v>
      </c>
      <c r="AN72" s="81">
        <f>IFERROR(INDEX(FeeCalc!P:P,MATCH(C72,FeeCalc!F:F,0)),0)</f>
        <v>10952533.281011693</v>
      </c>
      <c r="AO72" s="81">
        <f>IFERROR(INDEX(FeeCalc!S:S,MATCH(C72,FeeCalc!F:F,0)),0)</f>
        <v>681919.02638795506</v>
      </c>
      <c r="AP72" s="81">
        <f t="shared" si="38"/>
        <v>11634452.307399649</v>
      </c>
      <c r="AQ72" s="68">
        <f t="shared" si="39"/>
        <v>4578761.9744817466</v>
      </c>
      <c r="AR72" s="68">
        <f>INDEX('IGT Commitment Suggestions'!H:H,MATCH(G72,'IGT Commitment Suggestions'!A:A,0))*AQ72</f>
        <v>2096874.3960504639</v>
      </c>
    </row>
    <row r="73" spans="1:44">
      <c r="A73" s="103" t="s">
        <v>883</v>
      </c>
      <c r="B73" s="123" t="s">
        <v>883</v>
      </c>
      <c r="C73" s="30" t="s">
        <v>884</v>
      </c>
      <c r="D73" s="124" t="s">
        <v>884</v>
      </c>
      <c r="E73" s="119" t="s">
        <v>2819</v>
      </c>
      <c r="F73" s="99" t="s">
        <v>1547</v>
      </c>
      <c r="G73" s="99" t="s">
        <v>1526</v>
      </c>
      <c r="H73" s="42" t="str">
        <f t="shared" si="25"/>
        <v>Children's Lubbock</v>
      </c>
      <c r="I73" s="44">
        <f>INDEX(FeeCalc!M:M,MATCH(C:C,FeeCalc!F:F,0))</f>
        <v>32744872.067832917</v>
      </c>
      <c r="J73" s="44">
        <f>INDEX(FeeCalc!L:L,MATCH(C:C,FeeCalc!F:F,0))</f>
        <v>10376502.534305554</v>
      </c>
      <c r="K73" s="44">
        <f t="shared" si="26"/>
        <v>43121374.602138475</v>
      </c>
      <c r="L73" s="44">
        <v>2718727.94</v>
      </c>
      <c r="M73" s="44">
        <v>6739961.4199999999</v>
      </c>
      <c r="N73" s="44">
        <f t="shared" si="27"/>
        <v>9458689.3599999994</v>
      </c>
      <c r="O73" s="44">
        <v>21900796.084654324</v>
      </c>
      <c r="P73" s="44">
        <v>22944379.949444428</v>
      </c>
      <c r="Q73" s="44">
        <f t="shared" si="28"/>
        <v>44845176.034098752</v>
      </c>
      <c r="R73" s="44" t="str">
        <f t="shared" si="29"/>
        <v>Yes</v>
      </c>
      <c r="S73" s="45" t="str">
        <f t="shared" si="29"/>
        <v>Yes</v>
      </c>
      <c r="T73" s="46">
        <f>ROUND(INDEX(Summary!H:H,MATCH(H:H,Summary!A:A,0)),2)</f>
        <v>0.08</v>
      </c>
      <c r="U73" s="46">
        <f>ROUND(INDEX(Summary!I:I,MATCH(H:H,Summary!A:A,0)),2)</f>
        <v>0.65</v>
      </c>
      <c r="V73" s="79">
        <f t="shared" si="30"/>
        <v>2619589.7654266334</v>
      </c>
      <c r="W73" s="79">
        <f t="shared" si="30"/>
        <v>6744726.6472986098</v>
      </c>
      <c r="X73" s="44">
        <f t="shared" si="31"/>
        <v>9364316.4127252437</v>
      </c>
      <c r="Y73" s="44" t="s">
        <v>2765</v>
      </c>
      <c r="Z73" s="44" t="str">
        <f t="shared" si="32"/>
        <v>Yes</v>
      </c>
      <c r="AA73" s="44" t="str">
        <f t="shared" si="32"/>
        <v>Yes</v>
      </c>
      <c r="AB73" s="44" t="str">
        <f t="shared" si="33"/>
        <v>Yes</v>
      </c>
      <c r="AC73" s="80">
        <f t="shared" si="40"/>
        <v>0.41</v>
      </c>
      <c r="AD73" s="80">
        <f t="shared" si="41"/>
        <v>1.0900000000000001</v>
      </c>
      <c r="AE73" s="44">
        <f t="shared" si="34"/>
        <v>13425397.547811495</v>
      </c>
      <c r="AF73" s="44">
        <f t="shared" si="34"/>
        <v>11310387.762393055</v>
      </c>
      <c r="AG73" s="44">
        <f t="shared" si="35"/>
        <v>24735785.310204551</v>
      </c>
      <c r="AH73" s="46">
        <f>IF(Y73="No",0,IFERROR(ROUNDDOWN(INDEX('90% of ACR'!K:K,MATCH(H:H,'90% of ACR'!A:A,0))*IF(I73&gt;0,IF(O73&gt;0,$R$4*MAX(O73-V73,0),0),0)/I73,2),0))</f>
        <v>0.41</v>
      </c>
      <c r="AI73" s="80">
        <f>IF(Y73="No",0,IFERROR(ROUNDDOWN(INDEX('90% of ACR'!R:R,MATCH(H:H,'90% of ACR'!A:A,0))*IF(J73&gt;0,IF(P73&gt;0,$R$4*MAX(P73-W73,0),0),0)/J73,2),0))</f>
        <v>1.08</v>
      </c>
      <c r="AJ73" s="44">
        <f t="shared" si="36"/>
        <v>13425397.547811495</v>
      </c>
      <c r="AK73" s="44">
        <f t="shared" si="36"/>
        <v>11206622.737049999</v>
      </c>
      <c r="AL73" s="46">
        <f t="shared" si="37"/>
        <v>0.49</v>
      </c>
      <c r="AM73" s="46">
        <f t="shared" si="37"/>
        <v>1.73</v>
      </c>
      <c r="AN73" s="81">
        <f>IFERROR(INDEX(FeeCalc!P:P,MATCH(C73,FeeCalc!F:F,0)),0)</f>
        <v>33996336.697586738</v>
      </c>
      <c r="AO73" s="81">
        <f>IFERROR(INDEX(FeeCalc!S:S,MATCH(C73,FeeCalc!F:F,0)),0)</f>
        <v>2083429.707615274</v>
      </c>
      <c r="AP73" s="81">
        <f t="shared" si="38"/>
        <v>36079766.405202009</v>
      </c>
      <c r="AQ73" s="68">
        <f t="shared" si="39"/>
        <v>14199264.228300061</v>
      </c>
      <c r="AR73" s="68">
        <f>INDEX('IGT Commitment Suggestions'!H:H,MATCH(G73,'IGT Commitment Suggestions'!A:A,0))*AQ73</f>
        <v>6502647.1716620885</v>
      </c>
    </row>
    <row r="74" spans="1:44">
      <c r="A74" s="103" t="s">
        <v>871</v>
      </c>
      <c r="B74" s="123" t="s">
        <v>871</v>
      </c>
      <c r="C74" s="30" t="s">
        <v>872</v>
      </c>
      <c r="D74" s="124" t="s">
        <v>872</v>
      </c>
      <c r="E74" s="119" t="s">
        <v>2820</v>
      </c>
      <c r="F74" s="99" t="s">
        <v>2295</v>
      </c>
      <c r="G74" s="99" t="s">
        <v>1526</v>
      </c>
      <c r="H74" s="42" t="str">
        <f t="shared" si="25"/>
        <v>Rural Lubbock</v>
      </c>
      <c r="I74" s="44">
        <f>INDEX(FeeCalc!M:M,MATCH(C:C,FeeCalc!F:F,0))</f>
        <v>1767425.7288585526</v>
      </c>
      <c r="J74" s="44">
        <f>INDEX(FeeCalc!L:L,MATCH(C:C,FeeCalc!F:F,0))</f>
        <v>1236841.6846288037</v>
      </c>
      <c r="K74" s="44">
        <f t="shared" si="26"/>
        <v>3004267.4134873562</v>
      </c>
      <c r="L74" s="44">
        <v>803459.61</v>
      </c>
      <c r="M74" s="44">
        <v>292226.63</v>
      </c>
      <c r="N74" s="44">
        <f t="shared" si="27"/>
        <v>1095686.24</v>
      </c>
      <c r="O74" s="44">
        <v>922983.83841468045</v>
      </c>
      <c r="P74" s="44">
        <v>791419.02415446739</v>
      </c>
      <c r="Q74" s="44">
        <f t="shared" si="28"/>
        <v>1714402.8625691477</v>
      </c>
      <c r="R74" s="44" t="str">
        <f t="shared" si="29"/>
        <v>Yes</v>
      </c>
      <c r="S74" s="45" t="str">
        <f t="shared" si="29"/>
        <v>Yes</v>
      </c>
      <c r="T74" s="46">
        <f>ROUND(INDEX(Summary!H:H,MATCH(H:H,Summary!A:A,0)),2)</f>
        <v>0.62</v>
      </c>
      <c r="U74" s="46">
        <f>ROUND(INDEX(Summary!I:I,MATCH(H:H,Summary!A:A,0)),2)</f>
        <v>0.2</v>
      </c>
      <c r="V74" s="79">
        <f t="shared" si="30"/>
        <v>1095803.9518923026</v>
      </c>
      <c r="W74" s="79">
        <f t="shared" si="30"/>
        <v>247368.33692576076</v>
      </c>
      <c r="X74" s="44">
        <f t="shared" si="31"/>
        <v>1343172.2888180634</v>
      </c>
      <c r="Y74" s="44" t="s">
        <v>2765</v>
      </c>
      <c r="Z74" s="44" t="str">
        <f t="shared" si="32"/>
        <v>No</v>
      </c>
      <c r="AA74" s="44" t="str">
        <f t="shared" si="32"/>
        <v>Yes</v>
      </c>
      <c r="AB74" s="44" t="str">
        <f t="shared" si="33"/>
        <v>Yes</v>
      </c>
      <c r="AC74" s="80">
        <f t="shared" si="40"/>
        <v>0</v>
      </c>
      <c r="AD74" s="80">
        <f t="shared" si="41"/>
        <v>0.31</v>
      </c>
      <c r="AE74" s="44">
        <f t="shared" si="34"/>
        <v>0</v>
      </c>
      <c r="AF74" s="44">
        <f t="shared" si="34"/>
        <v>383420.92223492917</v>
      </c>
      <c r="AG74" s="44">
        <f t="shared" si="35"/>
        <v>383420.92223492917</v>
      </c>
      <c r="AH74" s="46">
        <f>IF(Y74="No",0,IFERROR(ROUNDDOWN(INDEX('90% of ACR'!K:K,MATCH(H:H,'90% of ACR'!A:A,0))*IF(I74&gt;0,IF(O74&gt;0,$R$4*MAX(O74-V74,0),0),0)/I74,2),0))</f>
        <v>0</v>
      </c>
      <c r="AI74" s="80">
        <f>IF(Y74="No",0,IFERROR(ROUNDDOWN(INDEX('90% of ACR'!R:R,MATCH(H:H,'90% of ACR'!A:A,0))*IF(J74&gt;0,IF(P74&gt;0,$R$4*MAX(P74-W74,0),0),0)/J74,2),0))</f>
        <v>0.24</v>
      </c>
      <c r="AJ74" s="44">
        <f t="shared" si="36"/>
        <v>0</v>
      </c>
      <c r="AK74" s="44">
        <f t="shared" si="36"/>
        <v>296842.00431091286</v>
      </c>
      <c r="AL74" s="46">
        <f t="shared" si="37"/>
        <v>0.62</v>
      </c>
      <c r="AM74" s="46">
        <f t="shared" si="37"/>
        <v>0.44</v>
      </c>
      <c r="AN74" s="81">
        <f>IFERROR(INDEX(FeeCalc!P:P,MATCH(C74,FeeCalc!F:F,0)),0)</f>
        <v>1640014.2931289761</v>
      </c>
      <c r="AO74" s="81">
        <f>IFERROR(INDEX(FeeCalc!S:S,MATCH(C74,FeeCalc!F:F,0)),0)</f>
        <v>100641.72323664321</v>
      </c>
      <c r="AP74" s="81">
        <f t="shared" si="38"/>
        <v>1740656.0163656194</v>
      </c>
      <c r="AQ74" s="68">
        <f t="shared" si="39"/>
        <v>685038.65655272221</v>
      </c>
      <c r="AR74" s="68">
        <f>INDEX('IGT Commitment Suggestions'!H:H,MATCH(G74,'IGT Commitment Suggestions'!A:A,0))*AQ74</f>
        <v>313717.99347416306</v>
      </c>
    </row>
    <row r="75" spans="1:44">
      <c r="A75" s="103" t="s">
        <v>877</v>
      </c>
      <c r="B75" s="123" t="s">
        <v>877</v>
      </c>
      <c r="C75" s="30" t="s">
        <v>878</v>
      </c>
      <c r="D75" s="124" t="s">
        <v>878</v>
      </c>
      <c r="E75" s="119" t="s">
        <v>2821</v>
      </c>
      <c r="F75" s="99" t="s">
        <v>2295</v>
      </c>
      <c r="G75" s="99" t="s">
        <v>1526</v>
      </c>
      <c r="H75" s="42" t="str">
        <f t="shared" si="25"/>
        <v>Rural Lubbock</v>
      </c>
      <c r="I75" s="44">
        <f>INDEX(FeeCalc!M:M,MATCH(C:C,FeeCalc!F:F,0))</f>
        <v>2428969.0574932247</v>
      </c>
      <c r="J75" s="44">
        <f>INDEX(FeeCalc!L:L,MATCH(C:C,FeeCalc!F:F,0))</f>
        <v>2147570.5789059475</v>
      </c>
      <c r="K75" s="44">
        <f t="shared" si="26"/>
        <v>4576539.6363991722</v>
      </c>
      <c r="L75" s="44">
        <v>1074426.8500000001</v>
      </c>
      <c r="M75" s="44">
        <v>819565.9</v>
      </c>
      <c r="N75" s="44">
        <f t="shared" si="27"/>
        <v>1893992.75</v>
      </c>
      <c r="O75" s="44">
        <v>2568580.9340265654</v>
      </c>
      <c r="P75" s="44">
        <v>1968405.5935758757</v>
      </c>
      <c r="Q75" s="44">
        <f t="shared" si="28"/>
        <v>4536986.5276024416</v>
      </c>
      <c r="R75" s="44" t="str">
        <f t="shared" si="29"/>
        <v>Yes</v>
      </c>
      <c r="S75" s="45" t="str">
        <f t="shared" si="29"/>
        <v>Yes</v>
      </c>
      <c r="T75" s="46">
        <f>ROUND(INDEX(Summary!H:H,MATCH(H:H,Summary!A:A,0)),2)</f>
        <v>0.62</v>
      </c>
      <c r="U75" s="46">
        <f>ROUND(INDEX(Summary!I:I,MATCH(H:H,Summary!A:A,0)),2)</f>
        <v>0.2</v>
      </c>
      <c r="V75" s="79">
        <f t="shared" si="30"/>
        <v>1505960.8156457993</v>
      </c>
      <c r="W75" s="79">
        <f t="shared" si="30"/>
        <v>429514.11578118952</v>
      </c>
      <c r="X75" s="44">
        <f t="shared" si="31"/>
        <v>1935474.9314269889</v>
      </c>
      <c r="Y75" s="44" t="s">
        <v>2765</v>
      </c>
      <c r="Z75" s="44" t="str">
        <f t="shared" si="32"/>
        <v>No</v>
      </c>
      <c r="AA75" s="44" t="str">
        <f t="shared" si="32"/>
        <v>Yes</v>
      </c>
      <c r="AB75" s="44" t="str">
        <f t="shared" si="33"/>
        <v>Yes</v>
      </c>
      <c r="AC75" s="80">
        <f t="shared" si="40"/>
        <v>0.3</v>
      </c>
      <c r="AD75" s="80">
        <f t="shared" si="41"/>
        <v>0.5</v>
      </c>
      <c r="AE75" s="44">
        <f t="shared" si="34"/>
        <v>728690.71724796738</v>
      </c>
      <c r="AF75" s="44">
        <f t="shared" si="34"/>
        <v>1073785.2894529738</v>
      </c>
      <c r="AG75" s="44">
        <f t="shared" si="35"/>
        <v>1802476.0067009411</v>
      </c>
      <c r="AH75" s="46">
        <f>IF(Y75="No",0,IFERROR(ROUNDDOWN(INDEX('90% of ACR'!K:K,MATCH(H:H,'90% of ACR'!A:A,0))*IF(I75&gt;0,IF(O75&gt;0,$R$4*MAX(O75-V75,0),0),0)/I75,2),0))</f>
        <v>0</v>
      </c>
      <c r="AI75" s="80">
        <f>IF(Y75="No",0,IFERROR(ROUNDDOWN(INDEX('90% of ACR'!R:R,MATCH(H:H,'90% of ACR'!A:A,0))*IF(J75&gt;0,IF(P75&gt;0,$R$4*MAX(P75-W75,0),0),0)/J75,2),0))</f>
        <v>0.4</v>
      </c>
      <c r="AJ75" s="44">
        <f t="shared" si="36"/>
        <v>0</v>
      </c>
      <c r="AK75" s="44">
        <f t="shared" si="36"/>
        <v>859028.23156237905</v>
      </c>
      <c r="AL75" s="46">
        <f t="shared" si="37"/>
        <v>0.62</v>
      </c>
      <c r="AM75" s="46">
        <f t="shared" si="37"/>
        <v>0.60000000000000009</v>
      </c>
      <c r="AN75" s="81">
        <f>IFERROR(INDEX(FeeCalc!P:P,MATCH(C75,FeeCalc!F:F,0)),0)</f>
        <v>2794503.1629893677</v>
      </c>
      <c r="AO75" s="81">
        <f>IFERROR(INDEX(FeeCalc!S:S,MATCH(C75,FeeCalc!F:F,0)),0)</f>
        <v>171524.36122474924</v>
      </c>
      <c r="AP75" s="81">
        <f t="shared" si="38"/>
        <v>2966027.5242141169</v>
      </c>
      <c r="AQ75" s="68">
        <f t="shared" si="39"/>
        <v>1167286.0642095143</v>
      </c>
      <c r="AR75" s="68">
        <f>INDEX('IGT Commitment Suggestions'!H:H,MATCH(G75,'IGT Commitment Suggestions'!A:A,0))*AQ75</f>
        <v>534566.39033621945</v>
      </c>
    </row>
    <row r="76" spans="1:44">
      <c r="A76" s="103" t="s">
        <v>698</v>
      </c>
      <c r="B76" s="123" t="s">
        <v>2713</v>
      </c>
      <c r="C76" s="30" t="s">
        <v>699</v>
      </c>
      <c r="D76" s="124" t="s">
        <v>699</v>
      </c>
      <c r="E76" s="119" t="s">
        <v>2353</v>
      </c>
      <c r="F76" s="99" t="s">
        <v>2295</v>
      </c>
      <c r="G76" s="99" t="s">
        <v>227</v>
      </c>
      <c r="H76" s="42" t="str">
        <f t="shared" si="25"/>
        <v>Rural MRSA West</v>
      </c>
      <c r="I76" s="44">
        <f>INDEX(FeeCalc!M:M,MATCH(C:C,FeeCalc!F:F,0))</f>
        <v>30200.772621051467</v>
      </c>
      <c r="J76" s="44">
        <f>INDEX(FeeCalc!L:L,MATCH(C:C,FeeCalc!F:F,0))</f>
        <v>380205.59061813087</v>
      </c>
      <c r="K76" s="44">
        <f t="shared" si="26"/>
        <v>410406.36323918233</v>
      </c>
      <c r="L76" s="44">
        <v>7016.11</v>
      </c>
      <c r="M76" s="44">
        <v>-36904.65</v>
      </c>
      <c r="N76" s="44">
        <f t="shared" si="27"/>
        <v>-29888.54</v>
      </c>
      <c r="O76" s="44">
        <v>16867.528480168021</v>
      </c>
      <c r="P76" s="44">
        <v>43523.074804656208</v>
      </c>
      <c r="Q76" s="44">
        <f t="shared" si="28"/>
        <v>60390.603284824232</v>
      </c>
      <c r="R76" s="44" t="str">
        <f t="shared" si="29"/>
        <v>Yes</v>
      </c>
      <c r="S76" s="45" t="str">
        <f t="shared" si="29"/>
        <v>Yes</v>
      </c>
      <c r="T76" s="46">
        <f>ROUND(INDEX(Summary!H:H,MATCH(H:H,Summary!A:A,0)),2)</f>
        <v>0</v>
      </c>
      <c r="U76" s="46">
        <f>ROUND(INDEX(Summary!I:I,MATCH(H:H,Summary!A:A,0)),2)</f>
        <v>0.18</v>
      </c>
      <c r="V76" s="79">
        <f t="shared" si="30"/>
        <v>0</v>
      </c>
      <c r="W76" s="79">
        <f t="shared" si="30"/>
        <v>68437.006311263554</v>
      </c>
      <c r="X76" s="44">
        <f t="shared" si="31"/>
        <v>68437.006311263554</v>
      </c>
      <c r="Y76" s="44" t="s">
        <v>2765</v>
      </c>
      <c r="Z76" s="44" t="str">
        <f t="shared" si="32"/>
        <v>No</v>
      </c>
      <c r="AA76" s="44" t="str">
        <f t="shared" si="32"/>
        <v>No</v>
      </c>
      <c r="AB76" s="44" t="str">
        <f t="shared" si="33"/>
        <v>Yes</v>
      </c>
      <c r="AC76" s="80">
        <f t="shared" si="40"/>
        <v>0.39</v>
      </c>
      <c r="AD76" s="80">
        <f t="shared" si="41"/>
        <v>0</v>
      </c>
      <c r="AE76" s="44">
        <f t="shared" si="34"/>
        <v>11778.301322210073</v>
      </c>
      <c r="AF76" s="44">
        <f t="shared" si="34"/>
        <v>0</v>
      </c>
      <c r="AG76" s="44">
        <f t="shared" si="35"/>
        <v>11778.301322210073</v>
      </c>
      <c r="AH76" s="46">
        <f>IF(Y76="No",0,IFERROR(ROUNDDOWN(INDEX('90% of ACR'!K:K,MATCH(H:H,'90% of ACR'!A:A,0))*IF(I76&gt;0,IF(O76&gt;0,$R$4*MAX(O76-V76,0),0),0)/I76,2),0))</f>
        <v>0</v>
      </c>
      <c r="AI76" s="80">
        <f>IF(Y76="No",0,IFERROR(ROUNDDOWN(INDEX('90% of ACR'!R:R,MATCH(H:H,'90% of ACR'!A:A,0))*IF(J76&gt;0,IF(P76&gt;0,$R$4*MAX(P76-W76,0),0),0)/J76,2),0))</f>
        <v>0</v>
      </c>
      <c r="AJ76" s="44">
        <f t="shared" si="36"/>
        <v>0</v>
      </c>
      <c r="AK76" s="44">
        <f t="shared" si="36"/>
        <v>0</v>
      </c>
      <c r="AL76" s="46">
        <f t="shared" si="37"/>
        <v>0</v>
      </c>
      <c r="AM76" s="46">
        <f t="shared" si="37"/>
        <v>0.18</v>
      </c>
      <c r="AN76" s="81">
        <f>IFERROR(INDEX(FeeCalc!P:P,MATCH(C76,FeeCalc!F:F,0)),0)</f>
        <v>68437.006311263554</v>
      </c>
      <c r="AO76" s="81">
        <f>IFERROR(INDEX(FeeCalc!S:S,MATCH(C76,FeeCalc!F:F,0)),0)</f>
        <v>4283.8314971303334</v>
      </c>
      <c r="AP76" s="81">
        <f t="shared" si="38"/>
        <v>72720.837808393888</v>
      </c>
      <c r="AQ76" s="68">
        <f t="shared" si="39"/>
        <v>28619.431161169032</v>
      </c>
      <c r="AR76" s="68">
        <f>INDEX('IGT Commitment Suggestions'!H:H,MATCH(G76,'IGT Commitment Suggestions'!A:A,0))*AQ76</f>
        <v>14025.342915836507</v>
      </c>
    </row>
    <row r="77" spans="1:44">
      <c r="A77" s="103" t="s">
        <v>920</v>
      </c>
      <c r="B77" s="123" t="s">
        <v>920</v>
      </c>
      <c r="C77" s="30" t="s">
        <v>921</v>
      </c>
      <c r="D77" s="124" t="s">
        <v>921</v>
      </c>
      <c r="E77" s="119" t="s">
        <v>2330</v>
      </c>
      <c r="F77" s="99" t="s">
        <v>2295</v>
      </c>
      <c r="G77" s="99" t="s">
        <v>310</v>
      </c>
      <c r="H77" s="42" t="str">
        <f t="shared" si="25"/>
        <v>Rural MRSA Northeast</v>
      </c>
      <c r="I77" s="44">
        <f>INDEX(FeeCalc!M:M,MATCH(C:C,FeeCalc!F:F,0))</f>
        <v>21930.915016963714</v>
      </c>
      <c r="J77" s="44">
        <f>INDEX(FeeCalc!L:L,MATCH(C:C,FeeCalc!F:F,0))</f>
        <v>137727.94381835626</v>
      </c>
      <c r="K77" s="44">
        <f t="shared" si="26"/>
        <v>159658.85883531999</v>
      </c>
      <c r="L77" s="44">
        <v>61153.66</v>
      </c>
      <c r="M77" s="44">
        <v>61802.14</v>
      </c>
      <c r="N77" s="44">
        <f t="shared" si="27"/>
        <v>122955.8</v>
      </c>
      <c r="O77" s="44">
        <v>21556.34704531034</v>
      </c>
      <c r="P77" s="44">
        <v>21580.811017542292</v>
      </c>
      <c r="Q77" s="44">
        <f t="shared" si="28"/>
        <v>43137.158062852628</v>
      </c>
      <c r="R77" s="44" t="str">
        <f t="shared" si="29"/>
        <v>Yes</v>
      </c>
      <c r="S77" s="45" t="str">
        <f t="shared" si="29"/>
        <v>Yes</v>
      </c>
      <c r="T77" s="46">
        <f>ROUND(INDEX(Summary!H:H,MATCH(H:H,Summary!A:A,0)),2)</f>
        <v>0</v>
      </c>
      <c r="U77" s="46">
        <f>ROUND(INDEX(Summary!I:I,MATCH(H:H,Summary!A:A,0)),2)</f>
        <v>0.32</v>
      </c>
      <c r="V77" s="79">
        <f t="shared" si="30"/>
        <v>0</v>
      </c>
      <c r="W77" s="79">
        <f t="shared" si="30"/>
        <v>44072.942021874005</v>
      </c>
      <c r="X77" s="44">
        <f t="shared" si="31"/>
        <v>44072.942021874005</v>
      </c>
      <c r="Y77" s="44" t="s">
        <v>2765</v>
      </c>
      <c r="Z77" s="44" t="str">
        <f t="shared" si="32"/>
        <v>Yes</v>
      </c>
      <c r="AA77" s="44" t="str">
        <f t="shared" si="32"/>
        <v>No</v>
      </c>
      <c r="AB77" s="44" t="str">
        <f t="shared" si="33"/>
        <v>Yes</v>
      </c>
      <c r="AC77" s="80">
        <f t="shared" si="40"/>
        <v>0.68</v>
      </c>
      <c r="AD77" s="80">
        <f t="shared" si="41"/>
        <v>0</v>
      </c>
      <c r="AE77" s="44">
        <f t="shared" si="34"/>
        <v>14913.022211535326</v>
      </c>
      <c r="AF77" s="44">
        <f t="shared" si="34"/>
        <v>0</v>
      </c>
      <c r="AG77" s="44">
        <f t="shared" si="35"/>
        <v>14913.022211535326</v>
      </c>
      <c r="AH77" s="46">
        <f>IF(Y77="No",0,IFERROR(ROUNDDOWN(INDEX('90% of ACR'!K:K,MATCH(H:H,'90% of ACR'!A:A,0))*IF(I77&gt;0,IF(O77&gt;0,$R$4*MAX(O77-V77,0),0),0)/I77,2),0))</f>
        <v>0.46</v>
      </c>
      <c r="AI77" s="80">
        <f>IF(Y77="No",0,IFERROR(ROUNDDOWN(INDEX('90% of ACR'!R:R,MATCH(H:H,'90% of ACR'!A:A,0))*IF(J77&gt;0,IF(P77&gt;0,$R$4*MAX(P77-W77,0),0),0)/J77,2),0))</f>
        <v>0</v>
      </c>
      <c r="AJ77" s="44">
        <f t="shared" si="36"/>
        <v>10088.220907803308</v>
      </c>
      <c r="AK77" s="44">
        <f t="shared" si="36"/>
        <v>0</v>
      </c>
      <c r="AL77" s="46">
        <f t="shared" si="37"/>
        <v>0.46</v>
      </c>
      <c r="AM77" s="46">
        <f t="shared" si="37"/>
        <v>0.32</v>
      </c>
      <c r="AN77" s="81">
        <f>IFERROR(INDEX(FeeCalc!P:P,MATCH(C77,FeeCalc!F:F,0)),0)</f>
        <v>54161.162929677317</v>
      </c>
      <c r="AO77" s="81">
        <f>IFERROR(INDEX(FeeCalc!S:S,MATCH(C77,FeeCalc!F:F,0)),0)</f>
        <v>3347.7501200251695</v>
      </c>
      <c r="AP77" s="81">
        <f t="shared" si="38"/>
        <v>57508.913049702489</v>
      </c>
      <c r="AQ77" s="68">
        <f t="shared" si="39"/>
        <v>22632.747748536513</v>
      </c>
      <c r="AR77" s="68">
        <f>INDEX('IGT Commitment Suggestions'!H:H,MATCH(G77,'IGT Commitment Suggestions'!A:A,0))*AQ77</f>
        <v>10365.943796526322</v>
      </c>
    </row>
    <row r="78" spans="1:44">
      <c r="A78" s="103" t="s">
        <v>1203</v>
      </c>
      <c r="B78" s="123" t="s">
        <v>1203</v>
      </c>
      <c r="C78" s="30" t="s">
        <v>1204</v>
      </c>
      <c r="D78" s="124" t="s">
        <v>1204</v>
      </c>
      <c r="E78" s="119" t="s">
        <v>2822</v>
      </c>
      <c r="F78" s="99" t="s">
        <v>2283</v>
      </c>
      <c r="G78" s="99" t="s">
        <v>487</v>
      </c>
      <c r="H78" s="42" t="str">
        <f t="shared" si="25"/>
        <v>Urban Bexar</v>
      </c>
      <c r="I78" s="44">
        <f>INDEX(FeeCalc!M:M,MATCH(C:C,FeeCalc!F:F,0))</f>
        <v>59020457.483820081</v>
      </c>
      <c r="J78" s="44">
        <f>INDEX(FeeCalc!L:L,MATCH(C:C,FeeCalc!F:F,0))</f>
        <v>41456082.52627594</v>
      </c>
      <c r="K78" s="44">
        <f t="shared" si="26"/>
        <v>100476540.01009601</v>
      </c>
      <c r="L78" s="44">
        <v>22298665.969999999</v>
      </c>
      <c r="M78" s="44">
        <v>15370270.810000001</v>
      </c>
      <c r="N78" s="44">
        <f t="shared" si="27"/>
        <v>37668936.780000001</v>
      </c>
      <c r="O78" s="44">
        <v>-6606817.4910618663</v>
      </c>
      <c r="P78" s="44">
        <v>17136229.343585424</v>
      </c>
      <c r="Q78" s="44">
        <f t="shared" si="28"/>
        <v>10529411.852523558</v>
      </c>
      <c r="R78" s="44" t="str">
        <f t="shared" si="29"/>
        <v>No</v>
      </c>
      <c r="S78" s="45" t="str">
        <f t="shared" si="29"/>
        <v>Yes</v>
      </c>
      <c r="T78" s="46">
        <f>ROUND(INDEX(Summary!H:H,MATCH(H:H,Summary!A:A,0)),2)</f>
        <v>0.44</v>
      </c>
      <c r="U78" s="46">
        <f>ROUND(INDEX(Summary!I:I,MATCH(H:H,Summary!A:A,0)),2)</f>
        <v>0.49</v>
      </c>
      <c r="V78" s="79">
        <f t="shared" si="30"/>
        <v>25969001.292880837</v>
      </c>
      <c r="W78" s="79">
        <f t="shared" si="30"/>
        <v>20313480.437875211</v>
      </c>
      <c r="X78" s="44">
        <f t="shared" si="31"/>
        <v>46282481.730756044</v>
      </c>
      <c r="Y78" s="44" t="s">
        <v>2765</v>
      </c>
      <c r="Z78" s="44" t="str">
        <f t="shared" si="32"/>
        <v>No</v>
      </c>
      <c r="AA78" s="44" t="str">
        <f t="shared" si="32"/>
        <v>No</v>
      </c>
      <c r="AB78" s="44" t="str">
        <f t="shared" si="33"/>
        <v>No</v>
      </c>
      <c r="AC78" s="80">
        <f t="shared" si="40"/>
        <v>0</v>
      </c>
      <c r="AD78" s="80">
        <f t="shared" si="41"/>
        <v>0</v>
      </c>
      <c r="AE78" s="44">
        <f t="shared" si="34"/>
        <v>0</v>
      </c>
      <c r="AF78" s="44">
        <f t="shared" si="34"/>
        <v>0</v>
      </c>
      <c r="AG78" s="44">
        <f t="shared" si="35"/>
        <v>0</v>
      </c>
      <c r="AH78" s="46">
        <f>IF(Y78="No",0,IFERROR(ROUNDDOWN(INDEX('90% of ACR'!K:K,MATCH(H:H,'90% of ACR'!A:A,0))*IF(I78&gt;0,IF(O78&gt;0,$R$4*MAX(O78-V78,0),0),0)/I78,2),0))</f>
        <v>0</v>
      </c>
      <c r="AI78" s="80">
        <f>IF(Y78="No",0,IFERROR(ROUNDDOWN(INDEX('90% of ACR'!R:R,MATCH(H:H,'90% of ACR'!A:A,0))*IF(J78&gt;0,IF(P78&gt;0,$R$4*MAX(P78-W78,0),0),0)/J78,2),0))</f>
        <v>0</v>
      </c>
      <c r="AJ78" s="44">
        <f t="shared" si="36"/>
        <v>0</v>
      </c>
      <c r="AK78" s="44">
        <f t="shared" si="36"/>
        <v>0</v>
      </c>
      <c r="AL78" s="46">
        <f t="shared" si="37"/>
        <v>0.44</v>
      </c>
      <c r="AM78" s="46">
        <f t="shared" si="37"/>
        <v>0.49</v>
      </c>
      <c r="AN78" s="81">
        <f>IFERROR(INDEX(FeeCalc!P:P,MATCH(C78,FeeCalc!F:F,0)),0)</f>
        <v>46282481.730756044</v>
      </c>
      <c r="AO78" s="81">
        <f>IFERROR(INDEX(FeeCalc!S:S,MATCH(C78,FeeCalc!F:F,0)),0)</f>
        <v>2863972.818550224</v>
      </c>
      <c r="AP78" s="81">
        <f t="shared" si="38"/>
        <v>49146454.549306266</v>
      </c>
      <c r="AQ78" s="68">
        <f t="shared" si="39"/>
        <v>19341685.480788577</v>
      </c>
      <c r="AR78" s="68">
        <f>INDEX('IGT Commitment Suggestions'!H:H,MATCH(G78,'IGT Commitment Suggestions'!A:A,0))*AQ78</f>
        <v>8915515.3711432815</v>
      </c>
    </row>
    <row r="79" spans="1:44">
      <c r="A79" s="103" t="s">
        <v>1558</v>
      </c>
      <c r="B79" s="123" t="s">
        <v>1558</v>
      </c>
      <c r="C79" s="30" t="s">
        <v>1641</v>
      </c>
      <c r="D79" s="124" t="s">
        <v>1641</v>
      </c>
      <c r="E79" s="119" t="s">
        <v>2604</v>
      </c>
      <c r="F79" s="99" t="s">
        <v>2283</v>
      </c>
      <c r="G79" s="99" t="s">
        <v>223</v>
      </c>
      <c r="H79" s="42" t="str">
        <f t="shared" si="25"/>
        <v>Urban Dallas</v>
      </c>
      <c r="I79" s="44">
        <f>INDEX(FeeCalc!M:M,MATCH(C:C,FeeCalc!F:F,0))</f>
        <v>60840231.213548228</v>
      </c>
      <c r="J79" s="44">
        <f>INDEX(FeeCalc!L:L,MATCH(C:C,FeeCalc!F:F,0))</f>
        <v>77803992.792569861</v>
      </c>
      <c r="K79" s="44">
        <f t="shared" si="26"/>
        <v>138644224.00611809</v>
      </c>
      <c r="L79" s="44">
        <v>53402881.689999998</v>
      </c>
      <c r="M79" s="44">
        <v>2929612.22</v>
      </c>
      <c r="N79" s="44">
        <f t="shared" si="27"/>
        <v>56332493.909999996</v>
      </c>
      <c r="O79" s="44">
        <v>68780176.594565496</v>
      </c>
      <c r="P79" s="44">
        <v>64101699.16654852</v>
      </c>
      <c r="Q79" s="44">
        <f t="shared" si="28"/>
        <v>132881875.76111402</v>
      </c>
      <c r="R79" s="44" t="str">
        <f t="shared" si="29"/>
        <v>Yes</v>
      </c>
      <c r="S79" s="45" t="str">
        <f t="shared" si="29"/>
        <v>Yes</v>
      </c>
      <c r="T79" s="46">
        <f>ROUND(INDEX(Summary!H:H,MATCH(H:H,Summary!A:A,0)),2)</f>
        <v>0.6</v>
      </c>
      <c r="U79" s="46">
        <f>ROUND(INDEX(Summary!I:I,MATCH(H:H,Summary!A:A,0)),2)</f>
        <v>0.3</v>
      </c>
      <c r="V79" s="79">
        <f t="shared" si="30"/>
        <v>36504138.728128932</v>
      </c>
      <c r="W79" s="79">
        <f t="shared" si="30"/>
        <v>23341197.837770957</v>
      </c>
      <c r="X79" s="44">
        <f t="shared" si="31"/>
        <v>59845336.565899894</v>
      </c>
      <c r="Y79" s="44" t="s">
        <v>2765</v>
      </c>
      <c r="Z79" s="44" t="str">
        <f t="shared" si="32"/>
        <v>Yes</v>
      </c>
      <c r="AA79" s="44" t="str">
        <f t="shared" si="32"/>
        <v>Yes</v>
      </c>
      <c r="AB79" s="44" t="str">
        <f t="shared" si="33"/>
        <v>Yes</v>
      </c>
      <c r="AC79" s="80">
        <f t="shared" si="40"/>
        <v>0.37</v>
      </c>
      <c r="AD79" s="80">
        <f t="shared" si="41"/>
        <v>0.36</v>
      </c>
      <c r="AE79" s="44">
        <f t="shared" si="34"/>
        <v>22510885.549012844</v>
      </c>
      <c r="AF79" s="44">
        <f t="shared" si="34"/>
        <v>28009437.405325148</v>
      </c>
      <c r="AG79" s="44">
        <f t="shared" si="35"/>
        <v>50520322.954337992</v>
      </c>
      <c r="AH79" s="46">
        <f>IF(Y79="No",0,IFERROR(ROUNDDOWN(INDEX('90% of ACR'!K:K,MATCH(H:H,'90% of ACR'!A:A,0))*IF(I79&gt;0,IF(O79&gt;0,$R$4*MAX(O79-V79,0),0),0)/I79,2),0))</f>
        <v>0.36</v>
      </c>
      <c r="AI79" s="80">
        <f>IF(Y79="No",0,IFERROR(ROUNDDOWN(INDEX('90% of ACR'!R:R,MATCH(H:H,'90% of ACR'!A:A,0))*IF(J79&gt;0,IF(P79&gt;0,$R$4*MAX(P79-W79,0),0),0)/J79,2),0))</f>
        <v>0.36</v>
      </c>
      <c r="AJ79" s="44">
        <f t="shared" si="36"/>
        <v>21902483.236877363</v>
      </c>
      <c r="AK79" s="44">
        <f t="shared" si="36"/>
        <v>28009437.405325148</v>
      </c>
      <c r="AL79" s="46">
        <f t="shared" si="37"/>
        <v>0.96</v>
      </c>
      <c r="AM79" s="46">
        <f t="shared" si="37"/>
        <v>0.65999999999999992</v>
      </c>
      <c r="AN79" s="81">
        <f>IFERROR(INDEX(FeeCalc!P:P,MATCH(C79,FeeCalc!F:F,0)),0)</f>
        <v>109757257.20810241</v>
      </c>
      <c r="AO79" s="81">
        <f>IFERROR(INDEX(FeeCalc!S:S,MATCH(C79,FeeCalc!F:F,0)),0)</f>
        <v>6807581.8788628411</v>
      </c>
      <c r="AP79" s="81">
        <f t="shared" si="38"/>
        <v>116564839.08696525</v>
      </c>
      <c r="AQ79" s="68">
        <f t="shared" si="39"/>
        <v>45874325.552353352</v>
      </c>
      <c r="AR79" s="68">
        <f>INDEX('IGT Commitment Suggestions'!H:H,MATCH(G79,'IGT Commitment Suggestions'!A:A,0))*AQ79</f>
        <v>20979876.533661693</v>
      </c>
    </row>
    <row r="80" spans="1:44" ht="25.5">
      <c r="A80" s="103" t="s">
        <v>1282</v>
      </c>
      <c r="B80" s="123" t="s">
        <v>1282</v>
      </c>
      <c r="C80" s="30" t="s">
        <v>1283</v>
      </c>
      <c r="D80" s="124" t="s">
        <v>1283</v>
      </c>
      <c r="E80" s="119" t="s">
        <v>2823</v>
      </c>
      <c r="F80" s="99" t="s">
        <v>2544</v>
      </c>
      <c r="G80" s="99" t="s">
        <v>227</v>
      </c>
      <c r="H80" s="42" t="str">
        <f t="shared" si="25"/>
        <v>Non-state-owned IMD MRSA West</v>
      </c>
      <c r="I80" s="44">
        <f>INDEX(FeeCalc!M:M,MATCH(C:C,FeeCalc!F:F,0))</f>
        <v>1397451.834518523</v>
      </c>
      <c r="J80" s="44">
        <f>INDEX(FeeCalc!L:L,MATCH(C:C,FeeCalc!F:F,0))</f>
        <v>0</v>
      </c>
      <c r="K80" s="44">
        <f t="shared" si="26"/>
        <v>1397451.834518523</v>
      </c>
      <c r="L80" s="44">
        <v>292612.5</v>
      </c>
      <c r="M80" s="44">
        <v>0</v>
      </c>
      <c r="N80" s="44">
        <f t="shared" si="27"/>
        <v>292612.5</v>
      </c>
      <c r="O80" s="44">
        <v>174848.40065528976</v>
      </c>
      <c r="P80" s="44">
        <v>0</v>
      </c>
      <c r="Q80" s="44">
        <f t="shared" si="28"/>
        <v>174848.40065528976</v>
      </c>
      <c r="R80" s="44" t="str">
        <f t="shared" si="29"/>
        <v>Yes</v>
      </c>
      <c r="S80" s="45" t="str">
        <f t="shared" si="29"/>
        <v>No</v>
      </c>
      <c r="T80" s="46">
        <f>ROUND(INDEX(Summary!H:H,MATCH(H:H,Summary!A:A,0)),2)</f>
        <v>0.17</v>
      </c>
      <c r="U80" s="46">
        <f>ROUND(INDEX(Summary!I:I,MATCH(H:H,Summary!A:A,0)),2)</f>
        <v>0</v>
      </c>
      <c r="V80" s="79">
        <f t="shared" si="30"/>
        <v>237566.81186814891</v>
      </c>
      <c r="W80" s="79">
        <f t="shared" si="30"/>
        <v>0</v>
      </c>
      <c r="X80" s="44">
        <f t="shared" si="31"/>
        <v>237566.81186814891</v>
      </c>
      <c r="Y80" s="44" t="s">
        <v>2766</v>
      </c>
      <c r="Z80" s="44" t="str">
        <f t="shared" si="32"/>
        <v>No</v>
      </c>
      <c r="AA80" s="44" t="str">
        <f t="shared" si="32"/>
        <v>No</v>
      </c>
      <c r="AB80" s="44" t="str">
        <f t="shared" si="33"/>
        <v>No</v>
      </c>
      <c r="AC80" s="80">
        <f t="shared" si="40"/>
        <v>0</v>
      </c>
      <c r="AD80" s="80">
        <f t="shared" si="41"/>
        <v>0</v>
      </c>
      <c r="AE80" s="44">
        <f t="shared" si="34"/>
        <v>0</v>
      </c>
      <c r="AF80" s="44">
        <f t="shared" si="34"/>
        <v>0</v>
      </c>
      <c r="AG80" s="44">
        <f t="shared" si="35"/>
        <v>0</v>
      </c>
      <c r="AH80" s="46">
        <f>IF(Y80="No",0,IFERROR(ROUNDDOWN(INDEX('90% of ACR'!K:K,MATCH(H:H,'90% of ACR'!A:A,0))*IF(I80&gt;0,IF(O80&gt;0,$R$4*MAX(O80-V80,0),0),0)/I80,2),0))</f>
        <v>0</v>
      </c>
      <c r="AI80" s="80">
        <f>IF(Y80="No",0,IFERROR(ROUNDDOWN(INDEX('90% of ACR'!R:R,MATCH(H:H,'90% of ACR'!A:A,0))*IF(J80&gt;0,IF(P80&gt;0,$R$4*MAX(P80-W80,0),0),0)/J80,2),0))</f>
        <v>0</v>
      </c>
      <c r="AJ80" s="44">
        <f t="shared" si="36"/>
        <v>0</v>
      </c>
      <c r="AK80" s="44">
        <f t="shared" si="36"/>
        <v>0</v>
      </c>
      <c r="AL80" s="46">
        <f t="shared" si="37"/>
        <v>0.17</v>
      </c>
      <c r="AM80" s="46">
        <f t="shared" si="37"/>
        <v>0</v>
      </c>
      <c r="AN80" s="81">
        <f>IFERROR(INDEX(FeeCalc!P:P,MATCH(C80,FeeCalc!F:F,0)),0)</f>
        <v>237566.81186814891</v>
      </c>
      <c r="AO80" s="81">
        <f>IFERROR(INDEX(FeeCalc!S:S,MATCH(C80,FeeCalc!F:F,0)),0)</f>
        <v>14493.465976040916</v>
      </c>
      <c r="AP80" s="81">
        <f t="shared" si="38"/>
        <v>252060.27784418984</v>
      </c>
      <c r="AQ80" s="68">
        <f t="shared" si="39"/>
        <v>99198.826466136597</v>
      </c>
      <c r="AR80" s="68">
        <f>INDEX('IGT Commitment Suggestions'!H:H,MATCH(G80,'IGT Commitment Suggestions'!A:A,0))*AQ80</f>
        <v>48613.73904327779</v>
      </c>
    </row>
    <row r="81" spans="1:44" ht="25.5">
      <c r="A81" s="103" t="s">
        <v>1215</v>
      </c>
      <c r="B81" s="123" t="s">
        <v>1215</v>
      </c>
      <c r="C81" s="30" t="s">
        <v>1216</v>
      </c>
      <c r="D81" s="124" t="s">
        <v>1216</v>
      </c>
      <c r="E81" s="119" t="s">
        <v>2824</v>
      </c>
      <c r="F81" s="99" t="s">
        <v>2544</v>
      </c>
      <c r="G81" s="99" t="s">
        <v>227</v>
      </c>
      <c r="H81" s="42" t="str">
        <f t="shared" si="25"/>
        <v>Non-state-owned IMD MRSA West</v>
      </c>
      <c r="I81" s="44">
        <f>INDEX(FeeCalc!M:M,MATCH(C:C,FeeCalc!F:F,0))</f>
        <v>1133699.3908463321</v>
      </c>
      <c r="J81" s="44">
        <f>INDEX(FeeCalc!L:L,MATCH(C:C,FeeCalc!F:F,0))</f>
        <v>0</v>
      </c>
      <c r="K81" s="44">
        <f t="shared" si="26"/>
        <v>1133699.3908463321</v>
      </c>
      <c r="L81" s="44">
        <v>216947.06</v>
      </c>
      <c r="M81" s="44">
        <v>0</v>
      </c>
      <c r="N81" s="44">
        <f t="shared" si="27"/>
        <v>216947.06</v>
      </c>
      <c r="O81" s="44">
        <v>145509.08491595968</v>
      </c>
      <c r="P81" s="44">
        <v>0</v>
      </c>
      <c r="Q81" s="44">
        <f t="shared" si="28"/>
        <v>145509.08491595968</v>
      </c>
      <c r="R81" s="44" t="str">
        <f t="shared" si="29"/>
        <v>Yes</v>
      </c>
      <c r="S81" s="45" t="str">
        <f t="shared" si="29"/>
        <v>No</v>
      </c>
      <c r="T81" s="46">
        <f>ROUND(INDEX(Summary!H:H,MATCH(H:H,Summary!A:A,0)),2)</f>
        <v>0.17</v>
      </c>
      <c r="U81" s="46">
        <f>ROUND(INDEX(Summary!I:I,MATCH(H:H,Summary!A:A,0)),2)</f>
        <v>0</v>
      </c>
      <c r="V81" s="79">
        <f t="shared" si="30"/>
        <v>192728.89644387647</v>
      </c>
      <c r="W81" s="79">
        <f t="shared" si="30"/>
        <v>0</v>
      </c>
      <c r="X81" s="44">
        <f t="shared" si="31"/>
        <v>192728.89644387647</v>
      </c>
      <c r="Y81" s="44" t="s">
        <v>2766</v>
      </c>
      <c r="Z81" s="44" t="str">
        <f t="shared" si="32"/>
        <v>No</v>
      </c>
      <c r="AA81" s="44" t="str">
        <f t="shared" si="32"/>
        <v>No</v>
      </c>
      <c r="AB81" s="44" t="str">
        <f t="shared" si="33"/>
        <v>No</v>
      </c>
      <c r="AC81" s="80">
        <f t="shared" si="40"/>
        <v>0</v>
      </c>
      <c r="AD81" s="80">
        <f t="shared" si="41"/>
        <v>0</v>
      </c>
      <c r="AE81" s="44">
        <f t="shared" si="34"/>
        <v>0</v>
      </c>
      <c r="AF81" s="44">
        <f t="shared" si="34"/>
        <v>0</v>
      </c>
      <c r="AG81" s="44">
        <f t="shared" si="35"/>
        <v>0</v>
      </c>
      <c r="AH81" s="46">
        <f>IF(Y81="No",0,IFERROR(ROUNDDOWN(INDEX('90% of ACR'!K:K,MATCH(H:H,'90% of ACR'!A:A,0))*IF(I81&gt;0,IF(O81&gt;0,$R$4*MAX(O81-V81,0),0),0)/I81,2),0))</f>
        <v>0</v>
      </c>
      <c r="AI81" s="80">
        <f>IF(Y81="No",0,IFERROR(ROUNDDOWN(INDEX('90% of ACR'!R:R,MATCH(H:H,'90% of ACR'!A:A,0))*IF(J81&gt;0,IF(P81&gt;0,$R$4*MAX(P81-W81,0),0),0)/J81,2),0))</f>
        <v>0</v>
      </c>
      <c r="AJ81" s="44">
        <f t="shared" si="36"/>
        <v>0</v>
      </c>
      <c r="AK81" s="44">
        <f t="shared" si="36"/>
        <v>0</v>
      </c>
      <c r="AL81" s="46">
        <f t="shared" si="37"/>
        <v>0.17</v>
      </c>
      <c r="AM81" s="46">
        <f t="shared" si="37"/>
        <v>0</v>
      </c>
      <c r="AN81" s="81">
        <f>IFERROR(INDEX(FeeCalc!P:P,MATCH(C81,FeeCalc!F:F,0)),0)</f>
        <v>192728.89644387647</v>
      </c>
      <c r="AO81" s="81">
        <f>IFERROR(INDEX(FeeCalc!S:S,MATCH(C81,FeeCalc!F:F,0)),0)</f>
        <v>11757.996334772304</v>
      </c>
      <c r="AP81" s="81">
        <f t="shared" si="38"/>
        <v>204486.89277864876</v>
      </c>
      <c r="AQ81" s="68">
        <f t="shared" si="39"/>
        <v>80476.225626822794</v>
      </c>
      <c r="AR81" s="68">
        <f>INDEX('IGT Commitment Suggestions'!H:H,MATCH(G81,'IGT Commitment Suggestions'!A:A,0))*AQ81</f>
        <v>39438.472925340793</v>
      </c>
    </row>
    <row r="82" spans="1:44">
      <c r="A82" s="103" t="s">
        <v>126</v>
      </c>
      <c r="B82" s="123" t="s">
        <v>126</v>
      </c>
      <c r="C82" s="30" t="s">
        <v>127</v>
      </c>
      <c r="D82" s="124" t="s">
        <v>127</v>
      </c>
      <c r="E82" s="119" t="s">
        <v>2825</v>
      </c>
      <c r="F82" s="99" t="s">
        <v>1547</v>
      </c>
      <c r="G82" s="99" t="s">
        <v>1189</v>
      </c>
      <c r="H82" s="42" t="str">
        <f t="shared" si="25"/>
        <v>Children's El Paso</v>
      </c>
      <c r="I82" s="44">
        <f>INDEX(FeeCalc!M:M,MATCH(C:C,FeeCalc!F:F,0))</f>
        <v>28247750.498462122</v>
      </c>
      <c r="J82" s="44">
        <f>INDEX(FeeCalc!L:L,MATCH(C:C,FeeCalc!F:F,0))</f>
        <v>5774581.0528310277</v>
      </c>
      <c r="K82" s="44">
        <f t="shared" si="26"/>
        <v>34022331.55129315</v>
      </c>
      <c r="L82" s="44">
        <v>-11456538.18</v>
      </c>
      <c r="M82" s="44">
        <v>4021902.39</v>
      </c>
      <c r="N82" s="44">
        <f t="shared" si="27"/>
        <v>-7434635.7899999991</v>
      </c>
      <c r="O82" s="44">
        <v>17126244.560703363</v>
      </c>
      <c r="P82" s="44">
        <v>15817844.386315119</v>
      </c>
      <c r="Q82" s="44">
        <f t="shared" si="28"/>
        <v>32944088.947018482</v>
      </c>
      <c r="R82" s="44" t="str">
        <f t="shared" si="29"/>
        <v>Yes</v>
      </c>
      <c r="S82" s="45" t="str">
        <f t="shared" si="29"/>
        <v>Yes</v>
      </c>
      <c r="T82" s="46">
        <f>ROUND(INDEX(Summary!H:H,MATCH(H:H,Summary!A:A,0)),2)</f>
        <v>0</v>
      </c>
      <c r="U82" s="46">
        <f>ROUND(INDEX(Summary!I:I,MATCH(H:H,Summary!A:A,0)),2)</f>
        <v>0.7</v>
      </c>
      <c r="V82" s="79">
        <f t="shared" si="30"/>
        <v>0</v>
      </c>
      <c r="W82" s="79">
        <f t="shared" si="30"/>
        <v>4042206.7369817193</v>
      </c>
      <c r="X82" s="44">
        <f t="shared" si="31"/>
        <v>4042206.7369817193</v>
      </c>
      <c r="Y82" s="44" t="s">
        <v>2765</v>
      </c>
      <c r="Z82" s="44" t="str">
        <f t="shared" si="32"/>
        <v>Yes</v>
      </c>
      <c r="AA82" s="44" t="str">
        <f t="shared" si="32"/>
        <v>Yes</v>
      </c>
      <c r="AB82" s="44" t="str">
        <f t="shared" si="33"/>
        <v>Yes</v>
      </c>
      <c r="AC82" s="80">
        <f t="shared" si="40"/>
        <v>0.42</v>
      </c>
      <c r="AD82" s="80">
        <f t="shared" si="41"/>
        <v>1.42</v>
      </c>
      <c r="AE82" s="44">
        <f t="shared" si="34"/>
        <v>11864055.209354091</v>
      </c>
      <c r="AF82" s="44">
        <f t="shared" si="34"/>
        <v>8199905.0950200586</v>
      </c>
      <c r="AG82" s="44">
        <f t="shared" si="35"/>
        <v>20063960.304374151</v>
      </c>
      <c r="AH82" s="46">
        <f>IF(Y82="No",0,IFERROR(ROUNDDOWN(INDEX('90% of ACR'!K:K,MATCH(H:H,'90% of ACR'!A:A,0))*IF(I82&gt;0,IF(O82&gt;0,$R$4*MAX(O82-V82,0),0),0)/I82,2),0))</f>
        <v>0.42</v>
      </c>
      <c r="AI82" s="80">
        <f>IF(Y82="No",0,IFERROR(ROUNDDOWN(INDEX('90% of ACR'!R:R,MATCH(H:H,'90% of ACR'!A:A,0))*IF(J82&gt;0,IF(P82&gt;0,$R$4*MAX(P82-W82,0),0),0)/J82,2),0))</f>
        <v>1.42</v>
      </c>
      <c r="AJ82" s="44">
        <f t="shared" si="36"/>
        <v>11864055.209354091</v>
      </c>
      <c r="AK82" s="44">
        <f t="shared" si="36"/>
        <v>8199905.0950200586</v>
      </c>
      <c r="AL82" s="46">
        <f t="shared" si="37"/>
        <v>0.42</v>
      </c>
      <c r="AM82" s="46">
        <f t="shared" si="37"/>
        <v>2.12</v>
      </c>
      <c r="AN82" s="81">
        <f>IFERROR(INDEX(FeeCalc!P:P,MATCH(C82,FeeCalc!F:F,0)),0)</f>
        <v>24106167.041355871</v>
      </c>
      <c r="AO82" s="81">
        <f>IFERROR(INDEX(FeeCalc!S:S,MATCH(C82,FeeCalc!F:F,0)),0)</f>
        <v>1470982.6659525677</v>
      </c>
      <c r="AP82" s="81">
        <f t="shared" si="38"/>
        <v>25577149.707308438</v>
      </c>
      <c r="AQ82" s="68">
        <f t="shared" si="39"/>
        <v>10065938.42161065</v>
      </c>
      <c r="AR82" s="68">
        <f>INDEX('IGT Commitment Suggestions'!H:H,MATCH(G82,'IGT Commitment Suggestions'!A:A,0))*AQ82</f>
        <v>4633622.928088217</v>
      </c>
    </row>
    <row r="83" spans="1:44">
      <c r="A83" s="103" t="s">
        <v>1549</v>
      </c>
      <c r="B83" s="123" t="s">
        <v>1549</v>
      </c>
      <c r="C83" s="30" t="s">
        <v>109</v>
      </c>
      <c r="D83" s="124" t="s">
        <v>109</v>
      </c>
      <c r="E83" s="119" t="s">
        <v>2433</v>
      </c>
      <c r="F83" s="99" t="s">
        <v>2283</v>
      </c>
      <c r="G83" s="99" t="s">
        <v>223</v>
      </c>
      <c r="H83" s="42" t="str">
        <f t="shared" si="25"/>
        <v>Urban Dallas</v>
      </c>
      <c r="I83" s="44">
        <f>INDEX(FeeCalc!M:M,MATCH(C:C,FeeCalc!F:F,0))</f>
        <v>44343416.281525776</v>
      </c>
      <c r="J83" s="44">
        <f>INDEX(FeeCalc!L:L,MATCH(C:C,FeeCalc!F:F,0))</f>
        <v>6598868.7292053774</v>
      </c>
      <c r="K83" s="44">
        <f t="shared" si="26"/>
        <v>50942285.010731153</v>
      </c>
      <c r="L83" s="44">
        <v>13629951.17</v>
      </c>
      <c r="M83" s="44">
        <v>4815257.8600000003</v>
      </c>
      <c r="N83" s="44">
        <f t="shared" si="27"/>
        <v>18445209.030000001</v>
      </c>
      <c r="O83" s="44">
        <v>117556578.77979976</v>
      </c>
      <c r="P83" s="44">
        <v>7656603.6813832726</v>
      </c>
      <c r="Q83" s="44">
        <f t="shared" si="28"/>
        <v>125213182.46118303</v>
      </c>
      <c r="R83" s="44" t="str">
        <f t="shared" si="29"/>
        <v>Yes</v>
      </c>
      <c r="S83" s="45" t="str">
        <f t="shared" si="29"/>
        <v>Yes</v>
      </c>
      <c r="T83" s="46">
        <f>ROUND(INDEX(Summary!H:H,MATCH(H:H,Summary!A:A,0)),2)</f>
        <v>0.6</v>
      </c>
      <c r="U83" s="46">
        <f>ROUND(INDEX(Summary!I:I,MATCH(H:H,Summary!A:A,0)),2)</f>
        <v>0.3</v>
      </c>
      <c r="V83" s="79">
        <f t="shared" si="30"/>
        <v>26606049.768915463</v>
      </c>
      <c r="W83" s="79">
        <f t="shared" si="30"/>
        <v>1979660.618761613</v>
      </c>
      <c r="X83" s="44">
        <f t="shared" si="31"/>
        <v>28585710.387677077</v>
      </c>
      <c r="Y83" s="44" t="s">
        <v>2765</v>
      </c>
      <c r="Z83" s="44" t="str">
        <f t="shared" si="32"/>
        <v>Yes</v>
      </c>
      <c r="AA83" s="44" t="str">
        <f t="shared" si="32"/>
        <v>Yes</v>
      </c>
      <c r="AB83" s="44" t="str">
        <f t="shared" si="33"/>
        <v>Yes</v>
      </c>
      <c r="AC83" s="80">
        <f t="shared" si="40"/>
        <v>1.43</v>
      </c>
      <c r="AD83" s="80">
        <f t="shared" si="41"/>
        <v>0.6</v>
      </c>
      <c r="AE83" s="44">
        <f t="shared" si="34"/>
        <v>63411085.282581858</v>
      </c>
      <c r="AF83" s="44">
        <f t="shared" si="34"/>
        <v>3959321.2375232261</v>
      </c>
      <c r="AG83" s="44">
        <f t="shared" si="35"/>
        <v>67370406.520105079</v>
      </c>
      <c r="AH83" s="46">
        <f>IF(Y83="No",0,IFERROR(ROUNDDOWN(INDEX('90% of ACR'!K:K,MATCH(H:H,'90% of ACR'!A:A,0))*IF(I83&gt;0,IF(O83&gt;0,$R$4*MAX(O83-V83,0),0),0)/I83,2),0))</f>
        <v>1.42</v>
      </c>
      <c r="AI83" s="80">
        <f>IF(Y83="No",0,IFERROR(ROUNDDOWN(INDEX('90% of ACR'!R:R,MATCH(H:H,'90% of ACR'!A:A,0))*IF(J83&gt;0,IF(P83&gt;0,$R$4*MAX(P83-W83,0),0),0)/J83,2),0))</f>
        <v>0.59</v>
      </c>
      <c r="AJ83" s="44">
        <f t="shared" si="36"/>
        <v>62967651.1197666</v>
      </c>
      <c r="AK83" s="44">
        <f t="shared" si="36"/>
        <v>3893332.5502311722</v>
      </c>
      <c r="AL83" s="46">
        <f t="shared" si="37"/>
        <v>2.02</v>
      </c>
      <c r="AM83" s="46">
        <f t="shared" si="37"/>
        <v>0.8899999999999999</v>
      </c>
      <c r="AN83" s="81">
        <f>IFERROR(INDEX(FeeCalc!P:P,MATCH(C83,FeeCalc!F:F,0)),0)</f>
        <v>95446694.057674855</v>
      </c>
      <c r="AO83" s="81">
        <f>IFERROR(INDEX(FeeCalc!S:S,MATCH(C83,FeeCalc!F:F,0)),0)</f>
        <v>5882262.6286673015</v>
      </c>
      <c r="AP83" s="81">
        <f t="shared" si="38"/>
        <v>101328956.68634215</v>
      </c>
      <c r="AQ83" s="68">
        <f t="shared" si="39"/>
        <v>39878213.561823323</v>
      </c>
      <c r="AR83" s="68">
        <f>INDEX('IGT Commitment Suggestions'!H:H,MATCH(G83,'IGT Commitment Suggestions'!A:A,0))*AQ83</f>
        <v>18237652.256167654</v>
      </c>
    </row>
    <row r="84" spans="1:44">
      <c r="A84" s="103" t="s">
        <v>629</v>
      </c>
      <c r="B84" s="123" t="s">
        <v>629</v>
      </c>
      <c r="C84" s="30" t="s">
        <v>630</v>
      </c>
      <c r="D84" s="124" t="s">
        <v>630</v>
      </c>
      <c r="E84" s="119" t="s">
        <v>2429</v>
      </c>
      <c r="F84" s="99" t="s">
        <v>2283</v>
      </c>
      <c r="G84" s="99" t="s">
        <v>223</v>
      </c>
      <c r="H84" s="42" t="str">
        <f t="shared" si="25"/>
        <v>Urban Dallas</v>
      </c>
      <c r="I84" s="44">
        <f>INDEX(FeeCalc!M:M,MATCH(C:C,FeeCalc!F:F,0))</f>
        <v>4118604.1112759067</v>
      </c>
      <c r="J84" s="44">
        <f>INDEX(FeeCalc!L:L,MATCH(C:C,FeeCalc!F:F,0))</f>
        <v>1086080.3600420803</v>
      </c>
      <c r="K84" s="44">
        <f t="shared" si="26"/>
        <v>5204684.471317987</v>
      </c>
      <c r="L84" s="44">
        <v>1759392.17</v>
      </c>
      <c r="M84" s="44">
        <v>269547.94</v>
      </c>
      <c r="N84" s="44">
        <f t="shared" si="27"/>
        <v>2028940.1099999999</v>
      </c>
      <c r="O84" s="44">
        <v>6952675.6440171869</v>
      </c>
      <c r="P84" s="44">
        <v>930432.16722636274</v>
      </c>
      <c r="Q84" s="44">
        <f t="shared" si="28"/>
        <v>7883107.8112435499</v>
      </c>
      <c r="R84" s="44" t="str">
        <f t="shared" si="29"/>
        <v>Yes</v>
      </c>
      <c r="S84" s="45" t="str">
        <f t="shared" si="29"/>
        <v>Yes</v>
      </c>
      <c r="T84" s="46">
        <f>ROUND(INDEX(Summary!H:H,MATCH(H:H,Summary!A:A,0)),2)</f>
        <v>0.6</v>
      </c>
      <c r="U84" s="46">
        <f>ROUND(INDEX(Summary!I:I,MATCH(H:H,Summary!A:A,0)),2)</f>
        <v>0.3</v>
      </c>
      <c r="V84" s="79">
        <f t="shared" si="30"/>
        <v>2471162.4667655439</v>
      </c>
      <c r="W84" s="79">
        <f t="shared" si="30"/>
        <v>325824.10801262408</v>
      </c>
      <c r="X84" s="44">
        <f t="shared" si="31"/>
        <v>2796986.574778168</v>
      </c>
      <c r="Y84" s="44" t="s">
        <v>2765</v>
      </c>
      <c r="Z84" s="44" t="str">
        <f t="shared" si="32"/>
        <v>Yes</v>
      </c>
      <c r="AA84" s="44" t="str">
        <f t="shared" si="32"/>
        <v>Yes</v>
      </c>
      <c r="AB84" s="44" t="str">
        <f t="shared" si="33"/>
        <v>Yes</v>
      </c>
      <c r="AC84" s="80">
        <f t="shared" si="40"/>
        <v>0.76</v>
      </c>
      <c r="AD84" s="80">
        <f t="shared" si="41"/>
        <v>0.39</v>
      </c>
      <c r="AE84" s="44">
        <f t="shared" si="34"/>
        <v>3130139.1245696889</v>
      </c>
      <c r="AF84" s="44">
        <f t="shared" si="34"/>
        <v>423571.34041641135</v>
      </c>
      <c r="AG84" s="44">
        <f t="shared" si="35"/>
        <v>3553710.4649861003</v>
      </c>
      <c r="AH84" s="46">
        <f>IF(Y84="No",0,IFERROR(ROUNDDOWN(INDEX('90% of ACR'!K:K,MATCH(H:H,'90% of ACR'!A:A,0))*IF(I84&gt;0,IF(O84&gt;0,$R$4*MAX(O84-V84,0),0),0)/I84,2),0))</f>
        <v>0.75</v>
      </c>
      <c r="AI84" s="80">
        <f>IF(Y84="No",0,IFERROR(ROUNDDOWN(INDEX('90% of ACR'!R:R,MATCH(H:H,'90% of ACR'!A:A,0))*IF(J84&gt;0,IF(P84&gt;0,$R$4*MAX(P84-W84,0),0),0)/J84,2),0))</f>
        <v>0.38</v>
      </c>
      <c r="AJ84" s="44">
        <f t="shared" si="36"/>
        <v>3088953.0834569298</v>
      </c>
      <c r="AK84" s="44">
        <f t="shared" si="36"/>
        <v>412710.53681599052</v>
      </c>
      <c r="AL84" s="46">
        <f t="shared" si="37"/>
        <v>1.35</v>
      </c>
      <c r="AM84" s="46">
        <f t="shared" si="37"/>
        <v>0.67999999999999994</v>
      </c>
      <c r="AN84" s="81">
        <f>IFERROR(INDEX(FeeCalc!P:P,MATCH(C84,FeeCalc!F:F,0)),0)</f>
        <v>6298650.1950510889</v>
      </c>
      <c r="AO84" s="81">
        <f>IFERROR(INDEX(FeeCalc!S:S,MATCH(C84,FeeCalc!F:F,0)),0)</f>
        <v>386063.03099054459</v>
      </c>
      <c r="AP84" s="81">
        <f t="shared" si="38"/>
        <v>6684713.2260416336</v>
      </c>
      <c r="AQ84" s="68">
        <f t="shared" si="39"/>
        <v>2630782.2595351371</v>
      </c>
      <c r="AR84" s="68">
        <f>INDEX('IGT Commitment Suggestions'!H:H,MATCH(G84,'IGT Commitment Suggestions'!A:A,0))*AQ84</f>
        <v>1203145.4703133674</v>
      </c>
    </row>
    <row r="85" spans="1:44" ht="25.5">
      <c r="A85" s="103" t="s">
        <v>1250</v>
      </c>
      <c r="B85" s="123" t="s">
        <v>1250</v>
      </c>
      <c r="C85" s="30" t="s">
        <v>1251</v>
      </c>
      <c r="D85" s="124" t="s">
        <v>1251</v>
      </c>
      <c r="E85" s="119" t="s">
        <v>2430</v>
      </c>
      <c r="F85" s="99" t="s">
        <v>2544</v>
      </c>
      <c r="G85" s="99" t="s">
        <v>223</v>
      </c>
      <c r="H85" s="42" t="str">
        <f t="shared" si="25"/>
        <v>Non-state-owned IMD Dallas</v>
      </c>
      <c r="I85" s="44">
        <f>INDEX(FeeCalc!M:M,MATCH(C:C,FeeCalc!F:F,0))</f>
        <v>701907.21106323227</v>
      </c>
      <c r="J85" s="44">
        <f>INDEX(FeeCalc!L:L,MATCH(C:C,FeeCalc!F:F,0))</f>
        <v>0</v>
      </c>
      <c r="K85" s="44">
        <f t="shared" si="26"/>
        <v>701907.21106323227</v>
      </c>
      <c r="L85" s="44">
        <v>278605.28000000003</v>
      </c>
      <c r="M85" s="44">
        <v>0</v>
      </c>
      <c r="N85" s="44">
        <f t="shared" si="27"/>
        <v>278605.28000000003</v>
      </c>
      <c r="O85" s="44">
        <v>848470.10733081948</v>
      </c>
      <c r="P85" s="44">
        <v>0</v>
      </c>
      <c r="Q85" s="44">
        <f t="shared" si="28"/>
        <v>848470.10733081948</v>
      </c>
      <c r="R85" s="44" t="str">
        <f t="shared" si="29"/>
        <v>Yes</v>
      </c>
      <c r="S85" s="45" t="str">
        <f t="shared" si="29"/>
        <v>No</v>
      </c>
      <c r="T85" s="46">
        <f>ROUND(INDEX(Summary!H:H,MATCH(H:H,Summary!A:A,0)),2)</f>
        <v>0.27</v>
      </c>
      <c r="U85" s="46">
        <f>ROUND(INDEX(Summary!I:I,MATCH(H:H,Summary!A:A,0)),2)</f>
        <v>0</v>
      </c>
      <c r="V85" s="79">
        <f t="shared" si="30"/>
        <v>189514.94698707273</v>
      </c>
      <c r="W85" s="79">
        <f t="shared" si="30"/>
        <v>0</v>
      </c>
      <c r="X85" s="44">
        <f t="shared" si="31"/>
        <v>189514.94698707273</v>
      </c>
      <c r="Y85" s="44" t="s">
        <v>2765</v>
      </c>
      <c r="Z85" s="44" t="str">
        <f t="shared" si="32"/>
        <v>No</v>
      </c>
      <c r="AA85" s="44" t="str">
        <f t="shared" si="32"/>
        <v>No</v>
      </c>
      <c r="AB85" s="44" t="str">
        <f t="shared" si="33"/>
        <v>Yes</v>
      </c>
      <c r="AC85" s="80">
        <f t="shared" si="40"/>
        <v>0.65</v>
      </c>
      <c r="AD85" s="80">
        <f t="shared" si="41"/>
        <v>0</v>
      </c>
      <c r="AE85" s="44">
        <f t="shared" si="34"/>
        <v>456239.68719110097</v>
      </c>
      <c r="AF85" s="44">
        <f t="shared" si="34"/>
        <v>0</v>
      </c>
      <c r="AG85" s="44">
        <f t="shared" si="35"/>
        <v>456239.68719110097</v>
      </c>
      <c r="AH85" s="46">
        <f>IF(Y85="No",0,IFERROR(ROUNDDOWN(INDEX('90% of ACR'!K:K,MATCH(H:H,'90% of ACR'!A:A,0))*IF(I85&gt;0,IF(O85&gt;0,$R$4*MAX(O85-V85,0),0),0)/I85,2),0))</f>
        <v>0</v>
      </c>
      <c r="AI85" s="80">
        <f>IF(Y85="No",0,IFERROR(ROUNDDOWN(INDEX('90% of ACR'!R:R,MATCH(H:H,'90% of ACR'!A:A,0))*IF(J85&gt;0,IF(P85&gt;0,$R$4*MAX(P85-W85,0),0),0)/J85,2),0))</f>
        <v>0</v>
      </c>
      <c r="AJ85" s="44">
        <f t="shared" si="36"/>
        <v>0</v>
      </c>
      <c r="AK85" s="44">
        <f t="shared" si="36"/>
        <v>0</v>
      </c>
      <c r="AL85" s="46">
        <f t="shared" si="37"/>
        <v>0.27</v>
      </c>
      <c r="AM85" s="46">
        <f t="shared" si="37"/>
        <v>0</v>
      </c>
      <c r="AN85" s="81">
        <f>IFERROR(INDEX(FeeCalc!P:P,MATCH(C85,FeeCalc!F:F,0)),0)</f>
        <v>189514.94698707273</v>
      </c>
      <c r="AO85" s="81">
        <f>IFERROR(INDEX(FeeCalc!S:S,MATCH(C85,FeeCalc!F:F,0)),0)</f>
        <v>11561.919842712659</v>
      </c>
      <c r="AP85" s="81">
        <f t="shared" si="38"/>
        <v>201076.8668297854</v>
      </c>
      <c r="AQ85" s="68">
        <f t="shared" si="39"/>
        <v>79134.203094595723</v>
      </c>
      <c r="AR85" s="68">
        <f>INDEX('IGT Commitment Suggestions'!H:H,MATCH(G85,'IGT Commitment Suggestions'!A:A,0))*AQ85</f>
        <v>36190.740474639148</v>
      </c>
    </row>
    <row r="86" spans="1:44">
      <c r="A86" s="103" t="s">
        <v>162</v>
      </c>
      <c r="B86" s="123" t="s">
        <v>162</v>
      </c>
      <c r="C86" s="30" t="s">
        <v>163</v>
      </c>
      <c r="D86" s="124" t="s">
        <v>163</v>
      </c>
      <c r="E86" s="119" t="s">
        <v>2826</v>
      </c>
      <c r="F86" s="99" t="s">
        <v>2283</v>
      </c>
      <c r="G86" s="99" t="s">
        <v>1514</v>
      </c>
      <c r="H86" s="42" t="str">
        <f t="shared" si="25"/>
        <v>Urban Hidalgo</v>
      </c>
      <c r="I86" s="44">
        <f>INDEX(FeeCalc!M:M,MATCH(C:C,FeeCalc!F:F,0))</f>
        <v>3259890.1555763735</v>
      </c>
      <c r="J86" s="44">
        <f>INDEX(FeeCalc!L:L,MATCH(C:C,FeeCalc!F:F,0))</f>
        <v>2124998.9185641948</v>
      </c>
      <c r="K86" s="44">
        <f t="shared" si="26"/>
        <v>5384889.0741405683</v>
      </c>
      <c r="L86" s="44">
        <v>2967087</v>
      </c>
      <c r="M86" s="44">
        <v>3822175.78</v>
      </c>
      <c r="N86" s="44">
        <f t="shared" si="27"/>
        <v>6789262.7799999993</v>
      </c>
      <c r="O86" s="44">
        <v>2600795.857429985</v>
      </c>
      <c r="P86" s="44">
        <v>3462380.7049236763</v>
      </c>
      <c r="Q86" s="44">
        <f t="shared" si="28"/>
        <v>6063176.5623536613</v>
      </c>
      <c r="R86" s="44" t="str">
        <f t="shared" si="29"/>
        <v>Yes</v>
      </c>
      <c r="S86" s="45" t="str">
        <f t="shared" si="29"/>
        <v>Yes</v>
      </c>
      <c r="T86" s="46">
        <f>ROUND(INDEX(Summary!H:H,MATCH(H:H,Summary!A:A,0)),2)</f>
        <v>0.72</v>
      </c>
      <c r="U86" s="46">
        <f>ROUND(INDEX(Summary!I:I,MATCH(H:H,Summary!A:A,0)),2)</f>
        <v>0.53</v>
      </c>
      <c r="V86" s="79">
        <f t="shared" si="30"/>
        <v>2347120.9120149887</v>
      </c>
      <c r="W86" s="79">
        <f t="shared" si="30"/>
        <v>1126249.4268390234</v>
      </c>
      <c r="X86" s="44">
        <f t="shared" si="31"/>
        <v>3473370.3388540121</v>
      </c>
      <c r="Y86" s="44" t="s">
        <v>2765</v>
      </c>
      <c r="Z86" s="44" t="str">
        <f t="shared" si="32"/>
        <v>Yes</v>
      </c>
      <c r="AA86" s="44" t="str">
        <f t="shared" si="32"/>
        <v>Yes</v>
      </c>
      <c r="AB86" s="44" t="str">
        <f t="shared" si="33"/>
        <v>Yes</v>
      </c>
      <c r="AC86" s="80">
        <f t="shared" si="40"/>
        <v>0.05</v>
      </c>
      <c r="AD86" s="80">
        <f t="shared" si="41"/>
        <v>0.77</v>
      </c>
      <c r="AE86" s="44">
        <f t="shared" si="34"/>
        <v>162994.50777881869</v>
      </c>
      <c r="AF86" s="44">
        <f t="shared" si="34"/>
        <v>1636249.1672944301</v>
      </c>
      <c r="AG86" s="44">
        <f t="shared" si="35"/>
        <v>1799243.6750732488</v>
      </c>
      <c r="AH86" s="46">
        <f>IF(Y86="No",0,IFERROR(ROUNDDOWN(INDEX('90% of ACR'!K:K,MATCH(H:H,'90% of ACR'!A:A,0))*IF(I86&gt;0,IF(O86&gt;0,$R$4*MAX(O86-V86,0),0),0)/I86,2),0))</f>
        <v>0.05</v>
      </c>
      <c r="AI86" s="80">
        <f>IF(Y86="No",0,IFERROR(ROUNDDOWN(INDEX('90% of ACR'!R:R,MATCH(H:H,'90% of ACR'!A:A,0))*IF(J86&gt;0,IF(P86&gt;0,$R$4*MAX(P86-W86,0),0),0)/J86,2),0))</f>
        <v>0.73</v>
      </c>
      <c r="AJ86" s="44">
        <f t="shared" si="36"/>
        <v>162994.50777881869</v>
      </c>
      <c r="AK86" s="44">
        <f t="shared" si="36"/>
        <v>1551249.2105518621</v>
      </c>
      <c r="AL86" s="46">
        <f t="shared" si="37"/>
        <v>0.77</v>
      </c>
      <c r="AM86" s="46">
        <f t="shared" si="37"/>
        <v>1.26</v>
      </c>
      <c r="AN86" s="81">
        <f>IFERROR(INDEX(FeeCalc!P:P,MATCH(C86,FeeCalc!F:F,0)),0)</f>
        <v>5187614.0571846925</v>
      </c>
      <c r="AO86" s="81">
        <f>IFERROR(INDEX(FeeCalc!S:S,MATCH(C86,FeeCalc!F:F,0)),0)</f>
        <v>319293.00221588166</v>
      </c>
      <c r="AP86" s="81">
        <f t="shared" si="38"/>
        <v>5506907.0594005743</v>
      </c>
      <c r="AQ86" s="68">
        <f t="shared" si="39"/>
        <v>2167254.2870412148</v>
      </c>
      <c r="AR86" s="68">
        <f>INDEX('IGT Commitment Suggestions'!H:H,MATCH(G86,'IGT Commitment Suggestions'!A:A,0))*AQ86</f>
        <v>992282.90042465366</v>
      </c>
    </row>
    <row r="87" spans="1:44">
      <c r="A87" s="103" t="s">
        <v>1086</v>
      </c>
      <c r="B87" s="123" t="s">
        <v>1086</v>
      </c>
      <c r="C87" s="30" t="s">
        <v>1087</v>
      </c>
      <c r="D87" s="124" t="s">
        <v>1087</v>
      </c>
      <c r="E87" s="119" t="s">
        <v>2827</v>
      </c>
      <c r="F87" s="99" t="s">
        <v>2295</v>
      </c>
      <c r="G87" s="99" t="s">
        <v>1526</v>
      </c>
      <c r="H87" s="42" t="str">
        <f t="shared" si="25"/>
        <v>Rural Lubbock</v>
      </c>
      <c r="I87" s="44">
        <f>INDEX(FeeCalc!M:M,MATCH(C:C,FeeCalc!F:F,0))</f>
        <v>384778.12671830156</v>
      </c>
      <c r="J87" s="44">
        <f>INDEX(FeeCalc!L:L,MATCH(C:C,FeeCalc!F:F,0))</f>
        <v>805286.72017936758</v>
      </c>
      <c r="K87" s="44">
        <f t="shared" si="26"/>
        <v>1190064.8468976691</v>
      </c>
      <c r="L87" s="44">
        <v>613764.38</v>
      </c>
      <c r="M87" s="44">
        <v>260297.63</v>
      </c>
      <c r="N87" s="44">
        <f t="shared" si="27"/>
        <v>874062.01</v>
      </c>
      <c r="O87" s="44">
        <v>344329.82892593334</v>
      </c>
      <c r="P87" s="44">
        <v>348941.20713208109</v>
      </c>
      <c r="Q87" s="44">
        <f t="shared" si="28"/>
        <v>693271.03605801449</v>
      </c>
      <c r="R87" s="44" t="str">
        <f t="shared" si="29"/>
        <v>Yes</v>
      </c>
      <c r="S87" s="45" t="str">
        <f t="shared" si="29"/>
        <v>Yes</v>
      </c>
      <c r="T87" s="46">
        <f>ROUND(INDEX(Summary!H:H,MATCH(H:H,Summary!A:A,0)),2)</f>
        <v>0.62</v>
      </c>
      <c r="U87" s="46">
        <f>ROUND(INDEX(Summary!I:I,MATCH(H:H,Summary!A:A,0)),2)</f>
        <v>0.2</v>
      </c>
      <c r="V87" s="79">
        <f t="shared" si="30"/>
        <v>238562.43856534697</v>
      </c>
      <c r="W87" s="79">
        <f t="shared" si="30"/>
        <v>161057.34403587354</v>
      </c>
      <c r="X87" s="44">
        <f t="shared" si="31"/>
        <v>399619.78260122053</v>
      </c>
      <c r="Y87" s="44" t="s">
        <v>2765</v>
      </c>
      <c r="Z87" s="44" t="str">
        <f t="shared" si="32"/>
        <v>No</v>
      </c>
      <c r="AA87" s="44" t="str">
        <f t="shared" si="32"/>
        <v>Yes</v>
      </c>
      <c r="AB87" s="44" t="str">
        <f t="shared" si="33"/>
        <v>Yes</v>
      </c>
      <c r="AC87" s="80">
        <f t="shared" si="40"/>
        <v>0.19</v>
      </c>
      <c r="AD87" s="80">
        <f t="shared" si="41"/>
        <v>0.16</v>
      </c>
      <c r="AE87" s="44">
        <f t="shared" si="34"/>
        <v>73107.844076477297</v>
      </c>
      <c r="AF87" s="44">
        <f t="shared" si="34"/>
        <v>128845.87522869882</v>
      </c>
      <c r="AG87" s="44">
        <f t="shared" si="35"/>
        <v>201953.71930517611</v>
      </c>
      <c r="AH87" s="46">
        <f>IF(Y87="No",0,IFERROR(ROUNDDOWN(INDEX('90% of ACR'!K:K,MATCH(H:H,'90% of ACR'!A:A,0))*IF(I87&gt;0,IF(O87&gt;0,$R$4*MAX(O87-V87,0),0),0)/I87,2),0))</f>
        <v>0</v>
      </c>
      <c r="AI87" s="80">
        <f>IF(Y87="No",0,IFERROR(ROUNDDOWN(INDEX('90% of ACR'!R:R,MATCH(H:H,'90% of ACR'!A:A,0))*IF(J87&gt;0,IF(P87&gt;0,$R$4*MAX(P87-W87,0),0),0)/J87,2),0))</f>
        <v>0.13</v>
      </c>
      <c r="AJ87" s="44">
        <f t="shared" si="36"/>
        <v>0</v>
      </c>
      <c r="AK87" s="44">
        <f t="shared" si="36"/>
        <v>104687.27362331779</v>
      </c>
      <c r="AL87" s="46">
        <f t="shared" si="37"/>
        <v>0.62</v>
      </c>
      <c r="AM87" s="46">
        <f t="shared" si="37"/>
        <v>0.33</v>
      </c>
      <c r="AN87" s="81">
        <f>IFERROR(INDEX(FeeCalc!P:P,MATCH(C87,FeeCalc!F:F,0)),0)</f>
        <v>504307.05622453825</v>
      </c>
      <c r="AO87" s="81">
        <f>IFERROR(INDEX(FeeCalc!S:S,MATCH(C87,FeeCalc!F:F,0)),0)</f>
        <v>31040.74049332608</v>
      </c>
      <c r="AP87" s="81">
        <f t="shared" si="38"/>
        <v>535347.79671786434</v>
      </c>
      <c r="AQ87" s="68">
        <f t="shared" si="39"/>
        <v>210687.19609390895</v>
      </c>
      <c r="AR87" s="68">
        <f>INDEX('IGT Commitment Suggestions'!H:H,MATCH(G87,'IGT Commitment Suggestions'!A:A,0))*AQ87</f>
        <v>96485.597968866903</v>
      </c>
    </row>
    <row r="88" spans="1:44">
      <c r="A88" s="103" t="s">
        <v>1375</v>
      </c>
      <c r="B88" s="123" t="s">
        <v>1375</v>
      </c>
      <c r="C88" s="30" t="s">
        <v>1376</v>
      </c>
      <c r="D88" s="124" t="s">
        <v>1376</v>
      </c>
      <c r="E88" s="119" t="s">
        <v>2828</v>
      </c>
      <c r="F88" s="99" t="s">
        <v>2295</v>
      </c>
      <c r="G88" s="99" t="s">
        <v>227</v>
      </c>
      <c r="H88" s="42" t="str">
        <f t="shared" si="25"/>
        <v>Rural MRSA West</v>
      </c>
      <c r="I88" s="44">
        <f>INDEX(FeeCalc!M:M,MATCH(C:C,FeeCalc!F:F,0))</f>
        <v>1910552.2682733666</v>
      </c>
      <c r="J88" s="44">
        <f>INDEX(FeeCalc!L:L,MATCH(C:C,FeeCalc!F:F,0))</f>
        <v>1971777.9570874339</v>
      </c>
      <c r="K88" s="44">
        <f t="shared" si="26"/>
        <v>3882330.2253608005</v>
      </c>
      <c r="L88" s="44">
        <v>-310963.11</v>
      </c>
      <c r="M88" s="44">
        <v>272151</v>
      </c>
      <c r="N88" s="44">
        <f t="shared" si="27"/>
        <v>-38812.109999999986</v>
      </c>
      <c r="O88" s="44">
        <v>649972.61345053115</v>
      </c>
      <c r="P88" s="44">
        <v>1529362.061211633</v>
      </c>
      <c r="Q88" s="44">
        <f t="shared" si="28"/>
        <v>2179334.6746621644</v>
      </c>
      <c r="R88" s="44" t="str">
        <f t="shared" si="29"/>
        <v>Yes</v>
      </c>
      <c r="S88" s="45" t="str">
        <f t="shared" si="29"/>
        <v>Yes</v>
      </c>
      <c r="T88" s="46">
        <f>ROUND(INDEX(Summary!H:H,MATCH(H:H,Summary!A:A,0)),2)</f>
        <v>0</v>
      </c>
      <c r="U88" s="46">
        <f>ROUND(INDEX(Summary!I:I,MATCH(H:H,Summary!A:A,0)),2)</f>
        <v>0.18</v>
      </c>
      <c r="V88" s="79">
        <f t="shared" si="30"/>
        <v>0</v>
      </c>
      <c r="W88" s="79">
        <f t="shared" si="30"/>
        <v>354920.03227573808</v>
      </c>
      <c r="X88" s="44">
        <f t="shared" si="31"/>
        <v>354920.03227573808</v>
      </c>
      <c r="Y88" s="44" t="s">
        <v>2765</v>
      </c>
      <c r="Z88" s="44" t="str">
        <f t="shared" si="32"/>
        <v>No</v>
      </c>
      <c r="AA88" s="44" t="str">
        <f t="shared" si="32"/>
        <v>Yes</v>
      </c>
      <c r="AB88" s="44" t="str">
        <f t="shared" si="33"/>
        <v>Yes</v>
      </c>
      <c r="AC88" s="80">
        <f t="shared" si="40"/>
        <v>0.24</v>
      </c>
      <c r="AD88" s="80">
        <f t="shared" si="41"/>
        <v>0.41</v>
      </c>
      <c r="AE88" s="44">
        <f t="shared" si="34"/>
        <v>458532.54438560799</v>
      </c>
      <c r="AF88" s="44">
        <f t="shared" si="34"/>
        <v>808428.96240584785</v>
      </c>
      <c r="AG88" s="44">
        <f t="shared" si="35"/>
        <v>1266961.5067914559</v>
      </c>
      <c r="AH88" s="46">
        <f>IF(Y88="No",0,IFERROR(ROUNDDOWN(INDEX('90% of ACR'!K:K,MATCH(H:H,'90% of ACR'!A:A,0))*IF(I88&gt;0,IF(O88&gt;0,$R$4*MAX(O88-V88,0),0),0)/I88,2),0))</f>
        <v>0</v>
      </c>
      <c r="AI88" s="80">
        <f>IF(Y88="No",0,IFERROR(ROUNDDOWN(INDEX('90% of ACR'!R:R,MATCH(H:H,'90% of ACR'!A:A,0))*IF(J88&gt;0,IF(P88&gt;0,$R$4*MAX(P88-W88,0),0),0)/J88,2),0))</f>
        <v>0.4</v>
      </c>
      <c r="AJ88" s="44">
        <f t="shared" si="36"/>
        <v>0</v>
      </c>
      <c r="AK88" s="44">
        <f t="shared" si="36"/>
        <v>788711.18283497356</v>
      </c>
      <c r="AL88" s="46">
        <f t="shared" si="37"/>
        <v>0</v>
      </c>
      <c r="AM88" s="46">
        <f t="shared" si="37"/>
        <v>0.58000000000000007</v>
      </c>
      <c r="AN88" s="81">
        <f>IFERROR(INDEX(FeeCalc!P:P,MATCH(C88,FeeCalc!F:F,0)),0)</f>
        <v>1143631.2151107118</v>
      </c>
      <c r="AO88" s="81">
        <f>IFERROR(INDEX(FeeCalc!S:S,MATCH(C88,FeeCalc!F:F,0)),0)</f>
        <v>70159.620873050575</v>
      </c>
      <c r="AP88" s="81">
        <f t="shared" si="38"/>
        <v>1213790.8359837623</v>
      </c>
      <c r="AQ88" s="68">
        <f t="shared" si="39"/>
        <v>477689.81108308164</v>
      </c>
      <c r="AR88" s="68">
        <f>INDEX('IGT Commitment Suggestions'!H:H,MATCH(G88,'IGT Commitment Suggestions'!A:A,0))*AQ88</f>
        <v>234098.41272218039</v>
      </c>
    </row>
    <row r="89" spans="1:44">
      <c r="A89" s="103" t="s">
        <v>917</v>
      </c>
      <c r="B89" s="123" t="s">
        <v>917</v>
      </c>
      <c r="C89" s="30" t="s">
        <v>918</v>
      </c>
      <c r="D89" s="124" t="s">
        <v>918</v>
      </c>
      <c r="E89" s="119" t="s">
        <v>2829</v>
      </c>
      <c r="F89" s="99" t="s">
        <v>2283</v>
      </c>
      <c r="G89" s="99" t="s">
        <v>1365</v>
      </c>
      <c r="H89" s="42" t="str">
        <f t="shared" si="25"/>
        <v>Urban Tarrant</v>
      </c>
      <c r="I89" s="44">
        <f>INDEX(FeeCalc!M:M,MATCH(C:C,FeeCalc!F:F,0))</f>
        <v>29086905.811705366</v>
      </c>
      <c r="J89" s="44">
        <f>INDEX(FeeCalc!L:L,MATCH(C:C,FeeCalc!F:F,0))</f>
        <v>24978777.138536945</v>
      </c>
      <c r="K89" s="44">
        <f t="shared" si="26"/>
        <v>54065682.950242311</v>
      </c>
      <c r="L89" s="44">
        <v>54611650.799999997</v>
      </c>
      <c r="M89" s="44">
        <v>16495077.210000001</v>
      </c>
      <c r="N89" s="44">
        <f t="shared" si="27"/>
        <v>71106728.00999999</v>
      </c>
      <c r="O89" s="44">
        <v>42888529.113211617</v>
      </c>
      <c r="P89" s="44">
        <v>15086908.371363148</v>
      </c>
      <c r="Q89" s="44">
        <f t="shared" si="28"/>
        <v>57975437.484574765</v>
      </c>
      <c r="R89" s="44" t="str">
        <f t="shared" si="29"/>
        <v>Yes</v>
      </c>
      <c r="S89" s="45" t="str">
        <f t="shared" si="29"/>
        <v>Yes</v>
      </c>
      <c r="T89" s="46">
        <f>ROUND(INDEX(Summary!H:H,MATCH(H:H,Summary!A:A,0)),2)</f>
        <v>0.84</v>
      </c>
      <c r="U89" s="46">
        <f>ROUND(INDEX(Summary!I:I,MATCH(H:H,Summary!A:A,0)),2)</f>
        <v>0.55000000000000004</v>
      </c>
      <c r="V89" s="79">
        <f t="shared" si="30"/>
        <v>24433000.881832507</v>
      </c>
      <c r="W89" s="79">
        <f t="shared" si="30"/>
        <v>13738327.426195322</v>
      </c>
      <c r="X89" s="44">
        <f t="shared" si="31"/>
        <v>38171328.308027826</v>
      </c>
      <c r="Y89" s="44" t="s">
        <v>2765</v>
      </c>
      <c r="Z89" s="44" t="str">
        <f t="shared" si="32"/>
        <v>Yes</v>
      </c>
      <c r="AA89" s="44" t="str">
        <f t="shared" si="32"/>
        <v>Yes</v>
      </c>
      <c r="AB89" s="44" t="str">
        <f t="shared" si="33"/>
        <v>Yes</v>
      </c>
      <c r="AC89" s="80">
        <f t="shared" si="40"/>
        <v>0.44</v>
      </c>
      <c r="AD89" s="80">
        <f t="shared" si="41"/>
        <v>0.04</v>
      </c>
      <c r="AE89" s="44">
        <f t="shared" si="34"/>
        <v>12798238.55715036</v>
      </c>
      <c r="AF89" s="44">
        <f t="shared" si="34"/>
        <v>999151.08554147778</v>
      </c>
      <c r="AG89" s="44">
        <f t="shared" si="35"/>
        <v>13797389.642691838</v>
      </c>
      <c r="AH89" s="46">
        <f>IF(Y89="No",0,IFERROR(ROUNDDOWN(INDEX('90% of ACR'!K:K,MATCH(H:H,'90% of ACR'!A:A,0))*IF(I89&gt;0,IF(O89&gt;0,$R$4*MAX(O89-V89,0),0),0)/I89,2),0))</f>
        <v>0.44</v>
      </c>
      <c r="AI89" s="80">
        <f>IF(Y89="No",0,IFERROR(ROUNDDOWN(INDEX('90% of ACR'!R:R,MATCH(H:H,'90% of ACR'!A:A,0))*IF(J89&gt;0,IF(P89&gt;0,$R$4*MAX(P89-W89,0),0),0)/J89,2),0))</f>
        <v>0.03</v>
      </c>
      <c r="AJ89" s="44">
        <f t="shared" si="36"/>
        <v>12798238.55715036</v>
      </c>
      <c r="AK89" s="44">
        <f t="shared" si="36"/>
        <v>749363.3141561083</v>
      </c>
      <c r="AL89" s="46">
        <f t="shared" si="37"/>
        <v>1.28</v>
      </c>
      <c r="AM89" s="46">
        <f t="shared" si="37"/>
        <v>0.58000000000000007</v>
      </c>
      <c r="AN89" s="81">
        <f>IFERROR(INDEX(FeeCalc!P:P,MATCH(C89,FeeCalc!F:F,0)),0)</f>
        <v>51718930.179334298</v>
      </c>
      <c r="AO89" s="81">
        <f>IFERROR(INDEX(FeeCalc!S:S,MATCH(C89,FeeCalc!F:F,0)),0)</f>
        <v>3222366.0229695169</v>
      </c>
      <c r="AP89" s="81">
        <f t="shared" si="38"/>
        <v>54941296.202303812</v>
      </c>
      <c r="AQ89" s="68">
        <f t="shared" si="39"/>
        <v>21622257.003009073</v>
      </c>
      <c r="AR89" s="68">
        <f>INDEX('IGT Commitment Suggestions'!H:H,MATCH(G89,'IGT Commitment Suggestions'!A:A,0))*AQ89</f>
        <v>9861705.6594599299</v>
      </c>
    </row>
    <row r="90" spans="1:44">
      <c r="A90" s="103" t="s">
        <v>929</v>
      </c>
      <c r="B90" s="123" t="s">
        <v>929</v>
      </c>
      <c r="C90" s="30" t="s">
        <v>930</v>
      </c>
      <c r="D90" s="124" t="s">
        <v>930</v>
      </c>
      <c r="E90" s="119" t="s">
        <v>2431</v>
      </c>
      <c r="F90" s="99" t="s">
        <v>2283</v>
      </c>
      <c r="G90" s="99" t="s">
        <v>1365</v>
      </c>
      <c r="H90" s="42" t="str">
        <f t="shared" si="25"/>
        <v>Urban Tarrant</v>
      </c>
      <c r="I90" s="44">
        <f>INDEX(FeeCalc!M:M,MATCH(C:C,FeeCalc!F:F,0))</f>
        <v>1995308.1020926069</v>
      </c>
      <c r="J90" s="44">
        <f>INDEX(FeeCalc!L:L,MATCH(C:C,FeeCalc!F:F,0))</f>
        <v>1090681.7400859385</v>
      </c>
      <c r="K90" s="44">
        <f t="shared" si="26"/>
        <v>3085989.8421785454</v>
      </c>
      <c r="L90" s="44">
        <v>1366935.48</v>
      </c>
      <c r="M90" s="44">
        <v>609394.49</v>
      </c>
      <c r="N90" s="44">
        <f t="shared" si="27"/>
        <v>1976329.97</v>
      </c>
      <c r="O90" s="44">
        <v>3446623.7877309714</v>
      </c>
      <c r="P90" s="44">
        <v>1413348.3855976267</v>
      </c>
      <c r="Q90" s="44">
        <f t="shared" si="28"/>
        <v>4859972.173328598</v>
      </c>
      <c r="R90" s="44" t="str">
        <f t="shared" si="29"/>
        <v>Yes</v>
      </c>
      <c r="S90" s="45" t="str">
        <f t="shared" si="29"/>
        <v>Yes</v>
      </c>
      <c r="T90" s="46">
        <f>ROUND(INDEX(Summary!H:H,MATCH(H:H,Summary!A:A,0)),2)</f>
        <v>0.84</v>
      </c>
      <c r="U90" s="46">
        <f>ROUND(INDEX(Summary!I:I,MATCH(H:H,Summary!A:A,0)),2)</f>
        <v>0.55000000000000004</v>
      </c>
      <c r="V90" s="79">
        <f t="shared" si="30"/>
        <v>1676058.8057577899</v>
      </c>
      <c r="W90" s="79">
        <f t="shared" si="30"/>
        <v>599874.95704726619</v>
      </c>
      <c r="X90" s="44">
        <f t="shared" si="31"/>
        <v>2275933.7628050558</v>
      </c>
      <c r="Y90" s="44" t="s">
        <v>2765</v>
      </c>
      <c r="Z90" s="44" t="str">
        <f t="shared" si="32"/>
        <v>Yes</v>
      </c>
      <c r="AA90" s="44" t="str">
        <f t="shared" si="32"/>
        <v>Yes</v>
      </c>
      <c r="AB90" s="44" t="str">
        <f t="shared" si="33"/>
        <v>Yes</v>
      </c>
      <c r="AC90" s="80">
        <f t="shared" si="40"/>
        <v>0.62</v>
      </c>
      <c r="AD90" s="80">
        <f t="shared" si="41"/>
        <v>0.52</v>
      </c>
      <c r="AE90" s="44">
        <f t="shared" si="34"/>
        <v>1237091.0232974163</v>
      </c>
      <c r="AF90" s="44">
        <f t="shared" si="34"/>
        <v>567154.504844688</v>
      </c>
      <c r="AG90" s="44">
        <f t="shared" si="35"/>
        <v>1804245.5281421044</v>
      </c>
      <c r="AH90" s="46">
        <f>IF(Y90="No",0,IFERROR(ROUNDDOWN(INDEX('90% of ACR'!K:K,MATCH(H:H,'90% of ACR'!A:A,0))*IF(I90&gt;0,IF(O90&gt;0,$R$4*MAX(O90-V90,0),0),0)/I90,2),0))</f>
        <v>0.61</v>
      </c>
      <c r="AI90" s="80">
        <f>IF(Y90="No",0,IFERROR(ROUNDDOWN(INDEX('90% of ACR'!R:R,MATCH(H:H,'90% of ACR'!A:A,0))*IF(J90&gt;0,IF(P90&gt;0,$R$4*MAX(P90-W90,0),0),0)/J90,2),0))</f>
        <v>0.49</v>
      </c>
      <c r="AJ90" s="44">
        <f t="shared" si="36"/>
        <v>1217137.9422764902</v>
      </c>
      <c r="AK90" s="44">
        <f t="shared" si="36"/>
        <v>534434.0526421098</v>
      </c>
      <c r="AL90" s="46">
        <f t="shared" si="37"/>
        <v>1.45</v>
      </c>
      <c r="AM90" s="46">
        <f t="shared" si="37"/>
        <v>1.04</v>
      </c>
      <c r="AN90" s="81">
        <f>IFERROR(INDEX(FeeCalc!P:P,MATCH(C90,FeeCalc!F:F,0)),0)</f>
        <v>4027505.7577236556</v>
      </c>
      <c r="AO90" s="81">
        <f>IFERROR(INDEX(FeeCalc!S:S,MATCH(C90,FeeCalc!F:F,0)),0)</f>
        <v>248966.51424577285</v>
      </c>
      <c r="AP90" s="81">
        <f t="shared" si="38"/>
        <v>4276472.2719694283</v>
      </c>
      <c r="AQ90" s="68">
        <f t="shared" si="39"/>
        <v>1683014.2155781125</v>
      </c>
      <c r="AR90" s="68">
        <f>INDEX('IGT Commitment Suggestions'!H:H,MATCH(G90,'IGT Commitment Suggestions'!A:A,0))*AQ90</f>
        <v>767606.76798950275</v>
      </c>
    </row>
    <row r="91" spans="1:44">
      <c r="A91" s="103" t="s">
        <v>135</v>
      </c>
      <c r="B91" s="123" t="s">
        <v>2710</v>
      </c>
      <c r="C91" s="30" t="s">
        <v>136</v>
      </c>
      <c r="D91" s="124" t="s">
        <v>136</v>
      </c>
      <c r="E91" s="119" t="s">
        <v>2830</v>
      </c>
      <c r="F91" s="99" t="s">
        <v>2295</v>
      </c>
      <c r="G91" s="99" t="s">
        <v>1486</v>
      </c>
      <c r="H91" s="42" t="str">
        <f t="shared" si="25"/>
        <v>Rural MRSA Central</v>
      </c>
      <c r="I91" s="44">
        <f>INDEX(FeeCalc!M:M,MATCH(C:C,FeeCalc!F:F,0))</f>
        <v>119872.00094318815</v>
      </c>
      <c r="J91" s="44">
        <f>INDEX(FeeCalc!L:L,MATCH(C:C,FeeCalc!F:F,0))</f>
        <v>447757.06741388823</v>
      </c>
      <c r="K91" s="44">
        <f t="shared" si="26"/>
        <v>567629.06835707638</v>
      </c>
      <c r="L91" s="44">
        <v>193480.67</v>
      </c>
      <c r="M91" s="44">
        <v>180862.43</v>
      </c>
      <c r="N91" s="44">
        <f t="shared" si="27"/>
        <v>374343.1</v>
      </c>
      <c r="O91" s="44">
        <v>228306.5697634808</v>
      </c>
      <c r="P91" s="44">
        <v>143801.48289010793</v>
      </c>
      <c r="Q91" s="44">
        <f t="shared" si="28"/>
        <v>372108.0526535887</v>
      </c>
      <c r="R91" s="44" t="str">
        <f t="shared" si="29"/>
        <v>Yes</v>
      </c>
      <c r="S91" s="45" t="str">
        <f t="shared" si="29"/>
        <v>Yes</v>
      </c>
      <c r="T91" s="46">
        <f>ROUND(INDEX(Summary!H:H,MATCH(H:H,Summary!A:A,0)),2)</f>
        <v>0.11</v>
      </c>
      <c r="U91" s="46">
        <f>ROUND(INDEX(Summary!I:I,MATCH(H:H,Summary!A:A,0)),2)</f>
        <v>0.09</v>
      </c>
      <c r="V91" s="79">
        <f t="shared" si="30"/>
        <v>13185.920103750695</v>
      </c>
      <c r="W91" s="79">
        <f t="shared" si="30"/>
        <v>40298.136067249936</v>
      </c>
      <c r="X91" s="44">
        <f t="shared" si="31"/>
        <v>53484.05617100063</v>
      </c>
      <c r="Y91" s="44" t="s">
        <v>2765</v>
      </c>
      <c r="Z91" s="44" t="str">
        <f t="shared" si="32"/>
        <v>Yes</v>
      </c>
      <c r="AA91" s="44" t="str">
        <f t="shared" si="32"/>
        <v>Yes</v>
      </c>
      <c r="AB91" s="44" t="str">
        <f t="shared" si="33"/>
        <v>Yes</v>
      </c>
      <c r="AC91" s="80">
        <f t="shared" si="40"/>
        <v>1.25</v>
      </c>
      <c r="AD91" s="80">
        <f t="shared" si="41"/>
        <v>0.16</v>
      </c>
      <c r="AE91" s="44">
        <f t="shared" si="34"/>
        <v>149840.00117898517</v>
      </c>
      <c r="AF91" s="44">
        <f t="shared" si="34"/>
        <v>71641.130786222115</v>
      </c>
      <c r="AG91" s="44">
        <f t="shared" si="35"/>
        <v>221481.13196520729</v>
      </c>
      <c r="AH91" s="46">
        <f>IF(Y91="No",0,IFERROR(ROUNDDOWN(INDEX('90% of ACR'!K:K,MATCH(H:H,'90% of ACR'!A:A,0))*IF(I91&gt;0,IF(O91&gt;0,$R$4*MAX(O91-V91,0),0),0)/I91,2),0))</f>
        <v>0.64</v>
      </c>
      <c r="AI91" s="80">
        <f>IF(Y91="No",0,IFERROR(ROUNDDOWN(INDEX('90% of ACR'!R:R,MATCH(H:H,'90% of ACR'!A:A,0))*IF(J91&gt;0,IF(P91&gt;0,$R$4*MAX(P91-W91,0),0),0)/J91,2),0))</f>
        <v>0.16</v>
      </c>
      <c r="AJ91" s="44">
        <f t="shared" si="36"/>
        <v>76718.08060364041</v>
      </c>
      <c r="AK91" s="44">
        <f t="shared" si="36"/>
        <v>71641.130786222115</v>
      </c>
      <c r="AL91" s="46">
        <f t="shared" si="37"/>
        <v>0.75</v>
      </c>
      <c r="AM91" s="46">
        <f t="shared" si="37"/>
        <v>0.25</v>
      </c>
      <c r="AN91" s="81">
        <f>IFERROR(INDEX(FeeCalc!P:P,MATCH(C91,FeeCalc!F:F,0)),0)</f>
        <v>201843.26756086317</v>
      </c>
      <c r="AO91" s="81">
        <f>IFERROR(INDEX(FeeCalc!S:S,MATCH(C91,FeeCalc!F:F,0)),0)</f>
        <v>12546.171292909228</v>
      </c>
      <c r="AP91" s="81">
        <f t="shared" si="38"/>
        <v>214389.43885377239</v>
      </c>
      <c r="AQ91" s="68">
        <f t="shared" si="39"/>
        <v>84373.39243977984</v>
      </c>
      <c r="AR91" s="68">
        <f>INDEX('IGT Commitment Suggestions'!H:H,MATCH(G91,'IGT Commitment Suggestions'!A:A,0))*AQ91</f>
        <v>38544.884428222053</v>
      </c>
    </row>
    <row r="92" spans="1:44">
      <c r="A92" s="103" t="s">
        <v>626</v>
      </c>
      <c r="B92" s="123" t="s">
        <v>626</v>
      </c>
      <c r="C92" s="30" t="s">
        <v>627</v>
      </c>
      <c r="D92" s="124" t="s">
        <v>627</v>
      </c>
      <c r="E92" s="119" t="s">
        <v>2439</v>
      </c>
      <c r="F92" s="99" t="s">
        <v>2283</v>
      </c>
      <c r="G92" s="99" t="s">
        <v>1365</v>
      </c>
      <c r="H92" s="42" t="str">
        <f t="shared" si="25"/>
        <v>Urban Tarrant</v>
      </c>
      <c r="I92" s="44">
        <f>INDEX(FeeCalc!M:M,MATCH(C:C,FeeCalc!F:F,0))</f>
        <v>2225670.5982215232</v>
      </c>
      <c r="J92" s="44">
        <f>INDEX(FeeCalc!L:L,MATCH(C:C,FeeCalc!F:F,0))</f>
        <v>1176238.3308368637</v>
      </c>
      <c r="K92" s="44">
        <f t="shared" si="26"/>
        <v>3401908.9290583869</v>
      </c>
      <c r="L92" s="44">
        <v>874860</v>
      </c>
      <c r="M92" s="44">
        <v>923306.07</v>
      </c>
      <c r="N92" s="44">
        <f t="shared" si="27"/>
        <v>1798166.0699999998</v>
      </c>
      <c r="O92" s="44">
        <v>6723148.6874971325</v>
      </c>
      <c r="P92" s="44">
        <v>2058785.0144783477</v>
      </c>
      <c r="Q92" s="44">
        <f t="shared" si="28"/>
        <v>8781933.7019754797</v>
      </c>
      <c r="R92" s="44" t="str">
        <f t="shared" si="29"/>
        <v>Yes</v>
      </c>
      <c r="S92" s="45" t="str">
        <f t="shared" si="29"/>
        <v>Yes</v>
      </c>
      <c r="T92" s="46">
        <f>ROUND(INDEX(Summary!H:H,MATCH(H:H,Summary!A:A,0)),2)</f>
        <v>0.84</v>
      </c>
      <c r="U92" s="46">
        <f>ROUND(INDEX(Summary!I:I,MATCH(H:H,Summary!A:A,0)),2)</f>
        <v>0.55000000000000004</v>
      </c>
      <c r="V92" s="79">
        <f t="shared" si="30"/>
        <v>1869563.3025060794</v>
      </c>
      <c r="W92" s="79">
        <f t="shared" si="30"/>
        <v>646931.08196027507</v>
      </c>
      <c r="X92" s="44">
        <f t="shared" si="31"/>
        <v>2516494.3844663547</v>
      </c>
      <c r="Y92" s="44" t="s">
        <v>2765</v>
      </c>
      <c r="Z92" s="44" t="str">
        <f t="shared" si="32"/>
        <v>Yes</v>
      </c>
      <c r="AA92" s="44" t="str">
        <f t="shared" si="32"/>
        <v>Yes</v>
      </c>
      <c r="AB92" s="44" t="str">
        <f t="shared" si="33"/>
        <v>Yes</v>
      </c>
      <c r="AC92" s="80">
        <f t="shared" si="40"/>
        <v>1.52</v>
      </c>
      <c r="AD92" s="80">
        <f t="shared" si="41"/>
        <v>0.84</v>
      </c>
      <c r="AE92" s="44">
        <f t="shared" si="34"/>
        <v>3383019.3092967155</v>
      </c>
      <c r="AF92" s="44">
        <f t="shared" si="34"/>
        <v>988040.19790296548</v>
      </c>
      <c r="AG92" s="44">
        <f t="shared" si="35"/>
        <v>4371059.5071996814</v>
      </c>
      <c r="AH92" s="46">
        <f>IF(Y92="No",0,IFERROR(ROUNDDOWN(INDEX('90% of ACR'!K:K,MATCH(H:H,'90% of ACR'!A:A,0))*IF(I92&gt;0,IF(O92&gt;0,$R$4*MAX(O92-V92,0),0),0)/I92,2),0))</f>
        <v>1.51</v>
      </c>
      <c r="AI92" s="80">
        <f>IF(Y92="No",0,IFERROR(ROUNDDOWN(INDEX('90% of ACR'!R:R,MATCH(H:H,'90% of ACR'!A:A,0))*IF(J92&gt;0,IF(P92&gt;0,$R$4*MAX(P92-W92,0),0),0)/J92,2),0))</f>
        <v>0.8</v>
      </c>
      <c r="AJ92" s="44">
        <f t="shared" si="36"/>
        <v>3360762.6033145003</v>
      </c>
      <c r="AK92" s="44">
        <f t="shared" si="36"/>
        <v>940990.664669491</v>
      </c>
      <c r="AL92" s="46">
        <f t="shared" si="37"/>
        <v>2.35</v>
      </c>
      <c r="AM92" s="46">
        <f t="shared" si="37"/>
        <v>1.35</v>
      </c>
      <c r="AN92" s="81">
        <f>IFERROR(INDEX(FeeCalc!P:P,MATCH(C92,FeeCalc!F:F,0)),0)</f>
        <v>6818247.6524503464</v>
      </c>
      <c r="AO92" s="81">
        <f>IFERROR(INDEX(FeeCalc!S:S,MATCH(C92,FeeCalc!F:F,0)),0)</f>
        <v>429780.51714296761</v>
      </c>
      <c r="AP92" s="81">
        <f t="shared" si="38"/>
        <v>7248028.1695933137</v>
      </c>
      <c r="AQ92" s="68">
        <f t="shared" si="39"/>
        <v>2852475.9821997876</v>
      </c>
      <c r="AR92" s="68">
        <f>INDEX('IGT Commitment Suggestions'!H:H,MATCH(G92,'IGT Commitment Suggestions'!A:A,0))*AQ92</f>
        <v>1300987.1510276841</v>
      </c>
    </row>
    <row r="93" spans="1:44">
      <c r="A93" s="103" t="s">
        <v>1168</v>
      </c>
      <c r="B93" s="123" t="s">
        <v>1168</v>
      </c>
      <c r="C93" s="30" t="s">
        <v>1169</v>
      </c>
      <c r="D93" s="124" t="s">
        <v>1169</v>
      </c>
      <c r="E93" s="119" t="s">
        <v>2434</v>
      </c>
      <c r="F93" s="99" t="s">
        <v>2283</v>
      </c>
      <c r="G93" s="99" t="s">
        <v>1365</v>
      </c>
      <c r="H93" s="42" t="str">
        <f t="shared" si="25"/>
        <v>Urban Tarrant</v>
      </c>
      <c r="I93" s="44">
        <f>INDEX(FeeCalc!M:M,MATCH(C:C,FeeCalc!F:F,0))</f>
        <v>2529555.8812171761</v>
      </c>
      <c r="J93" s="44">
        <f>INDEX(FeeCalc!L:L,MATCH(C:C,FeeCalc!F:F,0))</f>
        <v>1494621.9521226664</v>
      </c>
      <c r="K93" s="44">
        <f t="shared" si="26"/>
        <v>4024177.8333398425</v>
      </c>
      <c r="L93" s="44">
        <v>2528154.4</v>
      </c>
      <c r="M93" s="44">
        <v>1564967.72</v>
      </c>
      <c r="N93" s="44">
        <f t="shared" si="27"/>
        <v>4093122.12</v>
      </c>
      <c r="O93" s="44">
        <v>6108783.2733537192</v>
      </c>
      <c r="P93" s="44">
        <v>2092930.5220448838</v>
      </c>
      <c r="Q93" s="44">
        <f t="shared" si="28"/>
        <v>8201713.7953986032</v>
      </c>
      <c r="R93" s="44" t="str">
        <f t="shared" si="29"/>
        <v>Yes</v>
      </c>
      <c r="S93" s="45" t="str">
        <f t="shared" si="29"/>
        <v>Yes</v>
      </c>
      <c r="T93" s="46">
        <f>ROUND(INDEX(Summary!H:H,MATCH(H:H,Summary!A:A,0)),2)</f>
        <v>0.84</v>
      </c>
      <c r="U93" s="46">
        <f>ROUND(INDEX(Summary!I:I,MATCH(H:H,Summary!A:A,0)),2)</f>
        <v>0.55000000000000004</v>
      </c>
      <c r="V93" s="79">
        <f t="shared" si="30"/>
        <v>2124826.9402224277</v>
      </c>
      <c r="W93" s="79">
        <f t="shared" si="30"/>
        <v>822042.07366746664</v>
      </c>
      <c r="X93" s="44">
        <f t="shared" si="31"/>
        <v>2946869.0138898944</v>
      </c>
      <c r="Y93" s="44" t="s">
        <v>2765</v>
      </c>
      <c r="Z93" s="44" t="str">
        <f t="shared" si="32"/>
        <v>Yes</v>
      </c>
      <c r="AA93" s="44" t="str">
        <f t="shared" si="32"/>
        <v>Yes</v>
      </c>
      <c r="AB93" s="44" t="str">
        <f t="shared" si="33"/>
        <v>Yes</v>
      </c>
      <c r="AC93" s="80">
        <f t="shared" si="40"/>
        <v>1.1000000000000001</v>
      </c>
      <c r="AD93" s="80">
        <f t="shared" si="41"/>
        <v>0.59</v>
      </c>
      <c r="AE93" s="44">
        <f t="shared" si="34"/>
        <v>2782511.4693388939</v>
      </c>
      <c r="AF93" s="44">
        <f t="shared" si="34"/>
        <v>881826.95175237313</v>
      </c>
      <c r="AG93" s="44">
        <f t="shared" si="35"/>
        <v>3664338.4210912669</v>
      </c>
      <c r="AH93" s="46">
        <f>IF(Y93="No",0,IFERROR(ROUNDDOWN(INDEX('90% of ACR'!K:K,MATCH(H:H,'90% of ACR'!A:A,0))*IF(I93&gt;0,IF(O93&gt;0,$R$4*MAX(O93-V93,0),0),0)/I93,2),0))</f>
        <v>1.0900000000000001</v>
      </c>
      <c r="AI93" s="80">
        <f>IF(Y93="No",0,IFERROR(ROUNDDOWN(INDEX('90% of ACR'!R:R,MATCH(H:H,'90% of ACR'!A:A,0))*IF(J93&gt;0,IF(P93&gt;0,$R$4*MAX(P93-W93,0),0),0)/J93,2),0))</f>
        <v>0.56000000000000005</v>
      </c>
      <c r="AJ93" s="44">
        <f t="shared" si="36"/>
        <v>2757215.9105267222</v>
      </c>
      <c r="AK93" s="44">
        <f t="shared" si="36"/>
        <v>836988.29318869323</v>
      </c>
      <c r="AL93" s="46">
        <f t="shared" si="37"/>
        <v>1.9300000000000002</v>
      </c>
      <c r="AM93" s="46">
        <f t="shared" si="37"/>
        <v>1.1100000000000001</v>
      </c>
      <c r="AN93" s="81">
        <f>IFERROR(INDEX(FeeCalc!P:P,MATCH(C93,FeeCalc!F:F,0)),0)</f>
        <v>6541073.2176053096</v>
      </c>
      <c r="AO93" s="81">
        <f>IFERROR(INDEX(FeeCalc!S:S,MATCH(C93,FeeCalc!F:F,0)),0)</f>
        <v>405621.59215142531</v>
      </c>
      <c r="AP93" s="81">
        <f t="shared" si="38"/>
        <v>6946694.8097567353</v>
      </c>
      <c r="AQ93" s="68">
        <f t="shared" si="39"/>
        <v>2733885.6357693826</v>
      </c>
      <c r="AR93" s="68">
        <f>INDEX('IGT Commitment Suggestions'!H:H,MATCH(G93,'IGT Commitment Suggestions'!A:A,0))*AQ93</f>
        <v>1246899.2225386607</v>
      </c>
    </row>
    <row r="94" spans="1:44">
      <c r="A94" s="103" t="s">
        <v>273</v>
      </c>
      <c r="B94" s="123" t="s">
        <v>273</v>
      </c>
      <c r="C94" s="30" t="s">
        <v>274</v>
      </c>
      <c r="D94" s="124" t="s">
        <v>274</v>
      </c>
      <c r="E94" s="119" t="s">
        <v>2831</v>
      </c>
      <c r="F94" s="99" t="s">
        <v>2283</v>
      </c>
      <c r="G94" s="99" t="s">
        <v>300</v>
      </c>
      <c r="H94" s="42" t="str">
        <f t="shared" si="25"/>
        <v>Urban Harris</v>
      </c>
      <c r="I94" s="44">
        <f>INDEX(FeeCalc!M:M,MATCH(C:C,FeeCalc!F:F,0))</f>
        <v>2016351.9729251687</v>
      </c>
      <c r="J94" s="44">
        <f>INDEX(FeeCalc!L:L,MATCH(C:C,FeeCalc!F:F,0))</f>
        <v>1058850.5620542362</v>
      </c>
      <c r="K94" s="44">
        <f t="shared" si="26"/>
        <v>3075202.5349794049</v>
      </c>
      <c r="L94" s="44">
        <v>2650466.69</v>
      </c>
      <c r="M94" s="44">
        <v>952729.98</v>
      </c>
      <c r="N94" s="44">
        <f t="shared" si="27"/>
        <v>3603196.67</v>
      </c>
      <c r="O94" s="44">
        <v>9972937.1714287922</v>
      </c>
      <c r="P94" s="44">
        <v>3058734.3003714588</v>
      </c>
      <c r="Q94" s="44">
        <f t="shared" si="28"/>
        <v>13031671.471800251</v>
      </c>
      <c r="R94" s="44" t="str">
        <f t="shared" si="29"/>
        <v>Yes</v>
      </c>
      <c r="S94" s="45" t="str">
        <f t="shared" si="29"/>
        <v>Yes</v>
      </c>
      <c r="T94" s="46">
        <f>ROUND(INDEX(Summary!H:H,MATCH(H:H,Summary!A:A,0)),2)</f>
        <v>1.74</v>
      </c>
      <c r="U94" s="46">
        <f>ROUND(INDEX(Summary!I:I,MATCH(H:H,Summary!A:A,0)),2)</f>
        <v>0.33</v>
      </c>
      <c r="V94" s="79">
        <f t="shared" si="30"/>
        <v>3508452.4328897935</v>
      </c>
      <c r="W94" s="79">
        <f t="shared" si="30"/>
        <v>349420.68547789793</v>
      </c>
      <c r="X94" s="44">
        <f t="shared" si="31"/>
        <v>3857873.1183676915</v>
      </c>
      <c r="Y94" s="44" t="s">
        <v>2765</v>
      </c>
      <c r="Z94" s="44" t="str">
        <f t="shared" si="32"/>
        <v>No</v>
      </c>
      <c r="AA94" s="44" t="str">
        <f t="shared" si="32"/>
        <v>Yes</v>
      </c>
      <c r="AB94" s="44" t="str">
        <f t="shared" si="33"/>
        <v>Yes</v>
      </c>
      <c r="AC94" s="80">
        <f t="shared" si="40"/>
        <v>2.23</v>
      </c>
      <c r="AD94" s="80">
        <f t="shared" si="41"/>
        <v>1.78</v>
      </c>
      <c r="AE94" s="44">
        <f t="shared" si="34"/>
        <v>4496464.8996231258</v>
      </c>
      <c r="AF94" s="44">
        <f t="shared" si="34"/>
        <v>1884754.0004565404</v>
      </c>
      <c r="AG94" s="44">
        <f t="shared" si="35"/>
        <v>6381218.9000796657</v>
      </c>
      <c r="AH94" s="46">
        <f>IF(Y94="No",0,IFERROR(ROUNDDOWN(INDEX('90% of ACR'!K:K,MATCH(H:H,'90% of ACR'!A:A,0))*IF(I94&gt;0,IF(O94&gt;0,$R$4*MAX(O94-V94,0),0),0)/I94,2),0))</f>
        <v>0</v>
      </c>
      <c r="AI94" s="80">
        <f>IF(Y94="No",0,IFERROR(ROUNDDOWN(INDEX('90% of ACR'!R:R,MATCH(H:H,'90% of ACR'!A:A,0))*IF(J94&gt;0,IF(P94&gt;0,$R$4*MAX(P94-W94,0),0),0)/J94,2),0))</f>
        <v>1.66</v>
      </c>
      <c r="AJ94" s="44">
        <f t="shared" si="36"/>
        <v>0</v>
      </c>
      <c r="AK94" s="44">
        <f t="shared" si="36"/>
        <v>1757691.9330100319</v>
      </c>
      <c r="AL94" s="46">
        <f t="shared" si="37"/>
        <v>1.74</v>
      </c>
      <c r="AM94" s="46">
        <f t="shared" si="37"/>
        <v>1.99</v>
      </c>
      <c r="AN94" s="81">
        <f>IFERROR(INDEX(FeeCalc!P:P,MATCH(C94,FeeCalc!F:F,0)),0)</f>
        <v>5615565.051377723</v>
      </c>
      <c r="AO94" s="81">
        <f>IFERROR(INDEX(FeeCalc!S:S,MATCH(C94,FeeCalc!F:F,0)),0)</f>
        <v>346489.20270642091</v>
      </c>
      <c r="AP94" s="81">
        <f t="shared" si="38"/>
        <v>5962054.2540841438</v>
      </c>
      <c r="AQ94" s="68">
        <f t="shared" si="39"/>
        <v>2346378.375803323</v>
      </c>
      <c r="AR94" s="68">
        <f>INDEX('IGT Commitment Suggestions'!H:H,MATCH(G94,'IGT Commitment Suggestions'!A:A,0))*AQ94</f>
        <v>1076503.9179050424</v>
      </c>
    </row>
    <row r="95" spans="1:44">
      <c r="A95" s="103" t="s">
        <v>276</v>
      </c>
      <c r="B95" s="123" t="s">
        <v>276</v>
      </c>
      <c r="C95" s="30" t="s">
        <v>277</v>
      </c>
      <c r="D95" s="124" t="s">
        <v>277</v>
      </c>
      <c r="E95" s="119" t="s">
        <v>2832</v>
      </c>
      <c r="F95" s="99" t="s">
        <v>2283</v>
      </c>
      <c r="G95" s="99" t="s">
        <v>300</v>
      </c>
      <c r="H95" s="42" t="str">
        <f t="shared" si="25"/>
        <v>Urban Harris</v>
      </c>
      <c r="I95" s="44">
        <f>INDEX(FeeCalc!M:M,MATCH(C:C,FeeCalc!F:F,0))</f>
        <v>9413413.8080451488</v>
      </c>
      <c r="J95" s="44">
        <f>INDEX(FeeCalc!L:L,MATCH(C:C,FeeCalc!F:F,0))</f>
        <v>9261260.1002598405</v>
      </c>
      <c r="K95" s="44">
        <f t="shared" si="26"/>
        <v>18674673.908304989</v>
      </c>
      <c r="L95" s="44">
        <v>9544303.8699999992</v>
      </c>
      <c r="M95" s="44">
        <v>674836</v>
      </c>
      <c r="N95" s="44">
        <f t="shared" si="27"/>
        <v>10219139.869999999</v>
      </c>
      <c r="O95" s="44">
        <v>30466455.996241875</v>
      </c>
      <c r="P95" s="44">
        <v>4848038.1354099121</v>
      </c>
      <c r="Q95" s="44">
        <f t="shared" si="28"/>
        <v>35314494.131651789</v>
      </c>
      <c r="R95" s="44" t="str">
        <f t="shared" si="29"/>
        <v>Yes</v>
      </c>
      <c r="S95" s="45" t="str">
        <f t="shared" si="29"/>
        <v>Yes</v>
      </c>
      <c r="T95" s="46">
        <f>ROUND(INDEX(Summary!H:H,MATCH(H:H,Summary!A:A,0)),2)</f>
        <v>1.74</v>
      </c>
      <c r="U95" s="46">
        <f>ROUND(INDEX(Summary!I:I,MATCH(H:H,Summary!A:A,0)),2)</f>
        <v>0.33</v>
      </c>
      <c r="V95" s="79">
        <f t="shared" si="30"/>
        <v>16379340.025998559</v>
      </c>
      <c r="W95" s="79">
        <f t="shared" si="30"/>
        <v>3056215.8330857474</v>
      </c>
      <c r="X95" s="44">
        <f t="shared" si="31"/>
        <v>19435555.859084308</v>
      </c>
      <c r="Y95" s="44" t="s">
        <v>2765</v>
      </c>
      <c r="Z95" s="44" t="str">
        <f t="shared" si="32"/>
        <v>No</v>
      </c>
      <c r="AA95" s="44" t="str">
        <f t="shared" si="32"/>
        <v>Yes</v>
      </c>
      <c r="AB95" s="44" t="str">
        <f t="shared" si="33"/>
        <v>Yes</v>
      </c>
      <c r="AC95" s="80">
        <f t="shared" si="40"/>
        <v>1.04</v>
      </c>
      <c r="AD95" s="80">
        <f t="shared" si="41"/>
        <v>0.13</v>
      </c>
      <c r="AE95" s="44">
        <f t="shared" si="34"/>
        <v>9789950.3603669554</v>
      </c>
      <c r="AF95" s="44">
        <f t="shared" si="34"/>
        <v>1203963.8130337794</v>
      </c>
      <c r="AG95" s="44">
        <f t="shared" si="35"/>
        <v>10993914.173400735</v>
      </c>
      <c r="AH95" s="46">
        <f>IF(Y95="No",0,IFERROR(ROUNDDOWN(INDEX('90% of ACR'!K:K,MATCH(H:H,'90% of ACR'!A:A,0))*IF(I95&gt;0,IF(O95&gt;0,$R$4*MAX(O95-V95,0),0),0)/I95,2),0))</f>
        <v>0</v>
      </c>
      <c r="AI95" s="80">
        <f>IF(Y95="No",0,IFERROR(ROUNDDOWN(INDEX('90% of ACR'!R:R,MATCH(H:H,'90% of ACR'!A:A,0))*IF(J95&gt;0,IF(P95&gt;0,$R$4*MAX(P95-W95,0),0),0)/J95,2),0))</f>
        <v>0.12</v>
      </c>
      <c r="AJ95" s="44">
        <f t="shared" si="36"/>
        <v>0</v>
      </c>
      <c r="AK95" s="44">
        <f t="shared" si="36"/>
        <v>1111351.2120311807</v>
      </c>
      <c r="AL95" s="46">
        <f t="shared" si="37"/>
        <v>1.74</v>
      </c>
      <c r="AM95" s="46">
        <f t="shared" si="37"/>
        <v>0.45</v>
      </c>
      <c r="AN95" s="81">
        <f>IFERROR(INDEX(FeeCalc!P:P,MATCH(C95,FeeCalc!F:F,0)),0)</f>
        <v>20546907.071115486</v>
      </c>
      <c r="AO95" s="81">
        <f>IFERROR(INDEX(FeeCalc!S:S,MATCH(C95,FeeCalc!F:F,0)),0)</f>
        <v>1258884.6570965687</v>
      </c>
      <c r="AP95" s="81">
        <f t="shared" si="38"/>
        <v>21805791.728212055</v>
      </c>
      <c r="AQ95" s="68">
        <f t="shared" si="39"/>
        <v>8581712.9462213125</v>
      </c>
      <c r="AR95" s="68">
        <f>INDEX('IGT Commitment Suggestions'!H:H,MATCH(G95,'IGT Commitment Suggestions'!A:A,0))*AQ95</f>
        <v>3937236.9368093903</v>
      </c>
    </row>
    <row r="96" spans="1:44">
      <c r="A96" s="103" t="s">
        <v>261</v>
      </c>
      <c r="B96" s="123" t="s">
        <v>261</v>
      </c>
      <c r="C96" s="30" t="s">
        <v>262</v>
      </c>
      <c r="D96" s="124" t="s">
        <v>262</v>
      </c>
      <c r="E96" s="119" t="s">
        <v>2833</v>
      </c>
      <c r="F96" s="99" t="s">
        <v>2283</v>
      </c>
      <c r="G96" s="99" t="s">
        <v>300</v>
      </c>
      <c r="H96" s="42" t="str">
        <f t="shared" si="25"/>
        <v>Urban Harris</v>
      </c>
      <c r="I96" s="44">
        <f>INDEX(FeeCalc!M:M,MATCH(C:C,FeeCalc!F:F,0))</f>
        <v>5383425.9252044912</v>
      </c>
      <c r="J96" s="44">
        <f>INDEX(FeeCalc!L:L,MATCH(C:C,FeeCalc!F:F,0))</f>
        <v>4187058.4923930499</v>
      </c>
      <c r="K96" s="44">
        <f t="shared" si="26"/>
        <v>9570484.4175975416</v>
      </c>
      <c r="L96" s="44">
        <v>3845876.6</v>
      </c>
      <c r="M96" s="44">
        <v>621982.93999999994</v>
      </c>
      <c r="N96" s="44">
        <f t="shared" si="27"/>
        <v>4467859.54</v>
      </c>
      <c r="O96" s="44">
        <v>12569308.512715401</v>
      </c>
      <c r="P96" s="44">
        <v>2791139.5218942333</v>
      </c>
      <c r="Q96" s="44">
        <f t="shared" si="28"/>
        <v>15360448.034609634</v>
      </c>
      <c r="R96" s="44" t="str">
        <f t="shared" si="29"/>
        <v>Yes</v>
      </c>
      <c r="S96" s="45" t="str">
        <f t="shared" si="29"/>
        <v>Yes</v>
      </c>
      <c r="T96" s="46">
        <f>ROUND(INDEX(Summary!H:H,MATCH(H:H,Summary!A:A,0)),2)</f>
        <v>1.74</v>
      </c>
      <c r="U96" s="46">
        <f>ROUND(INDEX(Summary!I:I,MATCH(H:H,Summary!A:A,0)),2)</f>
        <v>0.33</v>
      </c>
      <c r="V96" s="79">
        <f t="shared" si="30"/>
        <v>9367161.1098558139</v>
      </c>
      <c r="W96" s="79">
        <f t="shared" si="30"/>
        <v>1381729.3024897065</v>
      </c>
      <c r="X96" s="44">
        <f t="shared" si="31"/>
        <v>10748890.412345521</v>
      </c>
      <c r="Y96" s="44" t="s">
        <v>2765</v>
      </c>
      <c r="Z96" s="44" t="str">
        <f t="shared" si="32"/>
        <v>No</v>
      </c>
      <c r="AA96" s="44" t="str">
        <f t="shared" si="32"/>
        <v>Yes</v>
      </c>
      <c r="AB96" s="44" t="str">
        <f t="shared" si="33"/>
        <v>Yes</v>
      </c>
      <c r="AC96" s="80">
        <f t="shared" si="40"/>
        <v>0.41</v>
      </c>
      <c r="AD96" s="80">
        <f t="shared" si="41"/>
        <v>0.23</v>
      </c>
      <c r="AE96" s="44">
        <f t="shared" si="34"/>
        <v>2207204.6293338411</v>
      </c>
      <c r="AF96" s="44">
        <f t="shared" si="34"/>
        <v>963023.45325040154</v>
      </c>
      <c r="AG96" s="44">
        <f t="shared" si="35"/>
        <v>3170228.0825842428</v>
      </c>
      <c r="AH96" s="46">
        <f>IF(Y96="No",0,IFERROR(ROUNDDOWN(INDEX('90% of ACR'!K:K,MATCH(H:H,'90% of ACR'!A:A,0))*IF(I96&gt;0,IF(O96&gt;0,$R$4*MAX(O96-V96,0),0),0)/I96,2),0))</f>
        <v>0</v>
      </c>
      <c r="AI96" s="80">
        <f>IF(Y96="No",0,IFERROR(ROUNDDOWN(INDEX('90% of ACR'!R:R,MATCH(H:H,'90% of ACR'!A:A,0))*IF(J96&gt;0,IF(P96&gt;0,$R$4*MAX(P96-W96,0),0),0)/J96,2),0))</f>
        <v>0.21</v>
      </c>
      <c r="AJ96" s="44">
        <f t="shared" si="36"/>
        <v>0</v>
      </c>
      <c r="AK96" s="44">
        <f t="shared" si="36"/>
        <v>879282.28340254049</v>
      </c>
      <c r="AL96" s="46">
        <f t="shared" si="37"/>
        <v>1.74</v>
      </c>
      <c r="AM96" s="46">
        <f t="shared" si="37"/>
        <v>0.54</v>
      </c>
      <c r="AN96" s="81">
        <f>IFERROR(INDEX(FeeCalc!P:P,MATCH(C96,FeeCalc!F:F,0)),0)</f>
        <v>11628172.695748061</v>
      </c>
      <c r="AO96" s="81">
        <f>IFERROR(INDEX(FeeCalc!S:S,MATCH(C96,FeeCalc!F:F,0)),0)</f>
        <v>711095.65404807276</v>
      </c>
      <c r="AP96" s="81">
        <f t="shared" si="38"/>
        <v>12339268.349796133</v>
      </c>
      <c r="AQ96" s="68">
        <f t="shared" si="39"/>
        <v>4856143.7375989687</v>
      </c>
      <c r="AR96" s="68">
        <f>INDEX('IGT Commitment Suggestions'!H:H,MATCH(G96,'IGT Commitment Suggestions'!A:A,0))*AQ96</f>
        <v>2227968.7766239098</v>
      </c>
    </row>
    <row r="97" spans="1:44">
      <c r="A97" s="103" t="s">
        <v>1564</v>
      </c>
      <c r="B97" s="123" t="s">
        <v>1564</v>
      </c>
      <c r="C97" s="30" t="s">
        <v>1277</v>
      </c>
      <c r="D97" s="124" t="s">
        <v>1277</v>
      </c>
      <c r="E97" s="119" t="s">
        <v>2834</v>
      </c>
      <c r="F97" s="99" t="s">
        <v>2283</v>
      </c>
      <c r="G97" s="99" t="s">
        <v>300</v>
      </c>
      <c r="H97" s="42" t="str">
        <f t="shared" si="25"/>
        <v>Urban Harris</v>
      </c>
      <c r="I97" s="44">
        <f>INDEX(FeeCalc!M:M,MATCH(C:C,FeeCalc!F:F,0))</f>
        <v>8488219.5345226564</v>
      </c>
      <c r="J97" s="44">
        <f>INDEX(FeeCalc!L:L,MATCH(C:C,FeeCalc!F:F,0))</f>
        <v>11231425.176822616</v>
      </c>
      <c r="K97" s="44">
        <f t="shared" si="26"/>
        <v>19719644.71134527</v>
      </c>
      <c r="L97" s="44">
        <v>8356328.5</v>
      </c>
      <c r="M97" s="44">
        <v>699901.17</v>
      </c>
      <c r="N97" s="44">
        <f t="shared" si="27"/>
        <v>9056229.6699999999</v>
      </c>
      <c r="O97" s="44">
        <v>26831037.165933002</v>
      </c>
      <c r="P97" s="44">
        <v>7302807.693798027</v>
      </c>
      <c r="Q97" s="44">
        <f t="shared" si="28"/>
        <v>34133844.859731026</v>
      </c>
      <c r="R97" s="44" t="str">
        <f t="shared" si="29"/>
        <v>Yes</v>
      </c>
      <c r="S97" s="45" t="str">
        <f t="shared" si="29"/>
        <v>Yes</v>
      </c>
      <c r="T97" s="46">
        <f>ROUND(INDEX(Summary!H:H,MATCH(H:H,Summary!A:A,0)),2)</f>
        <v>1.74</v>
      </c>
      <c r="U97" s="46">
        <f>ROUND(INDEX(Summary!I:I,MATCH(H:H,Summary!A:A,0)),2)</f>
        <v>0.33</v>
      </c>
      <c r="V97" s="79">
        <f t="shared" si="30"/>
        <v>14769501.990069423</v>
      </c>
      <c r="W97" s="79">
        <f t="shared" si="30"/>
        <v>3706370.3083514632</v>
      </c>
      <c r="X97" s="44">
        <f t="shared" si="31"/>
        <v>18475872.298420887</v>
      </c>
      <c r="Y97" s="44" t="s">
        <v>2765</v>
      </c>
      <c r="Z97" s="44" t="str">
        <f t="shared" si="32"/>
        <v>No</v>
      </c>
      <c r="AA97" s="44" t="str">
        <f t="shared" si="32"/>
        <v>Yes</v>
      </c>
      <c r="AB97" s="44" t="str">
        <f t="shared" si="33"/>
        <v>Yes</v>
      </c>
      <c r="AC97" s="80">
        <f t="shared" si="40"/>
        <v>0.99</v>
      </c>
      <c r="AD97" s="80">
        <f t="shared" si="41"/>
        <v>0.22</v>
      </c>
      <c r="AE97" s="44">
        <f t="shared" si="34"/>
        <v>8403337.3391774297</v>
      </c>
      <c r="AF97" s="44">
        <f t="shared" si="34"/>
        <v>2470913.5389009756</v>
      </c>
      <c r="AG97" s="44">
        <f t="shared" si="35"/>
        <v>10874250.878078405</v>
      </c>
      <c r="AH97" s="46">
        <f>IF(Y97="No",0,IFERROR(ROUNDDOWN(INDEX('90% of ACR'!K:K,MATCH(H:H,'90% of ACR'!A:A,0))*IF(I97&gt;0,IF(O97&gt;0,$R$4*MAX(O97-V97,0),0),0)/I97,2),0))</f>
        <v>0</v>
      </c>
      <c r="AI97" s="80">
        <f>IF(Y97="No",0,IFERROR(ROUNDDOWN(INDEX('90% of ACR'!R:R,MATCH(H:H,'90% of ACR'!A:A,0))*IF(J97&gt;0,IF(P97&gt;0,$R$4*MAX(P97-W97,0),0),0)/J97,2),0))</f>
        <v>0.2</v>
      </c>
      <c r="AJ97" s="44">
        <f t="shared" si="36"/>
        <v>0</v>
      </c>
      <c r="AK97" s="44">
        <f t="shared" si="36"/>
        <v>2246285.0353645231</v>
      </c>
      <c r="AL97" s="46">
        <f t="shared" si="37"/>
        <v>1.74</v>
      </c>
      <c r="AM97" s="46">
        <f t="shared" si="37"/>
        <v>0.53</v>
      </c>
      <c r="AN97" s="81">
        <f>IFERROR(INDEX(FeeCalc!P:P,MATCH(C97,FeeCalc!F:F,0)),0)</f>
        <v>20722157.333785407</v>
      </c>
      <c r="AO97" s="81">
        <f>IFERROR(INDEX(FeeCalc!S:S,MATCH(C97,FeeCalc!F:F,0)),0)</f>
        <v>1278609.6330018232</v>
      </c>
      <c r="AP97" s="81">
        <f t="shared" si="38"/>
        <v>22000766.96678723</v>
      </c>
      <c r="AQ97" s="68">
        <f t="shared" si="39"/>
        <v>8658445.8413130492</v>
      </c>
      <c r="AR97" s="68">
        <f>INDEX('IGT Commitment Suggestions'!H:H,MATCH(G97,'IGT Commitment Suggestions'!A:A,0))*AQ97</f>
        <v>3972441.5155125889</v>
      </c>
    </row>
    <row r="98" spans="1:44">
      <c r="A98" s="103" t="s">
        <v>1137</v>
      </c>
      <c r="B98" s="123" t="s">
        <v>1137</v>
      </c>
      <c r="C98" s="30" t="s">
        <v>1138</v>
      </c>
      <c r="D98" s="124" t="s">
        <v>1138</v>
      </c>
      <c r="E98" s="119" t="s">
        <v>2835</v>
      </c>
      <c r="F98" s="99" t="s">
        <v>2283</v>
      </c>
      <c r="G98" s="99" t="s">
        <v>300</v>
      </c>
      <c r="H98" s="42" t="str">
        <f t="shared" si="25"/>
        <v>Urban Harris</v>
      </c>
      <c r="I98" s="44">
        <f>INDEX(FeeCalc!M:M,MATCH(C:C,FeeCalc!F:F,0))</f>
        <v>11245379.168044772</v>
      </c>
      <c r="J98" s="44">
        <f>INDEX(FeeCalc!L:L,MATCH(C:C,FeeCalc!F:F,0))</f>
        <v>7738291.0664822645</v>
      </c>
      <c r="K98" s="44">
        <f t="shared" si="26"/>
        <v>18983670.234527037</v>
      </c>
      <c r="L98" s="44">
        <v>8452340.7400000002</v>
      </c>
      <c r="M98" s="44">
        <v>1268238.82</v>
      </c>
      <c r="N98" s="44">
        <f t="shared" si="27"/>
        <v>9720579.5600000005</v>
      </c>
      <c r="O98" s="44">
        <v>32922281.153802224</v>
      </c>
      <c r="P98" s="44">
        <v>5402238.2022844553</v>
      </c>
      <c r="Q98" s="44">
        <f t="shared" si="28"/>
        <v>38324519.356086679</v>
      </c>
      <c r="R98" s="44" t="str">
        <f t="shared" si="29"/>
        <v>Yes</v>
      </c>
      <c r="S98" s="45" t="str">
        <f t="shared" si="29"/>
        <v>Yes</v>
      </c>
      <c r="T98" s="46">
        <f>ROUND(INDEX(Summary!H:H,MATCH(H:H,Summary!A:A,0)),2)</f>
        <v>1.74</v>
      </c>
      <c r="U98" s="46">
        <f>ROUND(INDEX(Summary!I:I,MATCH(H:H,Summary!A:A,0)),2)</f>
        <v>0.33</v>
      </c>
      <c r="V98" s="79">
        <f t="shared" si="30"/>
        <v>19566959.752397902</v>
      </c>
      <c r="W98" s="79">
        <f t="shared" si="30"/>
        <v>2553636.0519391475</v>
      </c>
      <c r="X98" s="44">
        <f t="shared" si="31"/>
        <v>22120595.804337051</v>
      </c>
      <c r="Y98" s="44" t="s">
        <v>2765</v>
      </c>
      <c r="Z98" s="44" t="str">
        <f t="shared" si="32"/>
        <v>No</v>
      </c>
      <c r="AA98" s="44" t="str">
        <f t="shared" si="32"/>
        <v>Yes</v>
      </c>
      <c r="AB98" s="44" t="str">
        <f t="shared" si="33"/>
        <v>Yes</v>
      </c>
      <c r="AC98" s="80">
        <f t="shared" si="40"/>
        <v>0.83</v>
      </c>
      <c r="AD98" s="80">
        <f t="shared" si="41"/>
        <v>0.26</v>
      </c>
      <c r="AE98" s="44">
        <f t="shared" si="34"/>
        <v>9333664.7094771601</v>
      </c>
      <c r="AF98" s="44">
        <f t="shared" si="34"/>
        <v>2011955.6772853888</v>
      </c>
      <c r="AG98" s="44">
        <f t="shared" si="35"/>
        <v>11345620.386762548</v>
      </c>
      <c r="AH98" s="46">
        <f>IF(Y98="No",0,IFERROR(ROUNDDOWN(INDEX('90% of ACR'!K:K,MATCH(H:H,'90% of ACR'!A:A,0))*IF(I98&gt;0,IF(O98&gt;0,$R$4*MAX(O98-V98,0),0),0)/I98,2),0))</f>
        <v>0</v>
      </c>
      <c r="AI98" s="80">
        <f>IF(Y98="No",0,IFERROR(ROUNDDOWN(INDEX('90% of ACR'!R:R,MATCH(H:H,'90% of ACR'!A:A,0))*IF(J98&gt;0,IF(P98&gt;0,$R$4*MAX(P98-W98,0),0),0)/J98,2),0))</f>
        <v>0.23</v>
      </c>
      <c r="AJ98" s="44">
        <f t="shared" si="36"/>
        <v>0</v>
      </c>
      <c r="AK98" s="44">
        <f t="shared" si="36"/>
        <v>1779806.945290921</v>
      </c>
      <c r="AL98" s="46">
        <f t="shared" si="37"/>
        <v>1.74</v>
      </c>
      <c r="AM98" s="46">
        <f t="shared" si="37"/>
        <v>0.56000000000000005</v>
      </c>
      <c r="AN98" s="81">
        <f>IFERROR(INDEX(FeeCalc!P:P,MATCH(C98,FeeCalc!F:F,0)),0)</f>
        <v>23900402.74962797</v>
      </c>
      <c r="AO98" s="81">
        <f>IFERROR(INDEX(FeeCalc!S:S,MATCH(C98,FeeCalc!F:F,0)),0)</f>
        <v>1488557.8601780199</v>
      </c>
      <c r="AP98" s="81">
        <f t="shared" si="38"/>
        <v>25388960.60980599</v>
      </c>
      <c r="AQ98" s="68">
        <f t="shared" si="39"/>
        <v>9991876.2259103674</v>
      </c>
      <c r="AR98" s="68">
        <f>INDEX('IGT Commitment Suggestions'!H:H,MATCH(G98,'IGT Commitment Suggestions'!A:A,0))*AQ98</f>
        <v>4584211.1465641847</v>
      </c>
    </row>
    <row r="99" spans="1:44">
      <c r="A99" s="103" t="s">
        <v>183</v>
      </c>
      <c r="B99" s="123" t="s">
        <v>183</v>
      </c>
      <c r="C99" s="30" t="s">
        <v>184</v>
      </c>
      <c r="D99" s="124" t="s">
        <v>184</v>
      </c>
      <c r="E99" s="119" t="s">
        <v>2836</v>
      </c>
      <c r="F99" s="99" t="s">
        <v>2283</v>
      </c>
      <c r="G99" s="99" t="s">
        <v>300</v>
      </c>
      <c r="H99" s="42" t="str">
        <f t="shared" si="25"/>
        <v>Urban Harris</v>
      </c>
      <c r="I99" s="44">
        <f>INDEX(FeeCalc!M:M,MATCH(C:C,FeeCalc!F:F,0))</f>
        <v>1893861.5880682282</v>
      </c>
      <c r="J99" s="44">
        <f>INDEX(FeeCalc!L:L,MATCH(C:C,FeeCalc!F:F,0))</f>
        <v>4423243.6548033077</v>
      </c>
      <c r="K99" s="44">
        <f t="shared" si="26"/>
        <v>6317105.2428715359</v>
      </c>
      <c r="L99" s="44">
        <v>1535112.41</v>
      </c>
      <c r="M99" s="44">
        <v>163192.59</v>
      </c>
      <c r="N99" s="44">
        <f t="shared" si="27"/>
        <v>1698305</v>
      </c>
      <c r="O99" s="44">
        <v>5275500.8238877757</v>
      </c>
      <c r="P99" s="44">
        <v>2086644.8647450854</v>
      </c>
      <c r="Q99" s="44">
        <f t="shared" si="28"/>
        <v>7362145.6886328608</v>
      </c>
      <c r="R99" s="44" t="str">
        <f t="shared" si="29"/>
        <v>Yes</v>
      </c>
      <c r="S99" s="45" t="str">
        <f t="shared" si="29"/>
        <v>Yes</v>
      </c>
      <c r="T99" s="46">
        <f>ROUND(INDEX(Summary!H:H,MATCH(H:H,Summary!A:A,0)),2)</f>
        <v>1.74</v>
      </c>
      <c r="U99" s="46">
        <f>ROUND(INDEX(Summary!I:I,MATCH(H:H,Summary!A:A,0)),2)</f>
        <v>0.33</v>
      </c>
      <c r="V99" s="79">
        <f t="shared" si="30"/>
        <v>3295319.1632387172</v>
      </c>
      <c r="W99" s="79">
        <f t="shared" si="30"/>
        <v>1459670.4060850916</v>
      </c>
      <c r="X99" s="44">
        <f t="shared" si="31"/>
        <v>4754989.5693238089</v>
      </c>
      <c r="Y99" s="44" t="s">
        <v>2765</v>
      </c>
      <c r="Z99" s="44" t="str">
        <f t="shared" si="32"/>
        <v>No</v>
      </c>
      <c r="AA99" s="44" t="str">
        <f t="shared" si="32"/>
        <v>Yes</v>
      </c>
      <c r="AB99" s="44" t="str">
        <f t="shared" si="33"/>
        <v>Yes</v>
      </c>
      <c r="AC99" s="80">
        <f t="shared" si="40"/>
        <v>0.73</v>
      </c>
      <c r="AD99" s="80">
        <f t="shared" si="41"/>
        <v>0.1</v>
      </c>
      <c r="AE99" s="44">
        <f t="shared" si="34"/>
        <v>1382518.9592898067</v>
      </c>
      <c r="AF99" s="44">
        <f t="shared" si="34"/>
        <v>442324.36548033077</v>
      </c>
      <c r="AG99" s="44">
        <f t="shared" si="35"/>
        <v>1824843.3247701374</v>
      </c>
      <c r="AH99" s="46">
        <f>IF(Y99="No",0,IFERROR(ROUNDDOWN(INDEX('90% of ACR'!K:K,MATCH(H:H,'90% of ACR'!A:A,0))*IF(I99&gt;0,IF(O99&gt;0,$R$4*MAX(O99-V99,0),0),0)/I99,2),0))</f>
        <v>0</v>
      </c>
      <c r="AI99" s="80">
        <f>IF(Y99="No",0,IFERROR(ROUNDDOWN(INDEX('90% of ACR'!R:R,MATCH(H:H,'90% of ACR'!A:A,0))*IF(J99&gt;0,IF(P99&gt;0,$R$4*MAX(P99-W99,0),0),0)/J99,2),0))</f>
        <v>0.09</v>
      </c>
      <c r="AJ99" s="44">
        <f t="shared" si="36"/>
        <v>0</v>
      </c>
      <c r="AK99" s="44">
        <f t="shared" si="36"/>
        <v>398091.92893229768</v>
      </c>
      <c r="AL99" s="46">
        <f t="shared" si="37"/>
        <v>1.74</v>
      </c>
      <c r="AM99" s="46">
        <f t="shared" si="37"/>
        <v>0.42000000000000004</v>
      </c>
      <c r="AN99" s="81">
        <f>IFERROR(INDEX(FeeCalc!P:P,MATCH(C99,FeeCalc!F:F,0)),0)</f>
        <v>5153081.4982561069</v>
      </c>
      <c r="AO99" s="81">
        <f>IFERROR(INDEX(FeeCalc!S:S,MATCH(C99,FeeCalc!F:F,0)),0)</f>
        <v>317427.55152321345</v>
      </c>
      <c r="AP99" s="81">
        <f t="shared" si="38"/>
        <v>5470509.0497793201</v>
      </c>
      <c r="AQ99" s="68">
        <f t="shared" si="39"/>
        <v>2152929.7775587509</v>
      </c>
      <c r="AR99" s="68">
        <f>INDEX('IGT Commitment Suggestions'!H:H,MATCH(G99,'IGT Commitment Suggestions'!A:A,0))*AQ99</f>
        <v>987750.89491819241</v>
      </c>
    </row>
    <row r="100" spans="1:44">
      <c r="A100" s="103" t="s">
        <v>258</v>
      </c>
      <c r="B100" s="123" t="s">
        <v>258</v>
      </c>
      <c r="C100" s="30" t="s">
        <v>259</v>
      </c>
      <c r="D100" s="124" t="s">
        <v>259</v>
      </c>
      <c r="E100" s="119" t="s">
        <v>2837</v>
      </c>
      <c r="F100" s="99" t="s">
        <v>2283</v>
      </c>
      <c r="G100" s="99" t="s">
        <v>300</v>
      </c>
      <c r="H100" s="42" t="str">
        <f t="shared" si="25"/>
        <v>Urban Harris</v>
      </c>
      <c r="I100" s="44">
        <f>INDEX(FeeCalc!M:M,MATCH(C:C,FeeCalc!F:F,0))</f>
        <v>874618.20426457818</v>
      </c>
      <c r="J100" s="44">
        <f>INDEX(FeeCalc!L:L,MATCH(C:C,FeeCalc!F:F,0))</f>
        <v>1324339.7524768754</v>
      </c>
      <c r="K100" s="44">
        <f t="shared" si="26"/>
        <v>2198957.9567414536</v>
      </c>
      <c r="L100" s="44">
        <v>1000220.71</v>
      </c>
      <c r="M100" s="44">
        <v>294506.78000000003</v>
      </c>
      <c r="N100" s="44">
        <f t="shared" si="27"/>
        <v>1294727.49</v>
      </c>
      <c r="O100" s="44">
        <v>3714572.0253344192</v>
      </c>
      <c r="P100" s="44">
        <v>1001011.8161188434</v>
      </c>
      <c r="Q100" s="44">
        <f t="shared" si="28"/>
        <v>4715583.8414532626</v>
      </c>
      <c r="R100" s="44" t="str">
        <f t="shared" si="29"/>
        <v>Yes</v>
      </c>
      <c r="S100" s="45" t="str">
        <f t="shared" si="29"/>
        <v>Yes</v>
      </c>
      <c r="T100" s="46">
        <f>ROUND(INDEX(Summary!H:H,MATCH(H:H,Summary!A:A,0)),2)</f>
        <v>1.74</v>
      </c>
      <c r="U100" s="46">
        <f>ROUND(INDEX(Summary!I:I,MATCH(H:H,Summary!A:A,0)),2)</f>
        <v>0.33</v>
      </c>
      <c r="V100" s="79">
        <f t="shared" si="30"/>
        <v>1521835.675420366</v>
      </c>
      <c r="W100" s="79">
        <f t="shared" si="30"/>
        <v>437032.11831736891</v>
      </c>
      <c r="X100" s="44">
        <f t="shared" si="31"/>
        <v>1958867.7937377349</v>
      </c>
      <c r="Y100" s="44" t="s">
        <v>2765</v>
      </c>
      <c r="Z100" s="44" t="str">
        <f t="shared" si="32"/>
        <v>No</v>
      </c>
      <c r="AA100" s="44" t="str">
        <f t="shared" si="32"/>
        <v>Yes</v>
      </c>
      <c r="AB100" s="44" t="str">
        <f t="shared" si="33"/>
        <v>Yes</v>
      </c>
      <c r="AC100" s="80">
        <f t="shared" si="40"/>
        <v>1.75</v>
      </c>
      <c r="AD100" s="80">
        <f t="shared" si="41"/>
        <v>0.3</v>
      </c>
      <c r="AE100" s="44">
        <f t="shared" si="34"/>
        <v>1530581.8574630118</v>
      </c>
      <c r="AF100" s="44">
        <f t="shared" si="34"/>
        <v>397301.92574306263</v>
      </c>
      <c r="AG100" s="44">
        <f t="shared" si="35"/>
        <v>1927883.7832060745</v>
      </c>
      <c r="AH100" s="46">
        <f>IF(Y100="No",0,IFERROR(ROUNDDOWN(INDEX('90% of ACR'!K:K,MATCH(H:H,'90% of ACR'!A:A,0))*IF(I100&gt;0,IF(O100&gt;0,$R$4*MAX(O100-V100,0),0),0)/I100,2),0))</f>
        <v>0</v>
      </c>
      <c r="AI100" s="80">
        <f>IF(Y100="No",0,IFERROR(ROUNDDOWN(INDEX('90% of ACR'!R:R,MATCH(H:H,'90% of ACR'!A:A,0))*IF(J100&gt;0,IF(P100&gt;0,$R$4*MAX(P100-W100,0),0),0)/J100,2),0))</f>
        <v>0.27</v>
      </c>
      <c r="AJ100" s="44">
        <f t="shared" si="36"/>
        <v>0</v>
      </c>
      <c r="AK100" s="44">
        <f t="shared" si="36"/>
        <v>357571.73316875641</v>
      </c>
      <c r="AL100" s="46">
        <f t="shared" si="37"/>
        <v>1.74</v>
      </c>
      <c r="AM100" s="46">
        <f t="shared" si="37"/>
        <v>0.60000000000000009</v>
      </c>
      <c r="AN100" s="81">
        <f>IFERROR(INDEX(FeeCalc!P:P,MATCH(C100,FeeCalc!F:F,0)),0)</f>
        <v>2316439.5269064913</v>
      </c>
      <c r="AO100" s="81">
        <f>IFERROR(INDEX(FeeCalc!S:S,MATCH(C100,FeeCalc!F:F,0)),0)</f>
        <v>143054.10943455249</v>
      </c>
      <c r="AP100" s="81">
        <f t="shared" si="38"/>
        <v>2459493.6363410437</v>
      </c>
      <c r="AQ100" s="68">
        <f t="shared" si="39"/>
        <v>967938.63956929045</v>
      </c>
      <c r="AR100" s="68">
        <f>INDEX('IGT Commitment Suggestions'!H:H,MATCH(G100,'IGT Commitment Suggestions'!A:A,0))*AQ100</f>
        <v>444084.27410232794</v>
      </c>
    </row>
    <row r="101" spans="1:44">
      <c r="A101" s="103" t="s">
        <v>2293</v>
      </c>
      <c r="B101" s="123" t="s">
        <v>2293</v>
      </c>
      <c r="C101" s="30" t="s">
        <v>696</v>
      </c>
      <c r="D101" s="124" t="s">
        <v>696</v>
      </c>
      <c r="E101" s="119" t="s">
        <v>2676</v>
      </c>
      <c r="F101" s="99" t="s">
        <v>2295</v>
      </c>
      <c r="G101" s="99" t="s">
        <v>227</v>
      </c>
      <c r="H101" s="42" t="str">
        <f t="shared" si="25"/>
        <v>Rural MRSA West</v>
      </c>
      <c r="I101" s="44">
        <f>INDEX(FeeCalc!M:M,MATCH(C:C,FeeCalc!F:F,0))</f>
        <v>38889.654254965732</v>
      </c>
      <c r="J101" s="44">
        <f>INDEX(FeeCalc!L:L,MATCH(C:C,FeeCalc!F:F,0))</f>
        <v>155556.74216432133</v>
      </c>
      <c r="K101" s="44">
        <f t="shared" si="26"/>
        <v>194446.39641928708</v>
      </c>
      <c r="L101" s="44">
        <v>4996.26</v>
      </c>
      <c r="M101" s="44">
        <v>7013.35</v>
      </c>
      <c r="N101" s="44">
        <f t="shared" si="27"/>
        <v>12009.61</v>
      </c>
      <c r="O101" s="44">
        <v>7218.9544796083392</v>
      </c>
      <c r="P101" s="44">
        <v>13865.696265702078</v>
      </c>
      <c r="Q101" s="44">
        <f t="shared" si="28"/>
        <v>21084.650745310417</v>
      </c>
      <c r="R101" s="44" t="str">
        <f t="shared" si="29"/>
        <v>Yes</v>
      </c>
      <c r="S101" s="45" t="str">
        <f t="shared" si="29"/>
        <v>Yes</v>
      </c>
      <c r="T101" s="46">
        <f>ROUND(INDEX(Summary!H:H,MATCH(H:H,Summary!A:A,0)),2)</f>
        <v>0</v>
      </c>
      <c r="U101" s="46">
        <f>ROUND(INDEX(Summary!I:I,MATCH(H:H,Summary!A:A,0)),2)</f>
        <v>0.18</v>
      </c>
      <c r="V101" s="79">
        <f t="shared" si="30"/>
        <v>0</v>
      </c>
      <c r="W101" s="79">
        <f t="shared" si="30"/>
        <v>28000.213589577837</v>
      </c>
      <c r="X101" s="44">
        <f t="shared" si="31"/>
        <v>28000.213589577837</v>
      </c>
      <c r="Y101" s="44" t="s">
        <v>2765</v>
      </c>
      <c r="Z101" s="44" t="str">
        <f t="shared" si="32"/>
        <v>No</v>
      </c>
      <c r="AA101" s="44" t="str">
        <f t="shared" si="32"/>
        <v>No</v>
      </c>
      <c r="AB101" s="44" t="str">
        <f t="shared" si="33"/>
        <v>Yes</v>
      </c>
      <c r="AC101" s="80">
        <f t="shared" si="40"/>
        <v>0.13</v>
      </c>
      <c r="AD101" s="80">
        <f t="shared" si="41"/>
        <v>0</v>
      </c>
      <c r="AE101" s="44">
        <f t="shared" si="34"/>
        <v>5055.655053145545</v>
      </c>
      <c r="AF101" s="44">
        <f t="shared" si="34"/>
        <v>0</v>
      </c>
      <c r="AG101" s="44">
        <f t="shared" si="35"/>
        <v>5055.655053145545</v>
      </c>
      <c r="AH101" s="46">
        <f>IF(Y101="No",0,IFERROR(ROUNDDOWN(INDEX('90% of ACR'!K:K,MATCH(H:H,'90% of ACR'!A:A,0))*IF(I101&gt;0,IF(O101&gt;0,$R$4*MAX(O101-V101,0),0),0)/I101,2),0))</f>
        <v>0</v>
      </c>
      <c r="AI101" s="80">
        <f>IF(Y101="No",0,IFERROR(ROUNDDOWN(INDEX('90% of ACR'!R:R,MATCH(H:H,'90% of ACR'!A:A,0))*IF(J101&gt;0,IF(P101&gt;0,$R$4*MAX(P101-W101,0),0),0)/J101,2),0))</f>
        <v>0</v>
      </c>
      <c r="AJ101" s="44">
        <f t="shared" si="36"/>
        <v>0</v>
      </c>
      <c r="AK101" s="44">
        <f t="shared" si="36"/>
        <v>0</v>
      </c>
      <c r="AL101" s="46">
        <f t="shared" si="37"/>
        <v>0</v>
      </c>
      <c r="AM101" s="46">
        <f t="shared" si="37"/>
        <v>0.18</v>
      </c>
      <c r="AN101" s="81">
        <f>IFERROR(INDEX(FeeCalc!P:P,MATCH(C101,FeeCalc!F:F,0)),0)</f>
        <v>28000.213589577837</v>
      </c>
      <c r="AO101" s="81">
        <f>IFERROR(INDEX(FeeCalc!S:S,MATCH(C101,FeeCalc!F:F,0)),0)</f>
        <v>1735.6466905140246</v>
      </c>
      <c r="AP101" s="81">
        <f t="shared" si="38"/>
        <v>29735.860280091863</v>
      </c>
      <c r="AQ101" s="68">
        <f t="shared" si="39"/>
        <v>11702.607284950713</v>
      </c>
      <c r="AR101" s="68">
        <f>INDEX('IGT Commitment Suggestions'!H:H,MATCH(G101,'IGT Commitment Suggestions'!A:A,0))*AQ101</f>
        <v>5735.0224487863561</v>
      </c>
    </row>
    <row r="102" spans="1:44">
      <c r="A102" s="103" t="s">
        <v>738</v>
      </c>
      <c r="B102" s="123" t="s">
        <v>738</v>
      </c>
      <c r="C102" s="30" t="s">
        <v>739</v>
      </c>
      <c r="D102" s="124" t="s">
        <v>739</v>
      </c>
      <c r="E102" s="119" t="s">
        <v>2340</v>
      </c>
      <c r="F102" s="99" t="s">
        <v>2283</v>
      </c>
      <c r="G102" s="99" t="s">
        <v>300</v>
      </c>
      <c r="H102" s="42" t="str">
        <f t="shared" si="25"/>
        <v>Urban Harris</v>
      </c>
      <c r="I102" s="44">
        <f>INDEX(FeeCalc!M:M,MATCH(C:C,FeeCalc!F:F,0))</f>
        <v>19541585.04048967</v>
      </c>
      <c r="J102" s="44">
        <f>INDEX(FeeCalc!L:L,MATCH(C:C,FeeCalc!F:F,0))</f>
        <v>17511789.308253117</v>
      </c>
      <c r="K102" s="44">
        <f t="shared" si="26"/>
        <v>37053374.348742783</v>
      </c>
      <c r="L102" s="44">
        <v>56522609.450000003</v>
      </c>
      <c r="M102" s="44">
        <v>14652366.119999999</v>
      </c>
      <c r="N102" s="44">
        <f t="shared" si="27"/>
        <v>71174975.570000008</v>
      </c>
      <c r="O102" s="44">
        <v>-42004555.401682712</v>
      </c>
      <c r="P102" s="44">
        <v>5477616.0115708597</v>
      </c>
      <c r="Q102" s="44">
        <f t="shared" si="28"/>
        <v>-36526939.390111849</v>
      </c>
      <c r="R102" s="44" t="str">
        <f t="shared" si="29"/>
        <v>No</v>
      </c>
      <c r="S102" s="45" t="str">
        <f t="shared" si="29"/>
        <v>Yes</v>
      </c>
      <c r="T102" s="46">
        <f>ROUND(INDEX(Summary!H:H,MATCH(H:H,Summary!A:A,0)),2)</f>
        <v>1.74</v>
      </c>
      <c r="U102" s="46">
        <f>ROUND(INDEX(Summary!I:I,MATCH(H:H,Summary!A:A,0)),2)</f>
        <v>0.33</v>
      </c>
      <c r="V102" s="79">
        <f t="shared" si="30"/>
        <v>34002357.970452026</v>
      </c>
      <c r="W102" s="79">
        <f t="shared" si="30"/>
        <v>5778890.4717235286</v>
      </c>
      <c r="X102" s="44">
        <f t="shared" si="31"/>
        <v>39781248.442175552</v>
      </c>
      <c r="Y102" s="44" t="s">
        <v>2766</v>
      </c>
      <c r="Z102" s="44" t="str">
        <f t="shared" si="32"/>
        <v>No</v>
      </c>
      <c r="AA102" s="44" t="str">
        <f t="shared" si="32"/>
        <v>No</v>
      </c>
      <c r="AB102" s="44" t="str">
        <f t="shared" si="33"/>
        <v>No</v>
      </c>
      <c r="AC102" s="80">
        <f t="shared" si="40"/>
        <v>0</v>
      </c>
      <c r="AD102" s="80">
        <f t="shared" si="41"/>
        <v>0</v>
      </c>
      <c r="AE102" s="44">
        <f t="shared" si="34"/>
        <v>0</v>
      </c>
      <c r="AF102" s="44">
        <f t="shared" si="34"/>
        <v>0</v>
      </c>
      <c r="AG102" s="44">
        <f t="shared" si="35"/>
        <v>0</v>
      </c>
      <c r="AH102" s="46">
        <f>IF(Y102="No",0,IFERROR(ROUNDDOWN(INDEX('90% of ACR'!K:K,MATCH(H:H,'90% of ACR'!A:A,0))*IF(I102&gt;0,IF(O102&gt;0,$R$4*MAX(O102-V102,0),0),0)/I102,2),0))</f>
        <v>0</v>
      </c>
      <c r="AI102" s="80">
        <f>IF(Y102="No",0,IFERROR(ROUNDDOWN(INDEX('90% of ACR'!R:R,MATCH(H:H,'90% of ACR'!A:A,0))*IF(J102&gt;0,IF(P102&gt;0,$R$4*MAX(P102-W102,0),0),0)/J102,2),0))</f>
        <v>0</v>
      </c>
      <c r="AJ102" s="44">
        <f t="shared" si="36"/>
        <v>0</v>
      </c>
      <c r="AK102" s="44">
        <f t="shared" si="36"/>
        <v>0</v>
      </c>
      <c r="AL102" s="46">
        <f t="shared" si="37"/>
        <v>1.74</v>
      </c>
      <c r="AM102" s="46">
        <f t="shared" si="37"/>
        <v>0.33</v>
      </c>
      <c r="AN102" s="81">
        <f>IFERROR(INDEX(FeeCalc!P:P,MATCH(C102,FeeCalc!F:F,0)),0)</f>
        <v>39781248.442175552</v>
      </c>
      <c r="AO102" s="81">
        <f>IFERROR(INDEX(FeeCalc!S:S,MATCH(C102,FeeCalc!F:F,0)),0)</f>
        <v>2480630.4529138654</v>
      </c>
      <c r="AP102" s="81">
        <f t="shared" si="38"/>
        <v>42261878.895089418</v>
      </c>
      <c r="AQ102" s="68">
        <f t="shared" si="39"/>
        <v>16632246.962920232</v>
      </c>
      <c r="AR102" s="68">
        <f>INDEX('IGT Commitment Suggestions'!H:H,MATCH(G102,'IGT Commitment Suggestions'!A:A,0))*AQ102</f>
        <v>7630772.2589788605</v>
      </c>
    </row>
    <row r="103" spans="1:44">
      <c r="A103" s="103" t="s">
        <v>635</v>
      </c>
      <c r="B103" s="123" t="s">
        <v>635</v>
      </c>
      <c r="C103" s="30" t="s">
        <v>636</v>
      </c>
      <c r="D103" s="124" t="s">
        <v>636</v>
      </c>
      <c r="E103" s="119" t="s">
        <v>2437</v>
      </c>
      <c r="F103" s="99" t="s">
        <v>2283</v>
      </c>
      <c r="G103" s="99" t="s">
        <v>1365</v>
      </c>
      <c r="H103" s="42" t="str">
        <f t="shared" si="25"/>
        <v>Urban Tarrant</v>
      </c>
      <c r="I103" s="44">
        <f>INDEX(FeeCalc!M:M,MATCH(C:C,FeeCalc!F:F,0))</f>
        <v>967432.59239772777</v>
      </c>
      <c r="J103" s="44">
        <f>INDEX(FeeCalc!L:L,MATCH(C:C,FeeCalc!F:F,0))</f>
        <v>1098636.4156571783</v>
      </c>
      <c r="K103" s="44">
        <f t="shared" si="26"/>
        <v>2066069.008054906</v>
      </c>
      <c r="L103" s="44">
        <v>1169953.48</v>
      </c>
      <c r="M103" s="44">
        <v>593646.52</v>
      </c>
      <c r="N103" s="44">
        <f t="shared" si="27"/>
        <v>1763600</v>
      </c>
      <c r="O103" s="44">
        <v>3984386.1943275104</v>
      </c>
      <c r="P103" s="44">
        <v>1229939.4945206696</v>
      </c>
      <c r="Q103" s="44">
        <f t="shared" si="28"/>
        <v>5214325.6888481798</v>
      </c>
      <c r="R103" s="44" t="str">
        <f t="shared" si="29"/>
        <v>Yes</v>
      </c>
      <c r="S103" s="45" t="str">
        <f t="shared" si="29"/>
        <v>Yes</v>
      </c>
      <c r="T103" s="46">
        <f>ROUND(INDEX(Summary!H:H,MATCH(H:H,Summary!A:A,0)),2)</f>
        <v>0.84</v>
      </c>
      <c r="U103" s="46">
        <f>ROUND(INDEX(Summary!I:I,MATCH(H:H,Summary!A:A,0)),2)</f>
        <v>0.55000000000000004</v>
      </c>
      <c r="V103" s="79">
        <f t="shared" si="30"/>
        <v>812643.37761409127</v>
      </c>
      <c r="W103" s="79">
        <f t="shared" si="30"/>
        <v>604250.02861144813</v>
      </c>
      <c r="X103" s="44">
        <f t="shared" si="31"/>
        <v>1416893.4062255393</v>
      </c>
      <c r="Y103" s="44" t="s">
        <v>2765</v>
      </c>
      <c r="Z103" s="44" t="str">
        <f t="shared" si="32"/>
        <v>Yes</v>
      </c>
      <c r="AA103" s="44" t="str">
        <f t="shared" si="32"/>
        <v>Yes</v>
      </c>
      <c r="AB103" s="44" t="str">
        <f t="shared" si="33"/>
        <v>Yes</v>
      </c>
      <c r="AC103" s="80">
        <f t="shared" si="40"/>
        <v>2.2799999999999998</v>
      </c>
      <c r="AD103" s="80">
        <f t="shared" si="41"/>
        <v>0.4</v>
      </c>
      <c r="AE103" s="44">
        <f t="shared" si="34"/>
        <v>2205746.3106668191</v>
      </c>
      <c r="AF103" s="44">
        <f t="shared" si="34"/>
        <v>439454.56626287132</v>
      </c>
      <c r="AG103" s="44">
        <f t="shared" si="35"/>
        <v>2645200.8769296906</v>
      </c>
      <c r="AH103" s="46">
        <f>IF(Y103="No",0,IFERROR(ROUNDDOWN(INDEX('90% of ACR'!K:K,MATCH(H:H,'90% of ACR'!A:A,0))*IF(I103&gt;0,IF(O103&gt;0,$R$4*MAX(O103-V103,0),0),0)/I103,2),0))</f>
        <v>2.2799999999999998</v>
      </c>
      <c r="AI103" s="80">
        <f>IF(Y103="No",0,IFERROR(ROUNDDOWN(INDEX('90% of ACR'!R:R,MATCH(H:H,'90% of ACR'!A:A,0))*IF(J103&gt;0,IF(P103&gt;0,$R$4*MAX(P103-W103,0),0),0)/J103,2),0))</f>
        <v>0.38</v>
      </c>
      <c r="AJ103" s="44">
        <f t="shared" si="36"/>
        <v>2205746.3106668191</v>
      </c>
      <c r="AK103" s="44">
        <f t="shared" si="36"/>
        <v>417481.83794972772</v>
      </c>
      <c r="AL103" s="46">
        <f t="shared" si="37"/>
        <v>3.1199999999999997</v>
      </c>
      <c r="AM103" s="46">
        <f t="shared" si="37"/>
        <v>0.93</v>
      </c>
      <c r="AN103" s="81">
        <f>IFERROR(INDEX(FeeCalc!P:P,MATCH(C103,FeeCalc!F:F,0)),0)</f>
        <v>4040121.554842086</v>
      </c>
      <c r="AO103" s="81">
        <f>IFERROR(INDEX(FeeCalc!S:S,MATCH(C103,FeeCalc!F:F,0)),0)</f>
        <v>254063.72524826269</v>
      </c>
      <c r="AP103" s="81">
        <f t="shared" si="38"/>
        <v>4294185.2800903488</v>
      </c>
      <c r="AQ103" s="68">
        <f t="shared" si="39"/>
        <v>1689985.2053501171</v>
      </c>
      <c r="AR103" s="68">
        <f>INDEX('IGT Commitment Suggestions'!H:H,MATCH(G103,'IGT Commitment Suggestions'!A:A,0))*AQ103</f>
        <v>770786.17008786125</v>
      </c>
    </row>
    <row r="104" spans="1:44">
      <c r="A104" s="103" t="s">
        <v>605</v>
      </c>
      <c r="B104" s="123" t="s">
        <v>605</v>
      </c>
      <c r="C104" s="30" t="s">
        <v>606</v>
      </c>
      <c r="D104" s="124" t="s">
        <v>606</v>
      </c>
      <c r="E104" s="119" t="s">
        <v>2440</v>
      </c>
      <c r="F104" s="99" t="s">
        <v>2283</v>
      </c>
      <c r="G104" s="99" t="s">
        <v>223</v>
      </c>
      <c r="H104" s="42" t="str">
        <f t="shared" si="25"/>
        <v>Urban Dallas</v>
      </c>
      <c r="I104" s="44">
        <f>INDEX(FeeCalc!M:M,MATCH(C:C,FeeCalc!F:F,0))</f>
        <v>7459852.5433711009</v>
      </c>
      <c r="J104" s="44">
        <f>INDEX(FeeCalc!L:L,MATCH(C:C,FeeCalc!F:F,0))</f>
        <v>1946783.3002884865</v>
      </c>
      <c r="K104" s="44">
        <f t="shared" si="26"/>
        <v>9406635.8436595872</v>
      </c>
      <c r="L104" s="44">
        <v>2545159.16</v>
      </c>
      <c r="M104" s="44">
        <v>1204466.96</v>
      </c>
      <c r="N104" s="44">
        <f t="shared" si="27"/>
        <v>3749626.12</v>
      </c>
      <c r="O104" s="44">
        <v>15272022.449865613</v>
      </c>
      <c r="P104" s="44">
        <v>2377713.1714110356</v>
      </c>
      <c r="Q104" s="44">
        <f t="shared" si="28"/>
        <v>17649735.621276647</v>
      </c>
      <c r="R104" s="44" t="str">
        <f t="shared" si="29"/>
        <v>Yes</v>
      </c>
      <c r="S104" s="45" t="str">
        <f t="shared" si="29"/>
        <v>Yes</v>
      </c>
      <c r="T104" s="46">
        <f>ROUND(INDEX(Summary!H:H,MATCH(H:H,Summary!A:A,0)),2)</f>
        <v>0.6</v>
      </c>
      <c r="U104" s="46">
        <f>ROUND(INDEX(Summary!I:I,MATCH(H:H,Summary!A:A,0)),2)</f>
        <v>0.3</v>
      </c>
      <c r="V104" s="79">
        <f t="shared" si="30"/>
        <v>4475911.5260226605</v>
      </c>
      <c r="W104" s="79">
        <f t="shared" si="30"/>
        <v>584034.99008654593</v>
      </c>
      <c r="X104" s="44">
        <f t="shared" si="31"/>
        <v>5059946.5161092067</v>
      </c>
      <c r="Y104" s="44" t="s">
        <v>2765</v>
      </c>
      <c r="Z104" s="44" t="str">
        <f t="shared" si="32"/>
        <v>Yes</v>
      </c>
      <c r="AA104" s="44" t="str">
        <f t="shared" si="32"/>
        <v>Yes</v>
      </c>
      <c r="AB104" s="44" t="str">
        <f t="shared" si="33"/>
        <v>Yes</v>
      </c>
      <c r="AC104" s="80">
        <f t="shared" si="40"/>
        <v>1.01</v>
      </c>
      <c r="AD104" s="80">
        <f t="shared" si="41"/>
        <v>0.64</v>
      </c>
      <c r="AE104" s="44">
        <f t="shared" si="34"/>
        <v>7534451.0688048117</v>
      </c>
      <c r="AF104" s="44">
        <f t="shared" si="34"/>
        <v>1245941.3121846314</v>
      </c>
      <c r="AG104" s="44">
        <f t="shared" si="35"/>
        <v>8780392.3809894435</v>
      </c>
      <c r="AH104" s="46">
        <f>IF(Y104="No",0,IFERROR(ROUNDDOWN(INDEX('90% of ACR'!K:K,MATCH(H:H,'90% of ACR'!A:A,0))*IF(I104&gt;0,IF(O104&gt;0,$R$4*MAX(O104-V104,0),0),0)/I104,2),0))</f>
        <v>1</v>
      </c>
      <c r="AI104" s="80">
        <f>IF(Y104="No",0,IFERROR(ROUNDDOWN(INDEX('90% of ACR'!R:R,MATCH(H:H,'90% of ACR'!A:A,0))*IF(J104&gt;0,IF(P104&gt;0,$R$4*MAX(P104-W104,0),0),0)/J104,2),0))</f>
        <v>0.64</v>
      </c>
      <c r="AJ104" s="44">
        <f t="shared" si="36"/>
        <v>7459852.5433711009</v>
      </c>
      <c r="AK104" s="44">
        <f t="shared" si="36"/>
        <v>1245941.3121846314</v>
      </c>
      <c r="AL104" s="46">
        <f t="shared" si="37"/>
        <v>1.6</v>
      </c>
      <c r="AM104" s="46">
        <f t="shared" si="37"/>
        <v>0.94</v>
      </c>
      <c r="AN104" s="81">
        <f>IFERROR(INDEX(FeeCalc!P:P,MATCH(C104,FeeCalc!F:F,0)),0)</f>
        <v>13765740.371664939</v>
      </c>
      <c r="AO104" s="81">
        <f>IFERROR(INDEX(FeeCalc!S:S,MATCH(C104,FeeCalc!F:F,0)),0)</f>
        <v>851365.05957755062</v>
      </c>
      <c r="AP104" s="81">
        <f t="shared" si="38"/>
        <v>14617105.43124249</v>
      </c>
      <c r="AQ104" s="68">
        <f t="shared" si="39"/>
        <v>5752591.0766763445</v>
      </c>
      <c r="AR104" s="68">
        <f>INDEX('IGT Commitment Suggestions'!H:H,MATCH(G104,'IGT Commitment Suggestions'!A:A,0))*AQ104</f>
        <v>2630853.9490042129</v>
      </c>
    </row>
    <row r="105" spans="1:44">
      <c r="A105" s="103" t="s">
        <v>88</v>
      </c>
      <c r="B105" s="123" t="s">
        <v>88</v>
      </c>
      <c r="C105" s="30" t="s">
        <v>89</v>
      </c>
      <c r="D105" s="124" t="s">
        <v>89</v>
      </c>
      <c r="E105" s="119" t="s">
        <v>2694</v>
      </c>
      <c r="F105" s="99" t="s">
        <v>2295</v>
      </c>
      <c r="G105" s="99" t="s">
        <v>1486</v>
      </c>
      <c r="H105" s="42" t="str">
        <f t="shared" si="25"/>
        <v>Rural MRSA Central</v>
      </c>
      <c r="I105" s="44">
        <f>INDEX(FeeCalc!M:M,MATCH(C:C,FeeCalc!F:F,0))</f>
        <v>123520.72266103234</v>
      </c>
      <c r="J105" s="44">
        <f>INDEX(FeeCalc!L:L,MATCH(C:C,FeeCalc!F:F,0))</f>
        <v>1103131.0683292474</v>
      </c>
      <c r="K105" s="44">
        <f t="shared" si="26"/>
        <v>1226651.7909902798</v>
      </c>
      <c r="L105" s="44">
        <v>119203.24</v>
      </c>
      <c r="M105" s="44">
        <v>-11717.15</v>
      </c>
      <c r="N105" s="44">
        <f t="shared" si="27"/>
        <v>107486.09000000001</v>
      </c>
      <c r="O105" s="44">
        <v>-2048.4552462631691</v>
      </c>
      <c r="P105" s="44">
        <v>-189931.99680109665</v>
      </c>
      <c r="Q105" s="44">
        <f t="shared" si="28"/>
        <v>-191980.45204735984</v>
      </c>
      <c r="R105" s="44" t="str">
        <f t="shared" si="29"/>
        <v>No</v>
      </c>
      <c r="S105" s="45" t="str">
        <f t="shared" si="29"/>
        <v>No</v>
      </c>
      <c r="T105" s="46">
        <f>ROUND(INDEX(Summary!H:H,MATCH(H:H,Summary!A:A,0)),2)</f>
        <v>0.11</v>
      </c>
      <c r="U105" s="46">
        <f>ROUND(INDEX(Summary!I:I,MATCH(H:H,Summary!A:A,0)),2)</f>
        <v>0.09</v>
      </c>
      <c r="V105" s="79">
        <f t="shared" si="30"/>
        <v>13587.279492713558</v>
      </c>
      <c r="W105" s="79">
        <f t="shared" si="30"/>
        <v>99281.796149632268</v>
      </c>
      <c r="X105" s="44">
        <f t="shared" si="31"/>
        <v>112869.07564234582</v>
      </c>
      <c r="Y105" s="44" t="s">
        <v>2765</v>
      </c>
      <c r="Z105" s="44" t="str">
        <f t="shared" si="32"/>
        <v>No</v>
      </c>
      <c r="AA105" s="44" t="str">
        <f t="shared" si="32"/>
        <v>No</v>
      </c>
      <c r="AB105" s="44" t="str">
        <f t="shared" si="33"/>
        <v>No</v>
      </c>
      <c r="AC105" s="80">
        <f t="shared" si="40"/>
        <v>0</v>
      </c>
      <c r="AD105" s="80">
        <f t="shared" si="41"/>
        <v>0</v>
      </c>
      <c r="AE105" s="44">
        <f t="shared" si="34"/>
        <v>0</v>
      </c>
      <c r="AF105" s="44">
        <f t="shared" si="34"/>
        <v>0</v>
      </c>
      <c r="AG105" s="44">
        <f t="shared" si="35"/>
        <v>0</v>
      </c>
      <c r="AH105" s="46">
        <f>IF(Y105="No",0,IFERROR(ROUNDDOWN(INDEX('90% of ACR'!K:K,MATCH(H:H,'90% of ACR'!A:A,0))*IF(I105&gt;0,IF(O105&gt;0,$R$4*MAX(O105-V105,0),0),0)/I105,2),0))</f>
        <v>0</v>
      </c>
      <c r="AI105" s="80">
        <f>IF(Y105="No",0,IFERROR(ROUNDDOWN(INDEX('90% of ACR'!R:R,MATCH(H:H,'90% of ACR'!A:A,0))*IF(J105&gt;0,IF(P105&gt;0,$R$4*MAX(P105-W105,0),0),0)/J105,2),0))</f>
        <v>0</v>
      </c>
      <c r="AJ105" s="44">
        <f t="shared" si="36"/>
        <v>0</v>
      </c>
      <c r="AK105" s="44">
        <f t="shared" si="36"/>
        <v>0</v>
      </c>
      <c r="AL105" s="46">
        <f t="shared" si="37"/>
        <v>0.11</v>
      </c>
      <c r="AM105" s="46">
        <f t="shared" si="37"/>
        <v>0.09</v>
      </c>
      <c r="AN105" s="81">
        <f>IFERROR(INDEX(FeeCalc!P:P,MATCH(C105,FeeCalc!F:F,0)),0)</f>
        <v>112869.07564234582</v>
      </c>
      <c r="AO105" s="81">
        <f>IFERROR(INDEX(FeeCalc!S:S,MATCH(C105,FeeCalc!F:F,0)),0)</f>
        <v>6988.6895134819679</v>
      </c>
      <c r="AP105" s="81">
        <f t="shared" si="38"/>
        <v>119857.76515582779</v>
      </c>
      <c r="AQ105" s="68">
        <f t="shared" si="39"/>
        <v>47170.26319260634</v>
      </c>
      <c r="AR105" s="68">
        <f>INDEX('IGT Commitment Suggestions'!H:H,MATCH(G105,'IGT Commitment Suggestions'!A:A,0))*AQ105</f>
        <v>21549.11981885189</v>
      </c>
    </row>
    <row r="106" spans="1:44">
      <c r="A106" s="103" t="s">
        <v>828</v>
      </c>
      <c r="B106" s="123" t="s">
        <v>828</v>
      </c>
      <c r="C106" s="30" t="s">
        <v>829</v>
      </c>
      <c r="D106" s="124" t="s">
        <v>829</v>
      </c>
      <c r="E106" s="119" t="s">
        <v>2438</v>
      </c>
      <c r="F106" s="99" t="s">
        <v>2283</v>
      </c>
      <c r="G106" s="99" t="s">
        <v>1365</v>
      </c>
      <c r="H106" s="42" t="str">
        <f t="shared" si="25"/>
        <v>Urban Tarrant</v>
      </c>
      <c r="I106" s="44">
        <f>INDEX(FeeCalc!M:M,MATCH(C:C,FeeCalc!F:F,0))</f>
        <v>2993956.3132578102</v>
      </c>
      <c r="J106" s="44">
        <f>INDEX(FeeCalc!L:L,MATCH(C:C,FeeCalc!F:F,0))</f>
        <v>1475851.729692773</v>
      </c>
      <c r="K106" s="44">
        <f t="shared" si="26"/>
        <v>4469808.0429505836</v>
      </c>
      <c r="L106" s="44">
        <v>2455824.59</v>
      </c>
      <c r="M106" s="44">
        <v>842247.27</v>
      </c>
      <c r="N106" s="44">
        <f t="shared" si="27"/>
        <v>3298071.86</v>
      </c>
      <c r="O106" s="44">
        <v>7382363.5924247615</v>
      </c>
      <c r="P106" s="44">
        <v>1870803.0582031452</v>
      </c>
      <c r="Q106" s="44">
        <f t="shared" si="28"/>
        <v>9253166.6506279074</v>
      </c>
      <c r="R106" s="44" t="str">
        <f t="shared" si="29"/>
        <v>Yes</v>
      </c>
      <c r="S106" s="45" t="str">
        <f t="shared" si="29"/>
        <v>Yes</v>
      </c>
      <c r="T106" s="46">
        <f>ROUND(INDEX(Summary!H:H,MATCH(H:H,Summary!A:A,0)),2)</f>
        <v>0.84</v>
      </c>
      <c r="U106" s="46">
        <f>ROUND(INDEX(Summary!I:I,MATCH(H:H,Summary!A:A,0)),2)</f>
        <v>0.55000000000000004</v>
      </c>
      <c r="V106" s="79">
        <f t="shared" si="30"/>
        <v>2514923.3031365606</v>
      </c>
      <c r="W106" s="79">
        <f t="shared" si="30"/>
        <v>811718.45133102522</v>
      </c>
      <c r="X106" s="44">
        <f t="shared" si="31"/>
        <v>3326641.7544675861</v>
      </c>
      <c r="Y106" s="44" t="s">
        <v>2765</v>
      </c>
      <c r="Z106" s="44" t="str">
        <f t="shared" si="32"/>
        <v>Yes</v>
      </c>
      <c r="AA106" s="44" t="str">
        <f t="shared" si="32"/>
        <v>Yes</v>
      </c>
      <c r="AB106" s="44" t="str">
        <f t="shared" si="33"/>
        <v>Yes</v>
      </c>
      <c r="AC106" s="80">
        <f t="shared" si="40"/>
        <v>1.1299999999999999</v>
      </c>
      <c r="AD106" s="80">
        <f t="shared" si="41"/>
        <v>0.5</v>
      </c>
      <c r="AE106" s="44">
        <f t="shared" si="34"/>
        <v>3383170.6339813252</v>
      </c>
      <c r="AF106" s="44">
        <f t="shared" si="34"/>
        <v>737925.86484638648</v>
      </c>
      <c r="AG106" s="44">
        <f t="shared" si="35"/>
        <v>4121096.4988277117</v>
      </c>
      <c r="AH106" s="46">
        <f>IF(Y106="No",0,IFERROR(ROUNDDOWN(INDEX('90% of ACR'!K:K,MATCH(H:H,'90% of ACR'!A:A,0))*IF(I106&gt;0,IF(O106&gt;0,$R$4*MAX(O106-V106,0),0),0)/I106,2),0))</f>
        <v>1.1299999999999999</v>
      </c>
      <c r="AI106" s="80">
        <f>IF(Y106="No",0,IFERROR(ROUNDDOWN(INDEX('90% of ACR'!R:R,MATCH(H:H,'90% of ACR'!A:A,0))*IF(J106&gt;0,IF(P106&gt;0,$R$4*MAX(P106-W106,0),0),0)/J106,2),0))</f>
        <v>0.48</v>
      </c>
      <c r="AJ106" s="44">
        <f t="shared" si="36"/>
        <v>3383170.6339813252</v>
      </c>
      <c r="AK106" s="44">
        <f t="shared" si="36"/>
        <v>708408.83025253098</v>
      </c>
      <c r="AL106" s="46">
        <f t="shared" si="37"/>
        <v>1.9699999999999998</v>
      </c>
      <c r="AM106" s="46">
        <f t="shared" si="37"/>
        <v>1.03</v>
      </c>
      <c r="AN106" s="81">
        <f>IFERROR(INDEX(FeeCalc!P:P,MATCH(C106,FeeCalc!F:F,0)),0)</f>
        <v>7418221.2187014418</v>
      </c>
      <c r="AO106" s="81">
        <f>IFERROR(INDEX(FeeCalc!S:S,MATCH(C106,FeeCalc!F:F,0)),0)</f>
        <v>455660.46380637301</v>
      </c>
      <c r="AP106" s="81">
        <f t="shared" si="38"/>
        <v>7873881.6825078148</v>
      </c>
      <c r="AQ106" s="68">
        <f t="shared" si="39"/>
        <v>3098781.8839143161</v>
      </c>
      <c r="AR106" s="68">
        <f>INDEX('IGT Commitment Suggestions'!H:H,MATCH(G106,'IGT Commitment Suggestions'!A:A,0))*AQ106</f>
        <v>1413324.9289274896</v>
      </c>
    </row>
    <row r="107" spans="1:44">
      <c r="A107" s="103" t="s">
        <v>632</v>
      </c>
      <c r="B107" s="123" t="s">
        <v>632</v>
      </c>
      <c r="C107" s="30" t="s">
        <v>633</v>
      </c>
      <c r="D107" s="124" t="s">
        <v>633</v>
      </c>
      <c r="E107" s="119" t="s">
        <v>2432</v>
      </c>
      <c r="F107" s="99" t="s">
        <v>2283</v>
      </c>
      <c r="G107" s="99" t="s">
        <v>223</v>
      </c>
      <c r="H107" s="42" t="str">
        <f t="shared" si="25"/>
        <v>Urban Dallas</v>
      </c>
      <c r="I107" s="44">
        <f>INDEX(FeeCalc!M:M,MATCH(C:C,FeeCalc!F:F,0))</f>
        <v>10719328.9964353</v>
      </c>
      <c r="J107" s="44">
        <f>INDEX(FeeCalc!L:L,MATCH(C:C,FeeCalc!F:F,0))</f>
        <v>1641691.3875174986</v>
      </c>
      <c r="K107" s="44">
        <f t="shared" si="26"/>
        <v>12361020.383952798</v>
      </c>
      <c r="L107" s="44">
        <v>2637447.7599999998</v>
      </c>
      <c r="M107" s="44">
        <v>1307159.07</v>
      </c>
      <c r="N107" s="44">
        <f t="shared" si="27"/>
        <v>3944606.83</v>
      </c>
      <c r="O107" s="44">
        <v>24430637.362798452</v>
      </c>
      <c r="P107" s="44">
        <v>1977344.5209417031</v>
      </c>
      <c r="Q107" s="44">
        <f t="shared" si="28"/>
        <v>26407981.883740157</v>
      </c>
      <c r="R107" s="44" t="str">
        <f t="shared" si="29"/>
        <v>Yes</v>
      </c>
      <c r="S107" s="45" t="str">
        <f t="shared" si="29"/>
        <v>Yes</v>
      </c>
      <c r="T107" s="46">
        <f>ROUND(INDEX(Summary!H:H,MATCH(H:H,Summary!A:A,0)),2)</f>
        <v>0.6</v>
      </c>
      <c r="U107" s="46">
        <f>ROUND(INDEX(Summary!I:I,MATCH(H:H,Summary!A:A,0)),2)</f>
        <v>0.3</v>
      </c>
      <c r="V107" s="79">
        <f t="shared" si="30"/>
        <v>6431597.3978611799</v>
      </c>
      <c r="W107" s="79">
        <f t="shared" si="30"/>
        <v>492507.41625524953</v>
      </c>
      <c r="X107" s="44">
        <f t="shared" si="31"/>
        <v>6924104.8141164295</v>
      </c>
      <c r="Y107" s="44" t="s">
        <v>2765</v>
      </c>
      <c r="Z107" s="44" t="str">
        <f t="shared" si="32"/>
        <v>Yes</v>
      </c>
      <c r="AA107" s="44" t="str">
        <f t="shared" si="32"/>
        <v>Yes</v>
      </c>
      <c r="AB107" s="44" t="str">
        <f t="shared" si="33"/>
        <v>Yes</v>
      </c>
      <c r="AC107" s="80">
        <f t="shared" si="40"/>
        <v>1.17</v>
      </c>
      <c r="AD107" s="80">
        <f t="shared" si="41"/>
        <v>0.63</v>
      </c>
      <c r="AE107" s="44">
        <f t="shared" si="34"/>
        <v>12541614.925829299</v>
      </c>
      <c r="AF107" s="44">
        <f t="shared" si="34"/>
        <v>1034265.5741360241</v>
      </c>
      <c r="AG107" s="44">
        <f t="shared" si="35"/>
        <v>13575880.499965323</v>
      </c>
      <c r="AH107" s="46">
        <f>IF(Y107="No",0,IFERROR(ROUNDDOWN(INDEX('90% of ACR'!K:K,MATCH(H:H,'90% of ACR'!A:A,0))*IF(I107&gt;0,IF(O107&gt;0,$R$4*MAX(O107-V107,0),0),0)/I107,2),0))</f>
        <v>1.1599999999999999</v>
      </c>
      <c r="AI107" s="80">
        <f>IF(Y107="No",0,IFERROR(ROUNDDOWN(INDEX('90% of ACR'!R:R,MATCH(H:H,'90% of ACR'!A:A,0))*IF(J107&gt;0,IF(P107&gt;0,$R$4*MAX(P107-W107,0),0),0)/J107,2),0))</f>
        <v>0.63</v>
      </c>
      <c r="AJ107" s="44">
        <f t="shared" si="36"/>
        <v>12434421.635864947</v>
      </c>
      <c r="AK107" s="44">
        <f t="shared" si="36"/>
        <v>1034265.5741360241</v>
      </c>
      <c r="AL107" s="46">
        <f t="shared" si="37"/>
        <v>1.7599999999999998</v>
      </c>
      <c r="AM107" s="46">
        <f t="shared" si="37"/>
        <v>0.92999999999999994</v>
      </c>
      <c r="AN107" s="81">
        <f>IFERROR(INDEX(FeeCalc!P:P,MATCH(C107,FeeCalc!F:F,0)),0)</f>
        <v>20392792.024117399</v>
      </c>
      <c r="AO107" s="81">
        <f>IFERROR(INDEX(FeeCalc!S:S,MATCH(C107,FeeCalc!F:F,0)),0)</f>
        <v>1265997.3140003865</v>
      </c>
      <c r="AP107" s="81">
        <f t="shared" si="38"/>
        <v>21658789.338117786</v>
      </c>
      <c r="AQ107" s="68">
        <f t="shared" si="39"/>
        <v>8523859.8615949322</v>
      </c>
      <c r="AR107" s="68">
        <f>INDEX('IGT Commitment Suggestions'!H:H,MATCH(G107,'IGT Commitment Suggestions'!A:A,0))*AQ107</f>
        <v>3898248.6463459814</v>
      </c>
    </row>
    <row r="108" spans="1:44">
      <c r="A108" s="103" t="s">
        <v>338</v>
      </c>
      <c r="B108" s="123" t="s">
        <v>338</v>
      </c>
      <c r="C108" s="30" t="s">
        <v>339</v>
      </c>
      <c r="D108" s="124" t="s">
        <v>339</v>
      </c>
      <c r="E108" s="119" t="s">
        <v>2682</v>
      </c>
      <c r="F108" s="99" t="s">
        <v>2295</v>
      </c>
      <c r="G108" s="99" t="s">
        <v>227</v>
      </c>
      <c r="H108" s="42" t="str">
        <f t="shared" si="25"/>
        <v>Rural MRSA West</v>
      </c>
      <c r="I108" s="44">
        <f>INDEX(FeeCalc!M:M,MATCH(C:C,FeeCalc!F:F,0))</f>
        <v>211709.77519243443</v>
      </c>
      <c r="J108" s="44">
        <f>INDEX(FeeCalc!L:L,MATCH(C:C,FeeCalc!F:F,0))</f>
        <v>275093.43017091154</v>
      </c>
      <c r="K108" s="44">
        <f t="shared" si="26"/>
        <v>486803.20536334597</v>
      </c>
      <c r="L108" s="44">
        <v>24363.51</v>
      </c>
      <c r="M108" s="44">
        <v>-31057.79</v>
      </c>
      <c r="N108" s="44">
        <f t="shared" si="27"/>
        <v>-6694.2800000000025</v>
      </c>
      <c r="O108" s="44">
        <v>-29521.161239655761</v>
      </c>
      <c r="P108" s="44">
        <v>52361.889783375387</v>
      </c>
      <c r="Q108" s="44">
        <f t="shared" si="28"/>
        <v>22840.728543719626</v>
      </c>
      <c r="R108" s="44" t="str">
        <f t="shared" si="29"/>
        <v>No</v>
      </c>
      <c r="S108" s="45" t="str">
        <f t="shared" si="29"/>
        <v>Yes</v>
      </c>
      <c r="T108" s="46">
        <f>ROUND(INDEX(Summary!H:H,MATCH(H:H,Summary!A:A,0)),2)</f>
        <v>0</v>
      </c>
      <c r="U108" s="46">
        <f>ROUND(INDEX(Summary!I:I,MATCH(H:H,Summary!A:A,0)),2)</f>
        <v>0.18</v>
      </c>
      <c r="V108" s="79">
        <f t="shared" si="30"/>
        <v>0</v>
      </c>
      <c r="W108" s="79">
        <f t="shared" si="30"/>
        <v>49516.817430764073</v>
      </c>
      <c r="X108" s="44">
        <f t="shared" si="31"/>
        <v>49516.817430764073</v>
      </c>
      <c r="Y108" s="44" t="s">
        <v>2765</v>
      </c>
      <c r="Z108" s="44" t="str">
        <f t="shared" si="32"/>
        <v>No</v>
      </c>
      <c r="AA108" s="44" t="str">
        <f t="shared" si="32"/>
        <v>No</v>
      </c>
      <c r="AB108" s="44" t="str">
        <f t="shared" si="33"/>
        <v>Yes</v>
      </c>
      <c r="AC108" s="80">
        <f t="shared" si="40"/>
        <v>0</v>
      </c>
      <c r="AD108" s="80">
        <f t="shared" si="41"/>
        <v>0.01</v>
      </c>
      <c r="AE108" s="44">
        <f t="shared" si="34"/>
        <v>0</v>
      </c>
      <c r="AF108" s="44">
        <f t="shared" si="34"/>
        <v>2750.9343017091155</v>
      </c>
      <c r="AG108" s="44">
        <f t="shared" si="35"/>
        <v>2750.9343017091155</v>
      </c>
      <c r="AH108" s="46">
        <f>IF(Y108="No",0,IFERROR(ROUNDDOWN(INDEX('90% of ACR'!K:K,MATCH(H:H,'90% of ACR'!A:A,0))*IF(I108&gt;0,IF(O108&gt;0,$R$4*MAX(O108-V108,0),0),0)/I108,2),0))</f>
        <v>0</v>
      </c>
      <c r="AI108" s="80">
        <f>IF(Y108="No",0,IFERROR(ROUNDDOWN(INDEX('90% of ACR'!R:R,MATCH(H:H,'90% of ACR'!A:A,0))*IF(J108&gt;0,IF(P108&gt;0,$R$4*MAX(P108-W108,0),0),0)/J108,2),0))</f>
        <v>0</v>
      </c>
      <c r="AJ108" s="44">
        <f t="shared" si="36"/>
        <v>0</v>
      </c>
      <c r="AK108" s="44">
        <f t="shared" si="36"/>
        <v>0</v>
      </c>
      <c r="AL108" s="46">
        <f t="shared" si="37"/>
        <v>0</v>
      </c>
      <c r="AM108" s="46">
        <f t="shared" si="37"/>
        <v>0.18</v>
      </c>
      <c r="AN108" s="81">
        <f>IFERROR(INDEX(FeeCalc!P:P,MATCH(C108,FeeCalc!F:F,0)),0)</f>
        <v>49516.817430764073</v>
      </c>
      <c r="AO108" s="81">
        <f>IFERROR(INDEX(FeeCalc!S:S,MATCH(C108,FeeCalc!F:F,0)),0)</f>
        <v>3053.7203702378583</v>
      </c>
      <c r="AP108" s="81">
        <f t="shared" si="38"/>
        <v>52570.537801001934</v>
      </c>
      <c r="AQ108" s="68">
        <f t="shared" si="39"/>
        <v>20689.240292659913</v>
      </c>
      <c r="AR108" s="68">
        <f>INDEX('IGT Commitment Suggestions'!H:H,MATCH(G108,'IGT Commitment Suggestions'!A:A,0))*AQ108</f>
        <v>10139.044628056963</v>
      </c>
    </row>
    <row r="109" spans="1:44">
      <c r="A109" s="103" t="s">
        <v>623</v>
      </c>
      <c r="B109" s="123" t="s">
        <v>623</v>
      </c>
      <c r="C109" s="30" t="s">
        <v>624</v>
      </c>
      <c r="D109" s="124" t="s">
        <v>624</v>
      </c>
      <c r="E109" s="119" t="s">
        <v>2435</v>
      </c>
      <c r="F109" s="99" t="s">
        <v>2283</v>
      </c>
      <c r="G109" s="99" t="s">
        <v>1365</v>
      </c>
      <c r="H109" s="42" t="str">
        <f t="shared" si="25"/>
        <v>Urban Tarrant</v>
      </c>
      <c r="I109" s="44">
        <f>INDEX(FeeCalc!M:M,MATCH(C:C,FeeCalc!F:F,0))</f>
        <v>21740975.086052921</v>
      </c>
      <c r="J109" s="44">
        <f>INDEX(FeeCalc!L:L,MATCH(C:C,FeeCalc!F:F,0))</f>
        <v>4173961.3858412718</v>
      </c>
      <c r="K109" s="44">
        <f t="shared" si="26"/>
        <v>25914936.471894193</v>
      </c>
      <c r="L109" s="44">
        <v>8682286.1799999997</v>
      </c>
      <c r="M109" s="44">
        <v>2132136.34</v>
      </c>
      <c r="N109" s="44">
        <f t="shared" si="27"/>
        <v>10814422.52</v>
      </c>
      <c r="O109" s="44">
        <v>35785149.087451957</v>
      </c>
      <c r="P109" s="44">
        <v>5746670.0726589393</v>
      </c>
      <c r="Q109" s="44">
        <f t="shared" si="28"/>
        <v>41531819.160110898</v>
      </c>
      <c r="R109" s="44" t="str">
        <f t="shared" si="29"/>
        <v>Yes</v>
      </c>
      <c r="S109" s="45" t="str">
        <f t="shared" si="29"/>
        <v>Yes</v>
      </c>
      <c r="T109" s="46">
        <f>ROUND(INDEX(Summary!H:H,MATCH(H:H,Summary!A:A,0)),2)</f>
        <v>0.84</v>
      </c>
      <c r="U109" s="46">
        <f>ROUND(INDEX(Summary!I:I,MATCH(H:H,Summary!A:A,0)),2)</f>
        <v>0.55000000000000004</v>
      </c>
      <c r="V109" s="79">
        <f t="shared" si="30"/>
        <v>18262419.072284453</v>
      </c>
      <c r="W109" s="79">
        <f t="shared" si="30"/>
        <v>2295678.7622126997</v>
      </c>
      <c r="X109" s="44">
        <f t="shared" si="31"/>
        <v>20558097.834497154</v>
      </c>
      <c r="Y109" s="44" t="s">
        <v>2765</v>
      </c>
      <c r="Z109" s="44" t="str">
        <f t="shared" si="32"/>
        <v>Yes</v>
      </c>
      <c r="AA109" s="44" t="str">
        <f t="shared" si="32"/>
        <v>Yes</v>
      </c>
      <c r="AB109" s="44" t="str">
        <f t="shared" si="33"/>
        <v>Yes</v>
      </c>
      <c r="AC109" s="80">
        <f t="shared" si="40"/>
        <v>0.56000000000000005</v>
      </c>
      <c r="AD109" s="80">
        <f t="shared" si="41"/>
        <v>0.57999999999999996</v>
      </c>
      <c r="AE109" s="44">
        <f t="shared" si="34"/>
        <v>12174946.048189636</v>
      </c>
      <c r="AF109" s="44">
        <f t="shared" si="34"/>
        <v>2420897.6037879377</v>
      </c>
      <c r="AG109" s="44">
        <f t="shared" si="35"/>
        <v>14595843.651977574</v>
      </c>
      <c r="AH109" s="46">
        <f>IF(Y109="No",0,IFERROR(ROUNDDOWN(INDEX('90% of ACR'!K:K,MATCH(H:H,'90% of ACR'!A:A,0))*IF(I109&gt;0,IF(O109&gt;0,$R$4*MAX(O109-V109,0),0),0)/I109,2),0))</f>
        <v>0.56000000000000005</v>
      </c>
      <c r="AI109" s="80">
        <f>IF(Y109="No",0,IFERROR(ROUNDDOWN(INDEX('90% of ACR'!R:R,MATCH(H:H,'90% of ACR'!A:A,0))*IF(J109&gt;0,IF(P109&gt;0,$R$4*MAX(P109-W109,0),0),0)/J109,2),0))</f>
        <v>0.55000000000000004</v>
      </c>
      <c r="AJ109" s="44">
        <f t="shared" si="36"/>
        <v>12174946.048189636</v>
      </c>
      <c r="AK109" s="44">
        <f t="shared" si="36"/>
        <v>2295678.7622126997</v>
      </c>
      <c r="AL109" s="46">
        <f t="shared" si="37"/>
        <v>1.4</v>
      </c>
      <c r="AM109" s="46">
        <f t="shared" si="37"/>
        <v>1.1000000000000001</v>
      </c>
      <c r="AN109" s="81">
        <f>IFERROR(INDEX(FeeCalc!P:P,MATCH(C109,FeeCalc!F:F,0)),0)</f>
        <v>35028722.644899487</v>
      </c>
      <c r="AO109" s="81">
        <f>IFERROR(INDEX(FeeCalc!S:S,MATCH(C109,FeeCalc!F:F,0)),0)</f>
        <v>2148206.8080661809</v>
      </c>
      <c r="AP109" s="81">
        <f t="shared" si="38"/>
        <v>37176929.452965669</v>
      </c>
      <c r="AQ109" s="68">
        <f t="shared" si="39"/>
        <v>14631054.940073546</v>
      </c>
      <c r="AR109" s="68">
        <f>INDEX('IGT Commitment Suggestions'!H:H,MATCH(G109,'IGT Commitment Suggestions'!A:A,0))*AQ109</f>
        <v>6673084.9275500076</v>
      </c>
    </row>
    <row r="110" spans="1:44">
      <c r="A110" s="103" t="s">
        <v>638</v>
      </c>
      <c r="B110" s="123" t="s">
        <v>638</v>
      </c>
      <c r="C110" s="30" t="s">
        <v>639</v>
      </c>
      <c r="D110" s="124" t="s">
        <v>639</v>
      </c>
      <c r="E110" s="119" t="s">
        <v>2436</v>
      </c>
      <c r="F110" s="99" t="s">
        <v>2283</v>
      </c>
      <c r="G110" s="99" t="s">
        <v>1365</v>
      </c>
      <c r="H110" s="42" t="str">
        <f t="shared" si="25"/>
        <v>Urban Tarrant</v>
      </c>
      <c r="I110" s="44">
        <f>INDEX(FeeCalc!M:M,MATCH(C:C,FeeCalc!F:F,0))</f>
        <v>5280137.36846154</v>
      </c>
      <c r="J110" s="44">
        <f>INDEX(FeeCalc!L:L,MATCH(C:C,FeeCalc!F:F,0))</f>
        <v>3321470.3912809961</v>
      </c>
      <c r="K110" s="44">
        <f t="shared" si="26"/>
        <v>8601607.7597425357</v>
      </c>
      <c r="L110" s="44">
        <v>6360933.2400000002</v>
      </c>
      <c r="M110" s="44">
        <v>6256572.6100000003</v>
      </c>
      <c r="N110" s="44">
        <f t="shared" si="27"/>
        <v>12617505.850000001</v>
      </c>
      <c r="O110" s="44">
        <v>17874463.420479838</v>
      </c>
      <c r="P110" s="44">
        <v>8095486.3133997889</v>
      </c>
      <c r="Q110" s="44">
        <f t="shared" si="28"/>
        <v>25969949.733879626</v>
      </c>
      <c r="R110" s="44" t="str">
        <f t="shared" si="29"/>
        <v>Yes</v>
      </c>
      <c r="S110" s="45" t="str">
        <f t="shared" si="29"/>
        <v>Yes</v>
      </c>
      <c r="T110" s="46">
        <f>ROUND(INDEX(Summary!H:H,MATCH(H:H,Summary!A:A,0)),2)</f>
        <v>0.84</v>
      </c>
      <c r="U110" s="46">
        <f>ROUND(INDEX(Summary!I:I,MATCH(H:H,Summary!A:A,0)),2)</f>
        <v>0.55000000000000004</v>
      </c>
      <c r="V110" s="79">
        <f t="shared" si="30"/>
        <v>4435315.3895076932</v>
      </c>
      <c r="W110" s="79">
        <f t="shared" si="30"/>
        <v>1826808.7152045481</v>
      </c>
      <c r="X110" s="44">
        <f t="shared" si="31"/>
        <v>6262124.1047122413</v>
      </c>
      <c r="Y110" s="44" t="s">
        <v>2765</v>
      </c>
      <c r="Z110" s="44" t="str">
        <f t="shared" si="32"/>
        <v>Yes</v>
      </c>
      <c r="AA110" s="44" t="str">
        <f t="shared" si="32"/>
        <v>Yes</v>
      </c>
      <c r="AB110" s="44" t="str">
        <f t="shared" si="33"/>
        <v>Yes</v>
      </c>
      <c r="AC110" s="80">
        <f t="shared" si="40"/>
        <v>1.77</v>
      </c>
      <c r="AD110" s="80">
        <f t="shared" si="41"/>
        <v>1.31</v>
      </c>
      <c r="AE110" s="44">
        <f t="shared" si="34"/>
        <v>9345843.1421769261</v>
      </c>
      <c r="AF110" s="44">
        <f t="shared" si="34"/>
        <v>4351126.2125781048</v>
      </c>
      <c r="AG110" s="44">
        <f t="shared" si="35"/>
        <v>13696969.354755031</v>
      </c>
      <c r="AH110" s="46">
        <f>IF(Y110="No",0,IFERROR(ROUNDDOWN(INDEX('90% of ACR'!K:K,MATCH(H:H,'90% of ACR'!A:A,0))*IF(I110&gt;0,IF(O110&gt;0,$R$4*MAX(O110-V110,0),0),0)/I110,2),0))</f>
        <v>1.77</v>
      </c>
      <c r="AI110" s="80">
        <f>IF(Y110="No",0,IFERROR(ROUNDDOWN(INDEX('90% of ACR'!R:R,MATCH(H:H,'90% of ACR'!A:A,0))*IF(J110&gt;0,IF(P110&gt;0,$R$4*MAX(P110-W110,0),0),0)/J110,2),0))</f>
        <v>1.26</v>
      </c>
      <c r="AJ110" s="44">
        <f t="shared" si="36"/>
        <v>9345843.1421769261</v>
      </c>
      <c r="AK110" s="44">
        <f t="shared" si="36"/>
        <v>4185052.693014055</v>
      </c>
      <c r="AL110" s="46">
        <f t="shared" si="37"/>
        <v>2.61</v>
      </c>
      <c r="AM110" s="46">
        <f t="shared" si="37"/>
        <v>1.81</v>
      </c>
      <c r="AN110" s="81">
        <f>IFERROR(INDEX(FeeCalc!P:P,MATCH(C110,FeeCalc!F:F,0)),0)</f>
        <v>19793019.939903222</v>
      </c>
      <c r="AO110" s="81">
        <f>IFERROR(INDEX(FeeCalc!S:S,MATCH(C110,FeeCalc!F:F,0)),0)</f>
        <v>1243927.3359406132</v>
      </c>
      <c r="AP110" s="81">
        <f t="shared" si="38"/>
        <v>21036947.275843836</v>
      </c>
      <c r="AQ110" s="68">
        <f t="shared" si="39"/>
        <v>8279132.6743028937</v>
      </c>
      <c r="AR110" s="68">
        <f>INDEX('IGT Commitment Suggestions'!H:H,MATCH(G110,'IGT Commitment Suggestions'!A:A,0))*AQ110</f>
        <v>3776033.6276749512</v>
      </c>
    </row>
    <row r="111" spans="1:44">
      <c r="A111" s="103" t="s">
        <v>344</v>
      </c>
      <c r="B111" s="123" t="s">
        <v>344</v>
      </c>
      <c r="C111" s="30" t="s">
        <v>345</v>
      </c>
      <c r="D111" s="124" t="s">
        <v>345</v>
      </c>
      <c r="E111" s="119" t="s">
        <v>2620</v>
      </c>
      <c r="F111" s="99" t="s">
        <v>2295</v>
      </c>
      <c r="G111" s="99" t="s">
        <v>310</v>
      </c>
      <c r="H111" s="42" t="str">
        <f t="shared" si="25"/>
        <v>Rural MRSA Northeast</v>
      </c>
      <c r="I111" s="44">
        <f>INDEX(FeeCalc!M:M,MATCH(C:C,FeeCalc!F:F,0))</f>
        <v>66958.079691731851</v>
      </c>
      <c r="J111" s="44">
        <f>INDEX(FeeCalc!L:L,MATCH(C:C,FeeCalc!F:F,0))</f>
        <v>414005.70435896132</v>
      </c>
      <c r="K111" s="44">
        <f t="shared" si="26"/>
        <v>480963.78405069315</v>
      </c>
      <c r="L111" s="44">
        <v>9026.42</v>
      </c>
      <c r="M111" s="44">
        <v>-80969.75</v>
      </c>
      <c r="N111" s="44">
        <f t="shared" si="27"/>
        <v>-71943.33</v>
      </c>
      <c r="O111" s="44">
        <v>-7812.1756962728432</v>
      </c>
      <c r="P111" s="44">
        <v>-25112.574524786643</v>
      </c>
      <c r="Q111" s="44">
        <f t="shared" si="28"/>
        <v>-32924.750221059483</v>
      </c>
      <c r="R111" s="44" t="str">
        <f t="shared" si="29"/>
        <v>No</v>
      </c>
      <c r="S111" s="45" t="str">
        <f t="shared" si="29"/>
        <v>No</v>
      </c>
      <c r="T111" s="46">
        <f>ROUND(INDEX(Summary!H:H,MATCH(H:H,Summary!A:A,0)),2)</f>
        <v>0</v>
      </c>
      <c r="U111" s="46">
        <f>ROUND(INDEX(Summary!I:I,MATCH(H:H,Summary!A:A,0)),2)</f>
        <v>0.32</v>
      </c>
      <c r="V111" s="79">
        <f t="shared" si="30"/>
        <v>0</v>
      </c>
      <c r="W111" s="79">
        <f t="shared" si="30"/>
        <v>132481.82539486763</v>
      </c>
      <c r="X111" s="44">
        <f t="shared" si="31"/>
        <v>132481.82539486763</v>
      </c>
      <c r="Y111" s="44" t="s">
        <v>2765</v>
      </c>
      <c r="Z111" s="44" t="str">
        <f t="shared" si="32"/>
        <v>No</v>
      </c>
      <c r="AA111" s="44" t="str">
        <f t="shared" si="32"/>
        <v>No</v>
      </c>
      <c r="AB111" s="44" t="str">
        <f t="shared" si="33"/>
        <v>No</v>
      </c>
      <c r="AC111" s="80">
        <f t="shared" si="40"/>
        <v>0</v>
      </c>
      <c r="AD111" s="80">
        <f t="shared" si="41"/>
        <v>0</v>
      </c>
      <c r="AE111" s="44">
        <f t="shared" si="34"/>
        <v>0</v>
      </c>
      <c r="AF111" s="44">
        <f t="shared" si="34"/>
        <v>0</v>
      </c>
      <c r="AG111" s="44">
        <f t="shared" si="35"/>
        <v>0</v>
      </c>
      <c r="AH111" s="46">
        <f>IF(Y111="No",0,IFERROR(ROUNDDOWN(INDEX('90% of ACR'!K:K,MATCH(H:H,'90% of ACR'!A:A,0))*IF(I111&gt;0,IF(O111&gt;0,$R$4*MAX(O111-V111,0),0),0)/I111,2),0))</f>
        <v>0</v>
      </c>
      <c r="AI111" s="80">
        <f>IF(Y111="No",0,IFERROR(ROUNDDOWN(INDEX('90% of ACR'!R:R,MATCH(H:H,'90% of ACR'!A:A,0))*IF(J111&gt;0,IF(P111&gt;0,$R$4*MAX(P111-W111,0),0),0)/J111,2),0))</f>
        <v>0</v>
      </c>
      <c r="AJ111" s="44">
        <f t="shared" si="36"/>
        <v>0</v>
      </c>
      <c r="AK111" s="44">
        <f t="shared" si="36"/>
        <v>0</v>
      </c>
      <c r="AL111" s="46">
        <f t="shared" si="37"/>
        <v>0</v>
      </c>
      <c r="AM111" s="46">
        <f t="shared" si="37"/>
        <v>0.32</v>
      </c>
      <c r="AN111" s="81">
        <f>IFERROR(INDEX(FeeCalc!P:P,MATCH(C111,FeeCalc!F:F,0)),0)</f>
        <v>132481.82539486763</v>
      </c>
      <c r="AO111" s="81">
        <f>IFERROR(INDEX(FeeCalc!S:S,MATCH(C111,FeeCalc!F:F,0)),0)</f>
        <v>8202.4774245904482</v>
      </c>
      <c r="AP111" s="81">
        <f t="shared" si="38"/>
        <v>140684.30281945807</v>
      </c>
      <c r="AQ111" s="68">
        <f t="shared" si="39"/>
        <v>55366.588743203363</v>
      </c>
      <c r="AR111" s="68">
        <f>INDEX('IGT Commitment Suggestions'!H:H,MATCH(G111,'IGT Commitment Suggestions'!A:A,0))*AQ111</f>
        <v>25358.253160160126</v>
      </c>
    </row>
    <row r="112" spans="1:44">
      <c r="A112" s="103" t="s">
        <v>347</v>
      </c>
      <c r="B112" s="123" t="s">
        <v>347</v>
      </c>
      <c r="C112" s="30" t="s">
        <v>348</v>
      </c>
      <c r="D112" s="124" t="s">
        <v>348</v>
      </c>
      <c r="E112" s="119" t="s">
        <v>2615</v>
      </c>
      <c r="F112" s="99" t="s">
        <v>2295</v>
      </c>
      <c r="G112" s="99" t="s">
        <v>227</v>
      </c>
      <c r="H112" s="42" t="str">
        <f t="shared" si="25"/>
        <v>Rural MRSA West</v>
      </c>
      <c r="I112" s="44">
        <f>INDEX(FeeCalc!M:M,MATCH(C:C,FeeCalc!F:F,0))</f>
        <v>42238.703927896895</v>
      </c>
      <c r="J112" s="44">
        <f>INDEX(FeeCalc!L:L,MATCH(C:C,FeeCalc!F:F,0))</f>
        <v>158210.7176574163</v>
      </c>
      <c r="K112" s="44">
        <f t="shared" si="26"/>
        <v>200449.42158531319</v>
      </c>
      <c r="L112" s="44">
        <v>-188.14</v>
      </c>
      <c r="M112" s="44">
        <v>63303.32</v>
      </c>
      <c r="N112" s="44">
        <f t="shared" si="27"/>
        <v>63115.18</v>
      </c>
      <c r="O112" s="44">
        <v>2007.4889330369424</v>
      </c>
      <c r="P112" s="44">
        <v>50130.232902267802</v>
      </c>
      <c r="Q112" s="44">
        <f t="shared" si="28"/>
        <v>52137.721835304743</v>
      </c>
      <c r="R112" s="44" t="str">
        <f t="shared" si="29"/>
        <v>Yes</v>
      </c>
      <c r="S112" s="45" t="str">
        <f t="shared" si="29"/>
        <v>Yes</v>
      </c>
      <c r="T112" s="46">
        <f>ROUND(INDEX(Summary!H:H,MATCH(H:H,Summary!A:A,0)),2)</f>
        <v>0</v>
      </c>
      <c r="U112" s="46">
        <f>ROUND(INDEX(Summary!I:I,MATCH(H:H,Summary!A:A,0)),2)</f>
        <v>0.18</v>
      </c>
      <c r="V112" s="79">
        <f t="shared" si="30"/>
        <v>0</v>
      </c>
      <c r="W112" s="79">
        <f t="shared" si="30"/>
        <v>28477.929178334933</v>
      </c>
      <c r="X112" s="44">
        <f t="shared" si="31"/>
        <v>28477.929178334933</v>
      </c>
      <c r="Y112" s="44" t="s">
        <v>2765</v>
      </c>
      <c r="Z112" s="44" t="str">
        <f t="shared" si="32"/>
        <v>No</v>
      </c>
      <c r="AA112" s="44" t="str">
        <f t="shared" si="32"/>
        <v>Yes</v>
      </c>
      <c r="AB112" s="44" t="str">
        <f t="shared" si="33"/>
        <v>Yes</v>
      </c>
      <c r="AC112" s="80">
        <f t="shared" si="40"/>
        <v>0.03</v>
      </c>
      <c r="AD112" s="80">
        <f t="shared" si="41"/>
        <v>0.1</v>
      </c>
      <c r="AE112" s="44">
        <f t="shared" si="34"/>
        <v>1267.1611178369069</v>
      </c>
      <c r="AF112" s="44">
        <f t="shared" si="34"/>
        <v>15821.071765741632</v>
      </c>
      <c r="AG112" s="44">
        <f t="shared" si="35"/>
        <v>17088.232883578537</v>
      </c>
      <c r="AH112" s="46">
        <f>IF(Y112="No",0,IFERROR(ROUNDDOWN(INDEX('90% of ACR'!K:K,MATCH(H:H,'90% of ACR'!A:A,0))*IF(I112&gt;0,IF(O112&gt;0,$R$4*MAX(O112-V112,0),0),0)/I112,2),0))</f>
        <v>0</v>
      </c>
      <c r="AI112" s="80">
        <f>IF(Y112="No",0,IFERROR(ROUNDDOWN(INDEX('90% of ACR'!R:R,MATCH(H:H,'90% of ACR'!A:A,0))*IF(J112&gt;0,IF(P112&gt;0,$R$4*MAX(P112-W112,0),0),0)/J112,2),0))</f>
        <v>0.09</v>
      </c>
      <c r="AJ112" s="44">
        <f t="shared" si="36"/>
        <v>0</v>
      </c>
      <c r="AK112" s="44">
        <f t="shared" si="36"/>
        <v>14238.964589167466</v>
      </c>
      <c r="AL112" s="46">
        <f t="shared" si="37"/>
        <v>0</v>
      </c>
      <c r="AM112" s="46">
        <f t="shared" si="37"/>
        <v>0.27</v>
      </c>
      <c r="AN112" s="81">
        <f>IFERROR(INDEX(FeeCalc!P:P,MATCH(C112,FeeCalc!F:F,0)),0)</f>
        <v>42716.893767502406</v>
      </c>
      <c r="AO112" s="81">
        <f>IFERROR(INDEX(FeeCalc!S:S,MATCH(C112,FeeCalc!F:F,0)),0)</f>
        <v>2625.6532991933595</v>
      </c>
      <c r="AP112" s="81">
        <f t="shared" si="38"/>
        <v>45342.547066695763</v>
      </c>
      <c r="AQ112" s="68">
        <f t="shared" si="39"/>
        <v>17844.650083192253</v>
      </c>
      <c r="AR112" s="68">
        <f>INDEX('IGT Commitment Suggestions'!H:H,MATCH(G112,'IGT Commitment Suggestions'!A:A,0))*AQ112</f>
        <v>8745.0143652561183</v>
      </c>
    </row>
    <row r="113" spans="1:44">
      <c r="A113" s="103" t="s">
        <v>350</v>
      </c>
      <c r="B113" s="123" t="s">
        <v>350</v>
      </c>
      <c r="C113" s="30" t="s">
        <v>351</v>
      </c>
      <c r="D113" s="124" t="s">
        <v>351</v>
      </c>
      <c r="E113" s="119" t="s">
        <v>2607</v>
      </c>
      <c r="F113" s="99" t="s">
        <v>2295</v>
      </c>
      <c r="G113" s="99" t="s">
        <v>227</v>
      </c>
      <c r="H113" s="42" t="str">
        <f t="shared" si="25"/>
        <v>Rural MRSA West</v>
      </c>
      <c r="I113" s="44">
        <f>INDEX(FeeCalc!M:M,MATCH(C:C,FeeCalc!F:F,0))</f>
        <v>60586.662506435401</v>
      </c>
      <c r="J113" s="44">
        <f>INDEX(FeeCalc!L:L,MATCH(C:C,FeeCalc!F:F,0))</f>
        <v>300866.17460625939</v>
      </c>
      <c r="K113" s="44">
        <f t="shared" si="26"/>
        <v>361452.8371126948</v>
      </c>
      <c r="L113" s="44">
        <v>-4724.92</v>
      </c>
      <c r="M113" s="44">
        <v>32539.7</v>
      </c>
      <c r="N113" s="44">
        <f t="shared" si="27"/>
        <v>27814.78</v>
      </c>
      <c r="O113" s="44">
        <v>-15305.666789685494</v>
      </c>
      <c r="P113" s="44">
        <v>112604.45436055309</v>
      </c>
      <c r="Q113" s="44">
        <f t="shared" si="28"/>
        <v>97298.7875708676</v>
      </c>
      <c r="R113" s="44" t="str">
        <f t="shared" si="29"/>
        <v>No</v>
      </c>
      <c r="S113" s="45" t="str">
        <f t="shared" si="29"/>
        <v>Yes</v>
      </c>
      <c r="T113" s="46">
        <f>ROUND(INDEX(Summary!H:H,MATCH(H:H,Summary!A:A,0)),2)</f>
        <v>0</v>
      </c>
      <c r="U113" s="46">
        <f>ROUND(INDEX(Summary!I:I,MATCH(H:H,Summary!A:A,0)),2)</f>
        <v>0.18</v>
      </c>
      <c r="V113" s="79">
        <f t="shared" si="30"/>
        <v>0</v>
      </c>
      <c r="W113" s="79">
        <f t="shared" si="30"/>
        <v>54155.911429126689</v>
      </c>
      <c r="X113" s="44">
        <f t="shared" si="31"/>
        <v>54155.911429126689</v>
      </c>
      <c r="Y113" s="44" t="s">
        <v>2765</v>
      </c>
      <c r="Z113" s="44" t="str">
        <f t="shared" si="32"/>
        <v>No</v>
      </c>
      <c r="AA113" s="44" t="str">
        <f t="shared" si="32"/>
        <v>Yes</v>
      </c>
      <c r="AB113" s="44" t="str">
        <f t="shared" si="33"/>
        <v>Yes</v>
      </c>
      <c r="AC113" s="80">
        <f t="shared" si="40"/>
        <v>0</v>
      </c>
      <c r="AD113" s="80">
        <f t="shared" si="41"/>
        <v>0.14000000000000001</v>
      </c>
      <c r="AE113" s="44">
        <f t="shared" si="34"/>
        <v>0</v>
      </c>
      <c r="AF113" s="44">
        <f t="shared" si="34"/>
        <v>42121.264444876317</v>
      </c>
      <c r="AG113" s="44">
        <f t="shared" si="35"/>
        <v>42121.264444876317</v>
      </c>
      <c r="AH113" s="46">
        <f>IF(Y113="No",0,IFERROR(ROUNDDOWN(INDEX('90% of ACR'!K:K,MATCH(H:H,'90% of ACR'!A:A,0))*IF(I113&gt;0,IF(O113&gt;0,$R$4*MAX(O113-V113,0),0),0)/I113,2),0))</f>
        <v>0</v>
      </c>
      <c r="AI113" s="80">
        <f>IF(Y113="No",0,IFERROR(ROUNDDOWN(INDEX('90% of ACR'!R:R,MATCH(H:H,'90% of ACR'!A:A,0))*IF(J113&gt;0,IF(P113&gt;0,$R$4*MAX(P113-W113,0),0),0)/J113,2),0))</f>
        <v>0.13</v>
      </c>
      <c r="AJ113" s="44">
        <f t="shared" si="36"/>
        <v>0</v>
      </c>
      <c r="AK113" s="44">
        <f t="shared" si="36"/>
        <v>39112.602698813724</v>
      </c>
      <c r="AL113" s="46">
        <f t="shared" si="37"/>
        <v>0</v>
      </c>
      <c r="AM113" s="46">
        <f t="shared" si="37"/>
        <v>0.31</v>
      </c>
      <c r="AN113" s="81">
        <f>IFERROR(INDEX(FeeCalc!P:P,MATCH(C113,FeeCalc!F:F,0)),0)</f>
        <v>93268.514127940405</v>
      </c>
      <c r="AO113" s="81">
        <f>IFERROR(INDEX(FeeCalc!S:S,MATCH(C113,FeeCalc!F:F,0)),0)</f>
        <v>5717.792900412981</v>
      </c>
      <c r="AP113" s="81">
        <f t="shared" si="38"/>
        <v>98986.307028353389</v>
      </c>
      <c r="AQ113" s="68">
        <f t="shared" si="39"/>
        <v>38956.259103622535</v>
      </c>
      <c r="AR113" s="68">
        <f>INDEX('IGT Commitment Suggestions'!H:H,MATCH(G113,'IGT Commitment Suggestions'!A:A,0))*AQ113</f>
        <v>19091.046553986285</v>
      </c>
    </row>
    <row r="114" spans="1:44">
      <c r="A114" s="103" t="s">
        <v>1279</v>
      </c>
      <c r="B114" s="123" t="s">
        <v>1279</v>
      </c>
      <c r="C114" s="30" t="s">
        <v>1280</v>
      </c>
      <c r="D114" s="124" t="s">
        <v>1280</v>
      </c>
      <c r="E114" s="119" t="s">
        <v>2838</v>
      </c>
      <c r="F114" s="99" t="s">
        <v>2283</v>
      </c>
      <c r="G114" s="99" t="s">
        <v>487</v>
      </c>
      <c r="H114" s="42" t="str">
        <f t="shared" si="25"/>
        <v>Urban Bexar</v>
      </c>
      <c r="I114" s="44">
        <f>INDEX(FeeCalc!M:M,MATCH(C:C,FeeCalc!F:F,0))</f>
        <v>2450453.7242257781</v>
      </c>
      <c r="J114" s="44">
        <f>INDEX(FeeCalc!L:L,MATCH(C:C,FeeCalc!F:F,0))</f>
        <v>3733713.1874354687</v>
      </c>
      <c r="K114" s="44">
        <f t="shared" si="26"/>
        <v>6184166.9116612468</v>
      </c>
      <c r="L114" s="44">
        <v>2238893.4900000002</v>
      </c>
      <c r="M114" s="44">
        <v>697141.99</v>
      </c>
      <c r="N114" s="44">
        <f t="shared" si="27"/>
        <v>2936035.4800000004</v>
      </c>
      <c r="O114" s="44">
        <v>2048582.0245981882</v>
      </c>
      <c r="P114" s="44">
        <v>879695.24987090216</v>
      </c>
      <c r="Q114" s="44">
        <f t="shared" si="28"/>
        <v>2928277.2744690906</v>
      </c>
      <c r="R114" s="44" t="str">
        <f t="shared" si="29"/>
        <v>Yes</v>
      </c>
      <c r="S114" s="45" t="str">
        <f t="shared" si="29"/>
        <v>Yes</v>
      </c>
      <c r="T114" s="46">
        <f>ROUND(INDEX(Summary!H:H,MATCH(H:H,Summary!A:A,0)),2)</f>
        <v>0.44</v>
      </c>
      <c r="U114" s="46">
        <f>ROUND(INDEX(Summary!I:I,MATCH(H:H,Summary!A:A,0)),2)</f>
        <v>0.49</v>
      </c>
      <c r="V114" s="79">
        <f t="shared" si="30"/>
        <v>1078199.6386593424</v>
      </c>
      <c r="W114" s="79">
        <f t="shared" si="30"/>
        <v>1829519.4618433795</v>
      </c>
      <c r="X114" s="44">
        <f t="shared" si="31"/>
        <v>2907719.100502722</v>
      </c>
      <c r="Y114" s="44" t="s">
        <v>2765</v>
      </c>
      <c r="Z114" s="44" t="str">
        <f t="shared" si="32"/>
        <v>Yes</v>
      </c>
      <c r="AA114" s="44" t="str">
        <f t="shared" si="32"/>
        <v>No</v>
      </c>
      <c r="AB114" s="44" t="str">
        <f t="shared" si="33"/>
        <v>Yes</v>
      </c>
      <c r="AC114" s="80">
        <f t="shared" si="40"/>
        <v>0.28000000000000003</v>
      </c>
      <c r="AD114" s="80">
        <f t="shared" si="41"/>
        <v>0</v>
      </c>
      <c r="AE114" s="44">
        <f t="shared" si="34"/>
        <v>686127.04278321797</v>
      </c>
      <c r="AF114" s="44">
        <f t="shared" si="34"/>
        <v>0</v>
      </c>
      <c r="AG114" s="44">
        <f t="shared" si="35"/>
        <v>686127.04278321797</v>
      </c>
      <c r="AH114" s="46">
        <f>IF(Y114="No",0,IFERROR(ROUNDDOWN(INDEX('90% of ACR'!K:K,MATCH(H:H,'90% of ACR'!A:A,0))*IF(I114&gt;0,IF(O114&gt;0,$R$4*MAX(O114-V114,0),0),0)/I114,2),0))</f>
        <v>0.24</v>
      </c>
      <c r="AI114" s="80">
        <f>IF(Y114="No",0,IFERROR(ROUNDDOWN(INDEX('90% of ACR'!R:R,MATCH(H:H,'90% of ACR'!A:A,0))*IF(J114&gt;0,IF(P114&gt;0,$R$4*MAX(P114-W114,0),0),0)/J114,2),0))</f>
        <v>0</v>
      </c>
      <c r="AJ114" s="44">
        <f t="shared" si="36"/>
        <v>588108.89381418668</v>
      </c>
      <c r="AK114" s="44">
        <f t="shared" si="36"/>
        <v>0</v>
      </c>
      <c r="AL114" s="46">
        <f t="shared" si="37"/>
        <v>0.67999999999999994</v>
      </c>
      <c r="AM114" s="46">
        <f t="shared" si="37"/>
        <v>0.49</v>
      </c>
      <c r="AN114" s="81">
        <f>IFERROR(INDEX(FeeCalc!P:P,MATCH(C114,FeeCalc!F:F,0)),0)</f>
        <v>3495827.9943169085</v>
      </c>
      <c r="AO114" s="81">
        <f>IFERROR(INDEX(FeeCalc!S:S,MATCH(C114,FeeCalc!F:F,0)),0)</f>
        <v>215111.0226158344</v>
      </c>
      <c r="AP114" s="81">
        <f t="shared" si="38"/>
        <v>3710939.0169327431</v>
      </c>
      <c r="AQ114" s="68">
        <f t="shared" si="39"/>
        <v>1460447.471991915</v>
      </c>
      <c r="AR114" s="68">
        <f>INDEX('IGT Commitment Suggestions'!H:H,MATCH(G114,'IGT Commitment Suggestions'!A:A,0))*AQ114</f>
        <v>673190.65332875028</v>
      </c>
    </row>
    <row r="115" spans="1:44">
      <c r="A115" s="103" t="s">
        <v>865</v>
      </c>
      <c r="B115" s="123" t="s">
        <v>865</v>
      </c>
      <c r="C115" s="30" t="s">
        <v>866</v>
      </c>
      <c r="D115" s="124" t="s">
        <v>866</v>
      </c>
      <c r="E115" s="119" t="s">
        <v>2442</v>
      </c>
      <c r="F115" s="99" t="s">
        <v>2283</v>
      </c>
      <c r="G115" s="99" t="s">
        <v>487</v>
      </c>
      <c r="H115" s="42" t="str">
        <f t="shared" si="25"/>
        <v>Urban Bexar</v>
      </c>
      <c r="I115" s="44">
        <f>INDEX(FeeCalc!M:M,MATCH(C:C,FeeCalc!F:F,0))</f>
        <v>8647724.7486536447</v>
      </c>
      <c r="J115" s="44">
        <f>INDEX(FeeCalc!L:L,MATCH(C:C,FeeCalc!F:F,0))</f>
        <v>2002724.4738954585</v>
      </c>
      <c r="K115" s="44">
        <f t="shared" si="26"/>
        <v>10650449.222549103</v>
      </c>
      <c r="L115" s="44">
        <v>2118343.9</v>
      </c>
      <c r="M115" s="44">
        <v>1300731.07</v>
      </c>
      <c r="N115" s="44">
        <f t="shared" si="27"/>
        <v>3419074.9699999997</v>
      </c>
      <c r="O115" s="44">
        <v>14220317.333718028</v>
      </c>
      <c r="P115" s="44">
        <v>1696747.1894613393</v>
      </c>
      <c r="Q115" s="44">
        <f t="shared" si="28"/>
        <v>15917064.523179367</v>
      </c>
      <c r="R115" s="44" t="str">
        <f t="shared" si="29"/>
        <v>Yes</v>
      </c>
      <c r="S115" s="45" t="str">
        <f t="shared" si="29"/>
        <v>Yes</v>
      </c>
      <c r="T115" s="46">
        <f>ROUND(INDEX(Summary!H:H,MATCH(H:H,Summary!A:A,0)),2)</f>
        <v>0.44</v>
      </c>
      <c r="U115" s="46">
        <f>ROUND(INDEX(Summary!I:I,MATCH(H:H,Summary!A:A,0)),2)</f>
        <v>0.49</v>
      </c>
      <c r="V115" s="79">
        <f t="shared" si="30"/>
        <v>3804998.8894076035</v>
      </c>
      <c r="W115" s="79">
        <f t="shared" si="30"/>
        <v>981334.99220877467</v>
      </c>
      <c r="X115" s="44">
        <f t="shared" si="31"/>
        <v>4786333.8816163782</v>
      </c>
      <c r="Y115" s="44" t="s">
        <v>2765</v>
      </c>
      <c r="Z115" s="44" t="str">
        <f t="shared" si="32"/>
        <v>Yes</v>
      </c>
      <c r="AA115" s="44" t="str">
        <f t="shared" si="32"/>
        <v>Yes</v>
      </c>
      <c r="AB115" s="44" t="str">
        <f t="shared" si="33"/>
        <v>Yes</v>
      </c>
      <c r="AC115" s="80">
        <f t="shared" si="40"/>
        <v>0.84</v>
      </c>
      <c r="AD115" s="80">
        <f t="shared" si="41"/>
        <v>0.25</v>
      </c>
      <c r="AE115" s="44">
        <f t="shared" si="34"/>
        <v>7264088.7888690615</v>
      </c>
      <c r="AF115" s="44">
        <f t="shared" si="34"/>
        <v>500681.11847386463</v>
      </c>
      <c r="AG115" s="44">
        <f t="shared" si="35"/>
        <v>7764769.9073429257</v>
      </c>
      <c r="AH115" s="46">
        <f>IF(Y115="No",0,IFERROR(ROUNDDOWN(INDEX('90% of ACR'!K:K,MATCH(H:H,'90% of ACR'!A:A,0))*IF(I115&gt;0,IF(O115&gt;0,$R$4*MAX(O115-V115,0),0),0)/I115,2),0))</f>
        <v>0.74</v>
      </c>
      <c r="AI115" s="80">
        <f>IF(Y115="No",0,IFERROR(ROUNDDOWN(INDEX('90% of ACR'!R:R,MATCH(H:H,'90% of ACR'!A:A,0))*IF(J115&gt;0,IF(P115&gt;0,$R$4*MAX(P115-W115,0),0),0)/J115,2),0))</f>
        <v>0.16</v>
      </c>
      <c r="AJ115" s="44">
        <f t="shared" si="36"/>
        <v>6399316.3140036967</v>
      </c>
      <c r="AK115" s="44">
        <f t="shared" si="36"/>
        <v>320435.91582327336</v>
      </c>
      <c r="AL115" s="46">
        <f t="shared" si="37"/>
        <v>1.18</v>
      </c>
      <c r="AM115" s="46">
        <f t="shared" si="37"/>
        <v>0.65</v>
      </c>
      <c r="AN115" s="81">
        <f>IFERROR(INDEX(FeeCalc!P:P,MATCH(C115,FeeCalc!F:F,0)),0)</f>
        <v>11506086.111443348</v>
      </c>
      <c r="AO115" s="81">
        <f>IFERROR(INDEX(FeeCalc!S:S,MATCH(C115,FeeCalc!F:F,0)),0)</f>
        <v>711474.38712212618</v>
      </c>
      <c r="AP115" s="81">
        <f t="shared" si="38"/>
        <v>12217560.498565475</v>
      </c>
      <c r="AQ115" s="68">
        <f t="shared" si="39"/>
        <v>4808245.36933144</v>
      </c>
      <c r="AR115" s="68">
        <f>INDEX('IGT Commitment Suggestions'!H:H,MATCH(G115,'IGT Commitment Suggestions'!A:A,0))*AQ115</f>
        <v>2216352.113732913</v>
      </c>
    </row>
    <row r="116" spans="1:44">
      <c r="A116" s="103" t="s">
        <v>862</v>
      </c>
      <c r="B116" s="123" t="s">
        <v>862</v>
      </c>
      <c r="C116" s="30" t="s">
        <v>863</v>
      </c>
      <c r="D116" s="124" t="s">
        <v>863</v>
      </c>
      <c r="E116" s="119" t="s">
        <v>2441</v>
      </c>
      <c r="F116" s="99" t="s">
        <v>2295</v>
      </c>
      <c r="G116" s="99" t="s">
        <v>487</v>
      </c>
      <c r="H116" s="42" t="str">
        <f t="shared" si="25"/>
        <v>Rural Bexar</v>
      </c>
      <c r="I116" s="44">
        <f>INDEX(FeeCalc!M:M,MATCH(C:C,FeeCalc!F:F,0))</f>
        <v>1583796.9577082801</v>
      </c>
      <c r="J116" s="44">
        <f>INDEX(FeeCalc!L:L,MATCH(C:C,FeeCalc!F:F,0))</f>
        <v>2603328.9435670306</v>
      </c>
      <c r="K116" s="44">
        <f t="shared" si="26"/>
        <v>4187125.9012753107</v>
      </c>
      <c r="L116" s="44">
        <v>785083.5</v>
      </c>
      <c r="M116" s="44">
        <v>544639.38</v>
      </c>
      <c r="N116" s="44">
        <f t="shared" si="27"/>
        <v>1329722.8799999999</v>
      </c>
      <c r="O116" s="44">
        <v>1162314.6504745812</v>
      </c>
      <c r="P116" s="44">
        <v>1287958.7567854994</v>
      </c>
      <c r="Q116" s="44">
        <f t="shared" si="28"/>
        <v>2450273.4072600808</v>
      </c>
      <c r="R116" s="44" t="str">
        <f t="shared" si="29"/>
        <v>Yes</v>
      </c>
      <c r="S116" s="45" t="str">
        <f t="shared" si="29"/>
        <v>Yes</v>
      </c>
      <c r="T116" s="46">
        <f>ROUND(INDEX(Summary!H:H,MATCH(H:H,Summary!A:A,0)),2)</f>
        <v>0.53</v>
      </c>
      <c r="U116" s="46">
        <f>ROUND(INDEX(Summary!I:I,MATCH(H:H,Summary!A:A,0)),2)</f>
        <v>0.1</v>
      </c>
      <c r="V116" s="79">
        <f t="shared" si="30"/>
        <v>839412.3875853885</v>
      </c>
      <c r="W116" s="79">
        <f t="shared" si="30"/>
        <v>260332.89435670307</v>
      </c>
      <c r="X116" s="44">
        <f t="shared" si="31"/>
        <v>1099745.2819420916</v>
      </c>
      <c r="Y116" s="44" t="s">
        <v>2765</v>
      </c>
      <c r="Z116" s="44" t="str">
        <f t="shared" si="32"/>
        <v>No</v>
      </c>
      <c r="AA116" s="44" t="str">
        <f t="shared" si="32"/>
        <v>Yes</v>
      </c>
      <c r="AB116" s="44" t="str">
        <f t="shared" si="33"/>
        <v>Yes</v>
      </c>
      <c r="AC116" s="80">
        <f t="shared" si="40"/>
        <v>0.14000000000000001</v>
      </c>
      <c r="AD116" s="80">
        <f t="shared" si="41"/>
        <v>0.27</v>
      </c>
      <c r="AE116" s="44">
        <f t="shared" si="34"/>
        <v>221731.57407915924</v>
      </c>
      <c r="AF116" s="44">
        <f t="shared" si="34"/>
        <v>702898.81476309826</v>
      </c>
      <c r="AG116" s="44">
        <f t="shared" si="35"/>
        <v>924630.38884225744</v>
      </c>
      <c r="AH116" s="46">
        <f>IF(Y116="No",0,IFERROR(ROUNDDOWN(INDEX('90% of ACR'!K:K,MATCH(H:H,'90% of ACR'!A:A,0))*IF(I116&gt;0,IF(O116&gt;0,$R$4*MAX(O116-V116,0),0),0)/I116,2),0))</f>
        <v>0</v>
      </c>
      <c r="AI116" s="80">
        <f>IF(Y116="No",0,IFERROR(ROUNDDOWN(INDEX('90% of ACR'!R:R,MATCH(H:H,'90% of ACR'!A:A,0))*IF(J116&gt;0,IF(P116&gt;0,$R$4*MAX(P116-W116,0),0),0)/J116,2),0))</f>
        <v>0.27</v>
      </c>
      <c r="AJ116" s="44">
        <f t="shared" si="36"/>
        <v>0</v>
      </c>
      <c r="AK116" s="44">
        <f t="shared" si="36"/>
        <v>702898.81476309826</v>
      </c>
      <c r="AL116" s="46">
        <f t="shared" si="37"/>
        <v>0.53</v>
      </c>
      <c r="AM116" s="46">
        <f t="shared" si="37"/>
        <v>0.37</v>
      </c>
      <c r="AN116" s="81">
        <f>IFERROR(INDEX(FeeCalc!P:P,MATCH(C116,FeeCalc!F:F,0)),0)</f>
        <v>1802644.0967051899</v>
      </c>
      <c r="AO116" s="81">
        <f>IFERROR(INDEX(FeeCalc!S:S,MATCH(C116,FeeCalc!F:F,0)),0)</f>
        <v>111102.16421559486</v>
      </c>
      <c r="AP116" s="81">
        <f t="shared" si="38"/>
        <v>1913746.2609207847</v>
      </c>
      <c r="AQ116" s="68">
        <f t="shared" si="39"/>
        <v>753158.66847789672</v>
      </c>
      <c r="AR116" s="68">
        <f>INDEX('IGT Commitment Suggestions'!H:H,MATCH(G116,'IGT Commitment Suggestions'!A:A,0))*AQ116</f>
        <v>347167.1428218637</v>
      </c>
    </row>
    <row r="117" spans="1:44">
      <c r="A117" s="103" t="s">
        <v>868</v>
      </c>
      <c r="B117" s="123" t="s">
        <v>868</v>
      </c>
      <c r="C117" s="30" t="s">
        <v>869</v>
      </c>
      <c r="D117" s="124" t="s">
        <v>869</v>
      </c>
      <c r="E117" s="119" t="s">
        <v>2447</v>
      </c>
      <c r="F117" s="99" t="s">
        <v>2283</v>
      </c>
      <c r="G117" s="99" t="s">
        <v>487</v>
      </c>
      <c r="H117" s="42" t="str">
        <f t="shared" si="25"/>
        <v>Urban Bexar</v>
      </c>
      <c r="I117" s="44">
        <f>INDEX(FeeCalc!M:M,MATCH(C:C,FeeCalc!F:F,0))</f>
        <v>91874747.502666742</v>
      </c>
      <c r="J117" s="44">
        <f>INDEX(FeeCalc!L:L,MATCH(C:C,FeeCalc!F:F,0))</f>
        <v>23283486.041872613</v>
      </c>
      <c r="K117" s="44">
        <f t="shared" si="26"/>
        <v>115158233.54453936</v>
      </c>
      <c r="L117" s="44">
        <v>28054007.48</v>
      </c>
      <c r="M117" s="44">
        <v>14904844.77</v>
      </c>
      <c r="N117" s="44">
        <f t="shared" si="27"/>
        <v>42958852.25</v>
      </c>
      <c r="O117" s="44">
        <v>143018624.43773413</v>
      </c>
      <c r="P117" s="44">
        <v>21299978.843232013</v>
      </c>
      <c r="Q117" s="44">
        <f t="shared" si="28"/>
        <v>164318603.28096613</v>
      </c>
      <c r="R117" s="44" t="str">
        <f t="shared" si="29"/>
        <v>Yes</v>
      </c>
      <c r="S117" s="45" t="str">
        <f t="shared" si="29"/>
        <v>Yes</v>
      </c>
      <c r="T117" s="46">
        <f>ROUND(INDEX(Summary!H:H,MATCH(H:H,Summary!A:A,0)),2)</f>
        <v>0.44</v>
      </c>
      <c r="U117" s="46">
        <f>ROUND(INDEX(Summary!I:I,MATCH(H:H,Summary!A:A,0)),2)</f>
        <v>0.49</v>
      </c>
      <c r="V117" s="79">
        <f t="shared" si="30"/>
        <v>40424888.901173368</v>
      </c>
      <c r="W117" s="79">
        <f t="shared" si="30"/>
        <v>11408908.160517581</v>
      </c>
      <c r="X117" s="44">
        <f t="shared" si="31"/>
        <v>51833797.061690949</v>
      </c>
      <c r="Y117" s="44" t="s">
        <v>2765</v>
      </c>
      <c r="Z117" s="44" t="str">
        <f t="shared" si="32"/>
        <v>Yes</v>
      </c>
      <c r="AA117" s="44" t="str">
        <f t="shared" si="32"/>
        <v>Yes</v>
      </c>
      <c r="AB117" s="44" t="str">
        <f t="shared" si="33"/>
        <v>Yes</v>
      </c>
      <c r="AC117" s="80">
        <f t="shared" si="40"/>
        <v>0.78</v>
      </c>
      <c r="AD117" s="80">
        <f t="shared" si="41"/>
        <v>0.3</v>
      </c>
      <c r="AE117" s="44">
        <f t="shared" si="34"/>
        <v>71662303.052080065</v>
      </c>
      <c r="AF117" s="44">
        <f t="shared" si="34"/>
        <v>6985045.8125617839</v>
      </c>
      <c r="AG117" s="44">
        <f t="shared" si="35"/>
        <v>78647348.864641845</v>
      </c>
      <c r="AH117" s="46">
        <f>IF(Y117="No",0,IFERROR(ROUNDDOWN(INDEX('90% of ACR'!K:K,MATCH(H:H,'90% of ACR'!A:A,0))*IF(I117&gt;0,IF(O117&gt;0,$R$4*MAX(O117-V117,0),0),0)/I117,2),0))</f>
        <v>0.68</v>
      </c>
      <c r="AI117" s="80">
        <f>IF(Y117="No",0,IFERROR(ROUNDDOWN(INDEX('90% of ACR'!R:R,MATCH(H:H,'90% of ACR'!A:A,0))*IF(J117&gt;0,IF(P117&gt;0,$R$4*MAX(P117-W117,0),0),0)/J117,2),0))</f>
        <v>0.19</v>
      </c>
      <c r="AJ117" s="44">
        <f t="shared" si="36"/>
        <v>62474828.301813386</v>
      </c>
      <c r="AK117" s="44">
        <f t="shared" si="36"/>
        <v>4423862.3479557969</v>
      </c>
      <c r="AL117" s="46">
        <f t="shared" si="37"/>
        <v>1.1200000000000001</v>
      </c>
      <c r="AM117" s="46">
        <f t="shared" si="37"/>
        <v>0.67999999999999994</v>
      </c>
      <c r="AN117" s="81">
        <f>IFERROR(INDEX(FeeCalc!P:P,MATCH(C117,FeeCalc!F:F,0)),0)</f>
        <v>118732487.71146014</v>
      </c>
      <c r="AO117" s="81">
        <f>IFERROR(INDEX(FeeCalc!S:S,MATCH(C117,FeeCalc!F:F,0)),0)</f>
        <v>7329919.0991359055</v>
      </c>
      <c r="AP117" s="81">
        <f t="shared" si="38"/>
        <v>126062406.81059605</v>
      </c>
      <c r="AQ117" s="68">
        <f t="shared" si="39"/>
        <v>49612112.325123705</v>
      </c>
      <c r="AR117" s="68">
        <f>INDEX('IGT Commitment Suggestions'!H:H,MATCH(G117,'IGT Commitment Suggestions'!A:A,0))*AQ117</f>
        <v>22868614.551139615</v>
      </c>
    </row>
    <row r="118" spans="1:44" ht="25.5">
      <c r="A118" s="103" t="s">
        <v>1247</v>
      </c>
      <c r="B118" s="123" t="s">
        <v>1247</v>
      </c>
      <c r="C118" s="30" t="s">
        <v>1248</v>
      </c>
      <c r="D118" s="124" t="s">
        <v>1248</v>
      </c>
      <c r="E118" s="119" t="s">
        <v>2839</v>
      </c>
      <c r="F118" s="99" t="s">
        <v>2544</v>
      </c>
      <c r="G118" s="99" t="s">
        <v>223</v>
      </c>
      <c r="H118" s="42" t="str">
        <f t="shared" si="25"/>
        <v>Non-state-owned IMD Dallas</v>
      </c>
      <c r="I118" s="44">
        <f>INDEX(FeeCalc!M:M,MATCH(C:C,FeeCalc!F:F,0))</f>
        <v>112154.16045657291</v>
      </c>
      <c r="J118" s="44">
        <f>INDEX(FeeCalc!L:L,MATCH(C:C,FeeCalc!F:F,0))</f>
        <v>0</v>
      </c>
      <c r="K118" s="44">
        <f t="shared" si="26"/>
        <v>112154.16045657291</v>
      </c>
      <c r="L118" s="44">
        <v>44115.839999999997</v>
      </c>
      <c r="M118" s="44">
        <v>0</v>
      </c>
      <c r="N118" s="44">
        <f t="shared" si="27"/>
        <v>44115.839999999997</v>
      </c>
      <c r="O118" s="44">
        <v>39409.731048252914</v>
      </c>
      <c r="P118" s="44">
        <v>0</v>
      </c>
      <c r="Q118" s="44">
        <f t="shared" si="28"/>
        <v>39409.731048252914</v>
      </c>
      <c r="R118" s="44" t="str">
        <f t="shared" si="29"/>
        <v>Yes</v>
      </c>
      <c r="S118" s="45" t="str">
        <f t="shared" si="29"/>
        <v>No</v>
      </c>
      <c r="T118" s="46">
        <f>ROUND(INDEX(Summary!H:H,MATCH(H:H,Summary!A:A,0)),2)</f>
        <v>0.27</v>
      </c>
      <c r="U118" s="46">
        <f>ROUND(INDEX(Summary!I:I,MATCH(H:H,Summary!A:A,0)),2)</f>
        <v>0</v>
      </c>
      <c r="V118" s="79">
        <f t="shared" si="30"/>
        <v>30281.623323274685</v>
      </c>
      <c r="W118" s="79">
        <f t="shared" si="30"/>
        <v>0</v>
      </c>
      <c r="X118" s="44">
        <f t="shared" si="31"/>
        <v>30281.623323274685</v>
      </c>
      <c r="Y118" s="44" t="s">
        <v>2765</v>
      </c>
      <c r="Z118" s="44" t="str">
        <f t="shared" si="32"/>
        <v>No</v>
      </c>
      <c r="AA118" s="44" t="str">
        <f t="shared" si="32"/>
        <v>No</v>
      </c>
      <c r="AB118" s="44" t="str">
        <f t="shared" si="33"/>
        <v>Yes</v>
      </c>
      <c r="AC118" s="80">
        <f t="shared" si="40"/>
        <v>0.06</v>
      </c>
      <c r="AD118" s="80">
        <f t="shared" si="41"/>
        <v>0</v>
      </c>
      <c r="AE118" s="44">
        <f t="shared" si="34"/>
        <v>6729.2496273943743</v>
      </c>
      <c r="AF118" s="44">
        <f t="shared" si="34"/>
        <v>0</v>
      </c>
      <c r="AG118" s="44">
        <f t="shared" si="35"/>
        <v>6729.2496273943743</v>
      </c>
      <c r="AH118" s="46">
        <f>IF(Y118="No",0,IFERROR(ROUNDDOWN(INDEX('90% of ACR'!K:K,MATCH(H:H,'90% of ACR'!A:A,0))*IF(I118&gt;0,IF(O118&gt;0,$R$4*MAX(O118-V118,0),0),0)/I118,2),0))</f>
        <v>0</v>
      </c>
      <c r="AI118" s="80">
        <f>IF(Y118="No",0,IFERROR(ROUNDDOWN(INDEX('90% of ACR'!R:R,MATCH(H:H,'90% of ACR'!A:A,0))*IF(J118&gt;0,IF(P118&gt;0,$R$4*MAX(P118-W118,0),0),0)/J118,2),0))</f>
        <v>0</v>
      </c>
      <c r="AJ118" s="44">
        <f t="shared" si="36"/>
        <v>0</v>
      </c>
      <c r="AK118" s="44">
        <f t="shared" si="36"/>
        <v>0</v>
      </c>
      <c r="AL118" s="46">
        <f t="shared" si="37"/>
        <v>0.27</v>
      </c>
      <c r="AM118" s="46">
        <f t="shared" si="37"/>
        <v>0</v>
      </c>
      <c r="AN118" s="81">
        <f>IFERROR(INDEX(FeeCalc!P:P,MATCH(C118,FeeCalc!F:F,0)),0)</f>
        <v>30281.623323274685</v>
      </c>
      <c r="AO118" s="81">
        <f>IFERROR(INDEX(FeeCalc!S:S,MATCH(C118,FeeCalc!F:F,0)),0)</f>
        <v>1847.4199905446096</v>
      </c>
      <c r="AP118" s="81">
        <f t="shared" si="38"/>
        <v>32129.043313819297</v>
      </c>
      <c r="AQ118" s="68">
        <f t="shared" si="39"/>
        <v>12644.449254240211</v>
      </c>
      <c r="AR118" s="68">
        <f>INDEX('IGT Commitment Suggestions'!H:H,MATCH(G118,'IGT Commitment Suggestions'!A:A,0))*AQ118</f>
        <v>5782.733173643388</v>
      </c>
    </row>
    <row r="119" spans="1:44" ht="25.5">
      <c r="A119" s="103" t="s">
        <v>1300</v>
      </c>
      <c r="B119" s="123" t="s">
        <v>1300</v>
      </c>
      <c r="C119" s="30" t="s">
        <v>1301</v>
      </c>
      <c r="D119" s="124" t="s">
        <v>1301</v>
      </c>
      <c r="E119" s="119" t="s">
        <v>2840</v>
      </c>
      <c r="F119" s="99" t="s">
        <v>2544</v>
      </c>
      <c r="G119" s="99" t="s">
        <v>227</v>
      </c>
      <c r="H119" s="42" t="str">
        <f t="shared" si="25"/>
        <v>Non-state-owned IMD MRSA West</v>
      </c>
      <c r="I119" s="44">
        <f>INDEX(FeeCalc!M:M,MATCH(C:C,FeeCalc!F:F,0))</f>
        <v>1792397.0147086103</v>
      </c>
      <c r="J119" s="44">
        <f>INDEX(FeeCalc!L:L,MATCH(C:C,FeeCalc!F:F,0))</f>
        <v>0</v>
      </c>
      <c r="K119" s="44">
        <f t="shared" si="26"/>
        <v>1792397.0147086103</v>
      </c>
      <c r="L119" s="44">
        <v>212780.56</v>
      </c>
      <c r="M119" s="44">
        <v>0</v>
      </c>
      <c r="N119" s="44">
        <f t="shared" si="27"/>
        <v>212780.56</v>
      </c>
      <c r="O119" s="44">
        <v>259562.33472250949</v>
      </c>
      <c r="P119" s="44">
        <v>0</v>
      </c>
      <c r="Q119" s="44">
        <f t="shared" si="28"/>
        <v>259562.33472250949</v>
      </c>
      <c r="R119" s="44" t="str">
        <f t="shared" si="29"/>
        <v>Yes</v>
      </c>
      <c r="S119" s="45" t="str">
        <f t="shared" si="29"/>
        <v>No</v>
      </c>
      <c r="T119" s="46">
        <f>ROUND(INDEX(Summary!H:H,MATCH(H:H,Summary!A:A,0)),2)</f>
        <v>0.17</v>
      </c>
      <c r="U119" s="46">
        <f>ROUND(INDEX(Summary!I:I,MATCH(H:H,Summary!A:A,0)),2)</f>
        <v>0</v>
      </c>
      <c r="V119" s="79">
        <f t="shared" si="30"/>
        <v>304707.49250046379</v>
      </c>
      <c r="W119" s="79">
        <f t="shared" si="30"/>
        <v>0</v>
      </c>
      <c r="X119" s="44">
        <f t="shared" si="31"/>
        <v>304707.49250046379</v>
      </c>
      <c r="Y119" s="44" t="s">
        <v>2765</v>
      </c>
      <c r="Z119" s="44" t="str">
        <f t="shared" si="32"/>
        <v>No</v>
      </c>
      <c r="AA119" s="44" t="str">
        <f t="shared" si="32"/>
        <v>No</v>
      </c>
      <c r="AB119" s="44" t="str">
        <f t="shared" si="33"/>
        <v>No</v>
      </c>
      <c r="AC119" s="80">
        <f t="shared" si="40"/>
        <v>0</v>
      </c>
      <c r="AD119" s="80">
        <f t="shared" si="41"/>
        <v>0</v>
      </c>
      <c r="AE119" s="44">
        <f t="shared" si="34"/>
        <v>0</v>
      </c>
      <c r="AF119" s="44">
        <f t="shared" si="34"/>
        <v>0</v>
      </c>
      <c r="AG119" s="44">
        <f t="shared" si="35"/>
        <v>0</v>
      </c>
      <c r="AH119" s="46">
        <f>IF(Y119="No",0,IFERROR(ROUNDDOWN(INDEX('90% of ACR'!K:K,MATCH(H:H,'90% of ACR'!A:A,0))*IF(I119&gt;0,IF(O119&gt;0,$R$4*MAX(O119-V119,0),0),0)/I119,2),0))</f>
        <v>0</v>
      </c>
      <c r="AI119" s="80">
        <f>IF(Y119="No",0,IFERROR(ROUNDDOWN(INDEX('90% of ACR'!R:R,MATCH(H:H,'90% of ACR'!A:A,0))*IF(J119&gt;0,IF(P119&gt;0,$R$4*MAX(P119-W119,0),0),0)/J119,2),0))</f>
        <v>0</v>
      </c>
      <c r="AJ119" s="44">
        <f t="shared" si="36"/>
        <v>0</v>
      </c>
      <c r="AK119" s="44">
        <f t="shared" si="36"/>
        <v>0</v>
      </c>
      <c r="AL119" s="46">
        <f t="shared" si="37"/>
        <v>0.17</v>
      </c>
      <c r="AM119" s="46">
        <f t="shared" si="37"/>
        <v>0</v>
      </c>
      <c r="AN119" s="81">
        <f>IFERROR(INDEX(FeeCalc!P:P,MATCH(C119,FeeCalc!F:F,0)),0)</f>
        <v>304707.49250046379</v>
      </c>
      <c r="AO119" s="81">
        <f>IFERROR(INDEX(FeeCalc!S:S,MATCH(C119,FeeCalc!F:F,0)),0)</f>
        <v>18589.581770585322</v>
      </c>
      <c r="AP119" s="81">
        <f t="shared" si="38"/>
        <v>323297.07427104912</v>
      </c>
      <c r="AQ119" s="68">
        <f t="shared" si="39"/>
        <v>127234.21017351992</v>
      </c>
      <c r="AR119" s="68">
        <f>INDEX('IGT Commitment Suggestions'!H:H,MATCH(G119,'IGT Commitment Suggestions'!A:A,0))*AQ119</f>
        <v>62352.861531729286</v>
      </c>
    </row>
    <row r="120" spans="1:44" ht="25.5">
      <c r="A120" s="103" t="s">
        <v>1262</v>
      </c>
      <c r="B120" s="123" t="s">
        <v>1262</v>
      </c>
      <c r="C120" s="30" t="s">
        <v>1263</v>
      </c>
      <c r="D120" s="124" t="s">
        <v>1263</v>
      </c>
      <c r="E120" s="119" t="s">
        <v>2583</v>
      </c>
      <c r="F120" s="99" t="s">
        <v>2544</v>
      </c>
      <c r="G120" s="99" t="s">
        <v>1202</v>
      </c>
      <c r="H120" s="42" t="str">
        <f t="shared" si="25"/>
        <v>Non-state-owned IMD Travis</v>
      </c>
      <c r="I120" s="44">
        <f>INDEX(FeeCalc!M:M,MATCH(C:C,FeeCalc!F:F,0))</f>
        <v>48518.781870927065</v>
      </c>
      <c r="J120" s="44">
        <f>INDEX(FeeCalc!L:L,MATCH(C:C,FeeCalc!F:F,0))</f>
        <v>0</v>
      </c>
      <c r="K120" s="44">
        <f t="shared" si="26"/>
        <v>48518.781870927065</v>
      </c>
      <c r="L120" s="44">
        <v>46946.25</v>
      </c>
      <c r="M120" s="44">
        <v>0</v>
      </c>
      <c r="N120" s="44">
        <f t="shared" si="27"/>
        <v>46946.25</v>
      </c>
      <c r="O120" s="44">
        <v>49587.761195323488</v>
      </c>
      <c r="P120" s="44">
        <v>0</v>
      </c>
      <c r="Q120" s="44">
        <f t="shared" si="28"/>
        <v>49587.761195323488</v>
      </c>
      <c r="R120" s="44" t="str">
        <f t="shared" si="29"/>
        <v>Yes</v>
      </c>
      <c r="S120" s="45" t="str">
        <f t="shared" si="29"/>
        <v>No</v>
      </c>
      <c r="T120" s="46">
        <f>ROUND(INDEX(Summary!H:H,MATCH(H:H,Summary!A:A,0)),2)</f>
        <v>0.28999999999999998</v>
      </c>
      <c r="U120" s="46">
        <f>ROUND(INDEX(Summary!I:I,MATCH(H:H,Summary!A:A,0)),2)</f>
        <v>0</v>
      </c>
      <c r="V120" s="79">
        <f t="shared" si="30"/>
        <v>14070.446742568847</v>
      </c>
      <c r="W120" s="79">
        <f t="shared" si="30"/>
        <v>0</v>
      </c>
      <c r="X120" s="44">
        <f t="shared" si="31"/>
        <v>14070.446742568847</v>
      </c>
      <c r="Y120" s="44" t="s">
        <v>2765</v>
      </c>
      <c r="Z120" s="44" t="str">
        <f t="shared" si="32"/>
        <v>No</v>
      </c>
      <c r="AA120" s="44" t="str">
        <f t="shared" si="32"/>
        <v>No</v>
      </c>
      <c r="AB120" s="44" t="str">
        <f t="shared" si="33"/>
        <v>Yes</v>
      </c>
      <c r="AC120" s="80">
        <f t="shared" si="40"/>
        <v>0.51</v>
      </c>
      <c r="AD120" s="80">
        <f t="shared" si="41"/>
        <v>0</v>
      </c>
      <c r="AE120" s="44">
        <f t="shared" si="34"/>
        <v>24744.578754172802</v>
      </c>
      <c r="AF120" s="44">
        <f t="shared" si="34"/>
        <v>0</v>
      </c>
      <c r="AG120" s="44">
        <f t="shared" si="35"/>
        <v>24744.578754172802</v>
      </c>
      <c r="AH120" s="46">
        <f>IF(Y120="No",0,IFERROR(ROUNDDOWN(INDEX('90% of ACR'!K:K,MATCH(H:H,'90% of ACR'!A:A,0))*IF(I120&gt;0,IF(O120&gt;0,$R$4*MAX(O120-V120,0),0),0)/I120,2),0))</f>
        <v>0</v>
      </c>
      <c r="AI120" s="80">
        <f>IF(Y120="No",0,IFERROR(ROUNDDOWN(INDEX('90% of ACR'!R:R,MATCH(H:H,'90% of ACR'!A:A,0))*IF(J120&gt;0,IF(P120&gt;0,$R$4*MAX(P120-W120,0),0),0)/J120,2),0))</f>
        <v>0</v>
      </c>
      <c r="AJ120" s="44">
        <f t="shared" si="36"/>
        <v>0</v>
      </c>
      <c r="AK120" s="44">
        <f t="shared" si="36"/>
        <v>0</v>
      </c>
      <c r="AL120" s="46">
        <f t="shared" si="37"/>
        <v>0.28999999999999998</v>
      </c>
      <c r="AM120" s="46">
        <f t="shared" si="37"/>
        <v>0</v>
      </c>
      <c r="AN120" s="81">
        <f>IFERROR(INDEX(FeeCalc!P:P,MATCH(C120,FeeCalc!F:F,0)),0)</f>
        <v>14070.446742568847</v>
      </c>
      <c r="AO120" s="81">
        <f>IFERROR(INDEX(FeeCalc!S:S,MATCH(C120,FeeCalc!F:F,0)),0)</f>
        <v>858.40921771640194</v>
      </c>
      <c r="AP120" s="81">
        <f t="shared" si="38"/>
        <v>14928.855960285249</v>
      </c>
      <c r="AQ120" s="68">
        <f t="shared" si="39"/>
        <v>5875.2811208821804</v>
      </c>
      <c r="AR120" s="68">
        <f>INDEX('IGT Commitment Suggestions'!H:H,MATCH(G120,'IGT Commitment Suggestions'!A:A,0))*AQ120</f>
        <v>2699.5395752452018</v>
      </c>
    </row>
    <row r="121" spans="1:44" ht="25.5">
      <c r="A121" s="103" t="s">
        <v>1231</v>
      </c>
      <c r="B121" s="123" t="s">
        <v>1231</v>
      </c>
      <c r="C121" s="30" t="s">
        <v>1232</v>
      </c>
      <c r="D121" s="124" t="s">
        <v>1232</v>
      </c>
      <c r="E121" s="119" t="s">
        <v>2841</v>
      </c>
      <c r="F121" s="99" t="s">
        <v>2544</v>
      </c>
      <c r="G121" s="99" t="s">
        <v>300</v>
      </c>
      <c r="H121" s="42" t="str">
        <f t="shared" si="25"/>
        <v>Non-state-owned IMD Harris</v>
      </c>
      <c r="I121" s="44">
        <f>INDEX(FeeCalc!M:M,MATCH(C:C,FeeCalc!F:F,0))</f>
        <v>4457822.2708174214</v>
      </c>
      <c r="J121" s="44">
        <f>INDEX(FeeCalc!L:L,MATCH(C:C,FeeCalc!F:F,0))</f>
        <v>0</v>
      </c>
      <c r="K121" s="44">
        <f t="shared" si="26"/>
        <v>4457822.2708174214</v>
      </c>
      <c r="L121" s="44">
        <v>796374.15</v>
      </c>
      <c r="M121" s="44">
        <v>0</v>
      </c>
      <c r="N121" s="44">
        <f t="shared" si="27"/>
        <v>796374.15</v>
      </c>
      <c r="O121" s="44">
        <v>748061.38623180147</v>
      </c>
      <c r="P121" s="44">
        <v>0</v>
      </c>
      <c r="Q121" s="44">
        <f t="shared" si="28"/>
        <v>748061.38623180147</v>
      </c>
      <c r="R121" s="44" t="str">
        <f t="shared" si="29"/>
        <v>Yes</v>
      </c>
      <c r="S121" s="45" t="str">
        <f t="shared" si="29"/>
        <v>No</v>
      </c>
      <c r="T121" s="46">
        <f>ROUND(INDEX(Summary!H:H,MATCH(H:H,Summary!A:A,0)),2)</f>
        <v>0.24</v>
      </c>
      <c r="U121" s="46">
        <f>ROUND(INDEX(Summary!I:I,MATCH(H:H,Summary!A:A,0)),2)</f>
        <v>0</v>
      </c>
      <c r="V121" s="79">
        <f t="shared" si="30"/>
        <v>1069877.3449961811</v>
      </c>
      <c r="W121" s="79">
        <f t="shared" si="30"/>
        <v>0</v>
      </c>
      <c r="X121" s="44">
        <f t="shared" si="31"/>
        <v>1069877.3449961811</v>
      </c>
      <c r="Y121" s="44" t="s">
        <v>2765</v>
      </c>
      <c r="Z121" s="44" t="str">
        <f t="shared" si="32"/>
        <v>No</v>
      </c>
      <c r="AA121" s="44" t="str">
        <f t="shared" si="32"/>
        <v>No</v>
      </c>
      <c r="AB121" s="44" t="str">
        <f t="shared" si="33"/>
        <v>No</v>
      </c>
      <c r="AC121" s="80">
        <f t="shared" si="40"/>
        <v>0</v>
      </c>
      <c r="AD121" s="80">
        <f t="shared" si="41"/>
        <v>0</v>
      </c>
      <c r="AE121" s="44">
        <f t="shared" si="34"/>
        <v>0</v>
      </c>
      <c r="AF121" s="44">
        <f t="shared" si="34"/>
        <v>0</v>
      </c>
      <c r="AG121" s="44">
        <f t="shared" si="35"/>
        <v>0</v>
      </c>
      <c r="AH121" s="46">
        <f>IF(Y121="No",0,IFERROR(ROUNDDOWN(INDEX('90% of ACR'!K:K,MATCH(H:H,'90% of ACR'!A:A,0))*IF(I121&gt;0,IF(O121&gt;0,$R$4*MAX(O121-V121,0),0),0)/I121,2),0))</f>
        <v>0</v>
      </c>
      <c r="AI121" s="80">
        <f>IF(Y121="No",0,IFERROR(ROUNDDOWN(INDEX('90% of ACR'!R:R,MATCH(H:H,'90% of ACR'!A:A,0))*IF(J121&gt;0,IF(P121&gt;0,$R$4*MAX(P121-W121,0),0),0)/J121,2),0))</f>
        <v>0</v>
      </c>
      <c r="AJ121" s="44">
        <f t="shared" si="36"/>
        <v>0</v>
      </c>
      <c r="AK121" s="44">
        <f t="shared" si="36"/>
        <v>0</v>
      </c>
      <c r="AL121" s="46">
        <f t="shared" si="37"/>
        <v>0.24</v>
      </c>
      <c r="AM121" s="46">
        <f t="shared" si="37"/>
        <v>0</v>
      </c>
      <c r="AN121" s="81">
        <f>IFERROR(INDEX(FeeCalc!P:P,MATCH(C121,FeeCalc!F:F,0)),0)</f>
        <v>1069877.3449961811</v>
      </c>
      <c r="AO121" s="81">
        <f>IFERROR(INDEX(FeeCalc!S:S,MATCH(C121,FeeCalc!F:F,0)),0)</f>
        <v>65271.03165759195</v>
      </c>
      <c r="AP121" s="81">
        <f t="shared" si="38"/>
        <v>1135148.376653773</v>
      </c>
      <c r="AQ121" s="68">
        <f t="shared" si="39"/>
        <v>446739.91392884572</v>
      </c>
      <c r="AR121" s="68">
        <f>INDEX('IGT Commitment Suggestions'!H:H,MATCH(G121,'IGT Commitment Suggestions'!A:A,0))*AQ121</f>
        <v>204961.51540959952</v>
      </c>
    </row>
    <row r="122" spans="1:44" ht="25.5">
      <c r="A122" s="103" t="s">
        <v>1256</v>
      </c>
      <c r="B122" s="123" t="s">
        <v>1256</v>
      </c>
      <c r="C122" s="30" t="s">
        <v>1257</v>
      </c>
      <c r="D122" s="124" t="s">
        <v>1257</v>
      </c>
      <c r="E122" s="119" t="s">
        <v>2586</v>
      </c>
      <c r="F122" s="99" t="s">
        <v>2544</v>
      </c>
      <c r="G122" s="99" t="s">
        <v>223</v>
      </c>
      <c r="H122" s="42" t="str">
        <f t="shared" si="25"/>
        <v>Non-state-owned IMD Dallas</v>
      </c>
      <c r="I122" s="44">
        <f>INDEX(FeeCalc!M:M,MATCH(C:C,FeeCalc!F:F,0))</f>
        <v>1863300.1856801799</v>
      </c>
      <c r="J122" s="44">
        <f>INDEX(FeeCalc!L:L,MATCH(C:C,FeeCalc!F:F,0))</f>
        <v>0</v>
      </c>
      <c r="K122" s="44">
        <f t="shared" si="26"/>
        <v>1863300.1856801799</v>
      </c>
      <c r="L122" s="44">
        <v>764656.8</v>
      </c>
      <c r="M122" s="44">
        <v>0</v>
      </c>
      <c r="N122" s="44">
        <f t="shared" si="27"/>
        <v>764656.8</v>
      </c>
      <c r="O122" s="44">
        <v>686803.55626963358</v>
      </c>
      <c r="P122" s="44">
        <v>0</v>
      </c>
      <c r="Q122" s="44">
        <f t="shared" si="28"/>
        <v>686803.55626963358</v>
      </c>
      <c r="R122" s="44" t="str">
        <f t="shared" si="29"/>
        <v>Yes</v>
      </c>
      <c r="S122" s="45" t="str">
        <f t="shared" si="29"/>
        <v>No</v>
      </c>
      <c r="T122" s="46">
        <f>ROUND(INDEX(Summary!H:H,MATCH(H:H,Summary!A:A,0)),2)</f>
        <v>0.27</v>
      </c>
      <c r="U122" s="46">
        <f>ROUND(INDEX(Summary!I:I,MATCH(H:H,Summary!A:A,0)),2)</f>
        <v>0</v>
      </c>
      <c r="V122" s="79">
        <f t="shared" si="30"/>
        <v>503091.05013364862</v>
      </c>
      <c r="W122" s="79">
        <f t="shared" si="30"/>
        <v>0</v>
      </c>
      <c r="X122" s="44">
        <f t="shared" si="31"/>
        <v>503091.05013364862</v>
      </c>
      <c r="Y122" s="44" t="s">
        <v>2765</v>
      </c>
      <c r="Z122" s="44" t="str">
        <f t="shared" si="32"/>
        <v>No</v>
      </c>
      <c r="AA122" s="44" t="str">
        <f t="shared" si="32"/>
        <v>No</v>
      </c>
      <c r="AB122" s="44" t="str">
        <f t="shared" si="33"/>
        <v>Yes</v>
      </c>
      <c r="AC122" s="80">
        <f t="shared" si="40"/>
        <v>7.0000000000000007E-2</v>
      </c>
      <c r="AD122" s="80">
        <f t="shared" si="41"/>
        <v>0</v>
      </c>
      <c r="AE122" s="44">
        <f t="shared" si="34"/>
        <v>130431.0129976126</v>
      </c>
      <c r="AF122" s="44">
        <f t="shared" si="34"/>
        <v>0</v>
      </c>
      <c r="AG122" s="44">
        <f t="shared" si="35"/>
        <v>130431.0129976126</v>
      </c>
      <c r="AH122" s="46">
        <f>IF(Y122="No",0,IFERROR(ROUNDDOWN(INDEX('90% of ACR'!K:K,MATCH(H:H,'90% of ACR'!A:A,0))*IF(I122&gt;0,IF(O122&gt;0,$R$4*MAX(O122-V122,0),0),0)/I122,2),0))</f>
        <v>0</v>
      </c>
      <c r="AI122" s="80">
        <f>IF(Y122="No",0,IFERROR(ROUNDDOWN(INDEX('90% of ACR'!R:R,MATCH(H:H,'90% of ACR'!A:A,0))*IF(J122&gt;0,IF(P122&gt;0,$R$4*MAX(P122-W122,0),0),0)/J122,2),0))</f>
        <v>0</v>
      </c>
      <c r="AJ122" s="44">
        <f t="shared" si="36"/>
        <v>0</v>
      </c>
      <c r="AK122" s="44">
        <f t="shared" si="36"/>
        <v>0</v>
      </c>
      <c r="AL122" s="46">
        <f t="shared" si="37"/>
        <v>0.27</v>
      </c>
      <c r="AM122" s="46">
        <f t="shared" si="37"/>
        <v>0</v>
      </c>
      <c r="AN122" s="81">
        <f>IFERROR(INDEX(FeeCalc!P:P,MATCH(C122,FeeCalc!F:F,0)),0)</f>
        <v>503091.05013364862</v>
      </c>
      <c r="AO122" s="81">
        <f>IFERROR(INDEX(FeeCalc!S:S,MATCH(C122,FeeCalc!F:F,0)),0)</f>
        <v>30692.557435209335</v>
      </c>
      <c r="AP122" s="81">
        <f t="shared" si="38"/>
        <v>533783.60756885796</v>
      </c>
      <c r="AQ122" s="68">
        <f t="shared" si="39"/>
        <v>210071.60632593921</v>
      </c>
      <c r="AR122" s="68">
        <f>INDEX('IGT Commitment Suggestions'!H:H,MATCH(G122,'IGT Commitment Suggestions'!A:A,0))*AQ122</f>
        <v>96072.831826518173</v>
      </c>
    </row>
    <row r="123" spans="1:44" ht="25.5">
      <c r="A123" s="103" t="s">
        <v>1312</v>
      </c>
      <c r="B123" s="123" t="s">
        <v>1312</v>
      </c>
      <c r="C123" s="30" t="s">
        <v>1313</v>
      </c>
      <c r="D123" s="124" t="s">
        <v>1313</v>
      </c>
      <c r="E123" s="119" t="s">
        <v>2842</v>
      </c>
      <c r="F123" s="99" t="s">
        <v>2544</v>
      </c>
      <c r="G123" s="99" t="s">
        <v>300</v>
      </c>
      <c r="H123" s="42" t="str">
        <f t="shared" si="25"/>
        <v>Non-state-owned IMD Harris</v>
      </c>
      <c r="I123" s="44">
        <f>INDEX(FeeCalc!M:M,MATCH(C:C,FeeCalc!F:F,0))</f>
        <v>4944657.8367703017</v>
      </c>
      <c r="J123" s="44">
        <f>INDEX(FeeCalc!L:L,MATCH(C:C,FeeCalc!F:F,0))</f>
        <v>0</v>
      </c>
      <c r="K123" s="44">
        <f t="shared" si="26"/>
        <v>4944657.8367703017</v>
      </c>
      <c r="L123" s="44">
        <v>1007694.1</v>
      </c>
      <c r="M123" s="44">
        <v>0</v>
      </c>
      <c r="N123" s="44">
        <f t="shared" si="27"/>
        <v>1007694.1</v>
      </c>
      <c r="O123" s="44">
        <v>1162761.817426817</v>
      </c>
      <c r="P123" s="44">
        <v>0</v>
      </c>
      <c r="Q123" s="44">
        <f t="shared" si="28"/>
        <v>1162761.817426817</v>
      </c>
      <c r="R123" s="44" t="str">
        <f t="shared" si="29"/>
        <v>Yes</v>
      </c>
      <c r="S123" s="45" t="str">
        <f t="shared" si="29"/>
        <v>No</v>
      </c>
      <c r="T123" s="46">
        <f>ROUND(INDEX(Summary!H:H,MATCH(H:H,Summary!A:A,0)),2)</f>
        <v>0.24</v>
      </c>
      <c r="U123" s="46">
        <f>ROUND(INDEX(Summary!I:I,MATCH(H:H,Summary!A:A,0)),2)</f>
        <v>0</v>
      </c>
      <c r="V123" s="79">
        <f t="shared" si="30"/>
        <v>1186717.8808248723</v>
      </c>
      <c r="W123" s="79">
        <f t="shared" si="30"/>
        <v>0</v>
      </c>
      <c r="X123" s="44">
        <f t="shared" si="31"/>
        <v>1186717.8808248723</v>
      </c>
      <c r="Y123" s="44" t="s">
        <v>2765</v>
      </c>
      <c r="Z123" s="44" t="str">
        <f t="shared" si="32"/>
        <v>No</v>
      </c>
      <c r="AA123" s="44" t="str">
        <f t="shared" si="32"/>
        <v>No</v>
      </c>
      <c r="AB123" s="44" t="str">
        <f t="shared" si="33"/>
        <v>No</v>
      </c>
      <c r="AC123" s="80">
        <f t="shared" si="40"/>
        <v>0</v>
      </c>
      <c r="AD123" s="80">
        <f t="shared" si="41"/>
        <v>0</v>
      </c>
      <c r="AE123" s="44">
        <f t="shared" si="34"/>
        <v>0</v>
      </c>
      <c r="AF123" s="44">
        <f t="shared" si="34"/>
        <v>0</v>
      </c>
      <c r="AG123" s="44">
        <f t="shared" si="35"/>
        <v>0</v>
      </c>
      <c r="AH123" s="46">
        <f>IF(Y123="No",0,IFERROR(ROUNDDOWN(INDEX('90% of ACR'!K:K,MATCH(H:H,'90% of ACR'!A:A,0))*IF(I123&gt;0,IF(O123&gt;0,$R$4*MAX(O123-V123,0),0),0)/I123,2),0))</f>
        <v>0</v>
      </c>
      <c r="AI123" s="80">
        <f>IF(Y123="No",0,IFERROR(ROUNDDOWN(INDEX('90% of ACR'!R:R,MATCH(H:H,'90% of ACR'!A:A,0))*IF(J123&gt;0,IF(P123&gt;0,$R$4*MAX(P123-W123,0),0),0)/J123,2),0))</f>
        <v>0</v>
      </c>
      <c r="AJ123" s="44">
        <f t="shared" si="36"/>
        <v>0</v>
      </c>
      <c r="AK123" s="44">
        <f t="shared" si="36"/>
        <v>0</v>
      </c>
      <c r="AL123" s="46">
        <f t="shared" si="37"/>
        <v>0.24</v>
      </c>
      <c r="AM123" s="46">
        <f t="shared" si="37"/>
        <v>0</v>
      </c>
      <c r="AN123" s="81">
        <f>IFERROR(INDEX(FeeCalc!P:P,MATCH(C123,FeeCalc!F:F,0)),0)</f>
        <v>1186717.8808248723</v>
      </c>
      <c r="AO123" s="81">
        <f>IFERROR(INDEX(FeeCalc!S:S,MATCH(C123,FeeCalc!F:F,0)),0)</f>
        <v>72399.234108679215</v>
      </c>
      <c r="AP123" s="81">
        <f t="shared" si="38"/>
        <v>1259117.1149335515</v>
      </c>
      <c r="AQ123" s="68">
        <f t="shared" si="39"/>
        <v>495528.05881632911</v>
      </c>
      <c r="AR123" s="68">
        <f>INDEX('IGT Commitment Suggestions'!H:H,MATCH(G123,'IGT Commitment Suggestions'!A:A,0))*AQ123</f>
        <v>227345.21518296338</v>
      </c>
    </row>
    <row r="124" spans="1:44" ht="25.5">
      <c r="A124" s="103" t="s">
        <v>1339</v>
      </c>
      <c r="B124" s="123" t="s">
        <v>1339</v>
      </c>
      <c r="C124" s="30" t="s">
        <v>1340</v>
      </c>
      <c r="D124" s="124" t="s">
        <v>1340</v>
      </c>
      <c r="E124" s="119" t="s">
        <v>2843</v>
      </c>
      <c r="F124" s="99" t="s">
        <v>2544</v>
      </c>
      <c r="G124" s="99" t="s">
        <v>487</v>
      </c>
      <c r="H124" s="42" t="str">
        <f t="shared" si="25"/>
        <v>Non-state-owned IMD Bexar</v>
      </c>
      <c r="I124" s="44">
        <f>INDEX(FeeCalc!M:M,MATCH(C:C,FeeCalc!F:F,0))</f>
        <v>4458940.906364847</v>
      </c>
      <c r="J124" s="44">
        <f>INDEX(FeeCalc!L:L,MATCH(C:C,FeeCalc!F:F,0))</f>
        <v>0</v>
      </c>
      <c r="K124" s="44">
        <f t="shared" si="26"/>
        <v>4458940.906364847</v>
      </c>
      <c r="L124" s="44">
        <v>1131970.72</v>
      </c>
      <c r="M124" s="44">
        <v>0</v>
      </c>
      <c r="N124" s="44">
        <f t="shared" si="27"/>
        <v>1131970.72</v>
      </c>
      <c r="O124" s="44">
        <v>1022708.3496157685</v>
      </c>
      <c r="P124" s="44">
        <v>0</v>
      </c>
      <c r="Q124" s="44">
        <f t="shared" si="28"/>
        <v>1022708.3496157685</v>
      </c>
      <c r="R124" s="44" t="str">
        <f t="shared" si="29"/>
        <v>Yes</v>
      </c>
      <c r="S124" s="45" t="str">
        <f t="shared" si="29"/>
        <v>No</v>
      </c>
      <c r="T124" s="46">
        <f>ROUND(INDEX(Summary!H:H,MATCH(H:H,Summary!A:A,0)),2)</f>
        <v>7.0000000000000007E-2</v>
      </c>
      <c r="U124" s="46">
        <f>ROUND(INDEX(Summary!I:I,MATCH(H:H,Summary!A:A,0)),2)</f>
        <v>0</v>
      </c>
      <c r="V124" s="79">
        <f t="shared" si="30"/>
        <v>312125.86344553932</v>
      </c>
      <c r="W124" s="79">
        <f t="shared" si="30"/>
        <v>0</v>
      </c>
      <c r="X124" s="44">
        <f t="shared" si="31"/>
        <v>312125.86344553932</v>
      </c>
      <c r="Y124" s="44" t="s">
        <v>2765</v>
      </c>
      <c r="Z124" s="44" t="str">
        <f t="shared" si="32"/>
        <v>No</v>
      </c>
      <c r="AA124" s="44" t="str">
        <f t="shared" si="32"/>
        <v>No</v>
      </c>
      <c r="AB124" s="44" t="str">
        <f t="shared" si="33"/>
        <v>Yes</v>
      </c>
      <c r="AC124" s="80">
        <f t="shared" si="40"/>
        <v>0.11</v>
      </c>
      <c r="AD124" s="80">
        <f t="shared" si="41"/>
        <v>0</v>
      </c>
      <c r="AE124" s="44">
        <f t="shared" si="34"/>
        <v>490483.49970013316</v>
      </c>
      <c r="AF124" s="44">
        <f t="shared" si="34"/>
        <v>0</v>
      </c>
      <c r="AG124" s="44">
        <f t="shared" si="35"/>
        <v>490483.49970013316</v>
      </c>
      <c r="AH124" s="46">
        <f>IF(Y124="No",0,IFERROR(ROUNDDOWN(INDEX('90% of ACR'!K:K,MATCH(H:H,'90% of ACR'!A:A,0))*IF(I124&gt;0,IF(O124&gt;0,$R$4*MAX(O124-V124,0),0),0)/I124,2),0))</f>
        <v>0</v>
      </c>
      <c r="AI124" s="80">
        <f>IF(Y124="No",0,IFERROR(ROUNDDOWN(INDEX('90% of ACR'!R:R,MATCH(H:H,'90% of ACR'!A:A,0))*IF(J124&gt;0,IF(P124&gt;0,$R$4*MAX(P124-W124,0),0),0)/J124,2),0))</f>
        <v>0</v>
      </c>
      <c r="AJ124" s="44">
        <f t="shared" si="36"/>
        <v>0</v>
      </c>
      <c r="AK124" s="44">
        <f t="shared" si="36"/>
        <v>0</v>
      </c>
      <c r="AL124" s="46">
        <f t="shared" si="37"/>
        <v>7.0000000000000007E-2</v>
      </c>
      <c r="AM124" s="46">
        <f t="shared" si="37"/>
        <v>0</v>
      </c>
      <c r="AN124" s="81">
        <f>IFERROR(INDEX(FeeCalc!P:P,MATCH(C124,FeeCalc!F:F,0)),0)</f>
        <v>312125.86344553932</v>
      </c>
      <c r="AO124" s="81">
        <f>IFERROR(INDEX(FeeCalc!S:S,MATCH(C124,FeeCalc!F:F,0)),0)</f>
        <v>19042.161430364467</v>
      </c>
      <c r="AP124" s="81">
        <f t="shared" si="38"/>
        <v>331168.02487590379</v>
      </c>
      <c r="AQ124" s="68">
        <f t="shared" si="39"/>
        <v>130331.83852596169</v>
      </c>
      <c r="AR124" s="68">
        <f>INDEX('IGT Commitment Suggestions'!H:H,MATCH(G124,'IGT Commitment Suggestions'!A:A,0))*AQ124</f>
        <v>60076.2281488718</v>
      </c>
    </row>
    <row r="125" spans="1:44" ht="25.5">
      <c r="A125" s="103" t="s">
        <v>1274</v>
      </c>
      <c r="B125" s="123" t="s">
        <v>1274</v>
      </c>
      <c r="C125" s="30" t="s">
        <v>1275</v>
      </c>
      <c r="D125" s="124" t="s">
        <v>1275</v>
      </c>
      <c r="E125" s="119" t="s">
        <v>2844</v>
      </c>
      <c r="F125" s="99" t="s">
        <v>2544</v>
      </c>
      <c r="G125" s="99" t="s">
        <v>1365</v>
      </c>
      <c r="H125" s="42" t="str">
        <f t="shared" si="25"/>
        <v>Non-state-owned IMD Tarrant</v>
      </c>
      <c r="I125" s="44">
        <f>INDEX(FeeCalc!M:M,MATCH(C:C,FeeCalc!F:F,0))</f>
        <v>3920127.9088175599</v>
      </c>
      <c r="J125" s="44">
        <f>INDEX(FeeCalc!L:L,MATCH(C:C,FeeCalc!F:F,0))</f>
        <v>0</v>
      </c>
      <c r="K125" s="44">
        <f t="shared" si="26"/>
        <v>3920127.9088175599</v>
      </c>
      <c r="L125" s="44">
        <v>635007.36</v>
      </c>
      <c r="M125" s="44">
        <v>0</v>
      </c>
      <c r="N125" s="44">
        <f t="shared" si="27"/>
        <v>635007.36</v>
      </c>
      <c r="O125" s="44">
        <v>582509.99010901153</v>
      </c>
      <c r="P125" s="44">
        <v>0</v>
      </c>
      <c r="Q125" s="44">
        <f t="shared" si="28"/>
        <v>582509.99010901153</v>
      </c>
      <c r="R125" s="44" t="str">
        <f t="shared" si="29"/>
        <v>Yes</v>
      </c>
      <c r="S125" s="45" t="str">
        <f t="shared" si="29"/>
        <v>No</v>
      </c>
      <c r="T125" s="46">
        <f>ROUND(INDEX(Summary!H:H,MATCH(H:H,Summary!A:A,0)),2)</f>
        <v>0.22</v>
      </c>
      <c r="U125" s="46">
        <f>ROUND(INDEX(Summary!I:I,MATCH(H:H,Summary!A:A,0)),2)</f>
        <v>0</v>
      </c>
      <c r="V125" s="79">
        <f t="shared" si="30"/>
        <v>862428.13993986323</v>
      </c>
      <c r="W125" s="79">
        <f t="shared" si="30"/>
        <v>0</v>
      </c>
      <c r="X125" s="44">
        <f t="shared" si="31"/>
        <v>862428.13993986323</v>
      </c>
      <c r="Y125" s="44" t="s">
        <v>2765</v>
      </c>
      <c r="Z125" s="44" t="str">
        <f t="shared" si="32"/>
        <v>No</v>
      </c>
      <c r="AA125" s="44" t="str">
        <f t="shared" si="32"/>
        <v>No</v>
      </c>
      <c r="AB125" s="44" t="str">
        <f t="shared" si="33"/>
        <v>No</v>
      </c>
      <c r="AC125" s="80">
        <f t="shared" si="40"/>
        <v>0</v>
      </c>
      <c r="AD125" s="80">
        <f t="shared" si="41"/>
        <v>0</v>
      </c>
      <c r="AE125" s="44">
        <f t="shared" si="34"/>
        <v>0</v>
      </c>
      <c r="AF125" s="44">
        <f t="shared" si="34"/>
        <v>0</v>
      </c>
      <c r="AG125" s="44">
        <f t="shared" si="35"/>
        <v>0</v>
      </c>
      <c r="AH125" s="46">
        <f>IF(Y125="No",0,IFERROR(ROUNDDOWN(INDEX('90% of ACR'!K:K,MATCH(H:H,'90% of ACR'!A:A,0))*IF(I125&gt;0,IF(O125&gt;0,$R$4*MAX(O125-V125,0),0),0)/I125,2),0))</f>
        <v>0</v>
      </c>
      <c r="AI125" s="80">
        <f>IF(Y125="No",0,IFERROR(ROUNDDOWN(INDEX('90% of ACR'!R:R,MATCH(H:H,'90% of ACR'!A:A,0))*IF(J125&gt;0,IF(P125&gt;0,$R$4*MAX(P125-W125,0),0),0)/J125,2),0))</f>
        <v>0</v>
      </c>
      <c r="AJ125" s="44">
        <f t="shared" si="36"/>
        <v>0</v>
      </c>
      <c r="AK125" s="44">
        <f t="shared" si="36"/>
        <v>0</v>
      </c>
      <c r="AL125" s="46">
        <f t="shared" si="37"/>
        <v>0.22</v>
      </c>
      <c r="AM125" s="46">
        <f t="shared" si="37"/>
        <v>0</v>
      </c>
      <c r="AN125" s="81">
        <f>IFERROR(INDEX(FeeCalc!P:P,MATCH(C125,FeeCalc!F:F,0)),0)</f>
        <v>862428.13993986323</v>
      </c>
      <c r="AO125" s="81">
        <f>IFERROR(INDEX(FeeCalc!S:S,MATCH(C125,FeeCalc!F:F,0)),0)</f>
        <v>52614.9793597264</v>
      </c>
      <c r="AP125" s="81">
        <f t="shared" si="38"/>
        <v>915043.11929958966</v>
      </c>
      <c r="AQ125" s="68">
        <f t="shared" si="39"/>
        <v>360117.04968659213</v>
      </c>
      <c r="AR125" s="68">
        <f>INDEX('IGT Commitment Suggestions'!H:H,MATCH(G125,'IGT Commitment Suggestions'!A:A,0))*AQ125</f>
        <v>164245.9594513214</v>
      </c>
    </row>
    <row r="126" spans="1:44" ht="25.5">
      <c r="A126" s="103" t="s">
        <v>1342</v>
      </c>
      <c r="B126" s="123" t="s">
        <v>1342</v>
      </c>
      <c r="C126" s="30" t="s">
        <v>1343</v>
      </c>
      <c r="D126" s="124" t="s">
        <v>1343</v>
      </c>
      <c r="E126" s="119" t="s">
        <v>2845</v>
      </c>
      <c r="F126" s="99" t="s">
        <v>2544</v>
      </c>
      <c r="G126" s="99" t="s">
        <v>1202</v>
      </c>
      <c r="H126" s="42" t="str">
        <f t="shared" si="25"/>
        <v>Non-state-owned IMD Travis</v>
      </c>
      <c r="I126" s="44">
        <f>INDEX(FeeCalc!M:M,MATCH(C:C,FeeCalc!F:F,0))</f>
        <v>1998544.0856444507</v>
      </c>
      <c r="J126" s="44">
        <f>INDEX(FeeCalc!L:L,MATCH(C:C,FeeCalc!F:F,0))</f>
        <v>0</v>
      </c>
      <c r="K126" s="44">
        <f t="shared" si="26"/>
        <v>1998544.0856444507</v>
      </c>
      <c r="L126" s="44">
        <v>459128.16</v>
      </c>
      <c r="M126" s="44">
        <v>0</v>
      </c>
      <c r="N126" s="44">
        <f t="shared" si="27"/>
        <v>459128.16</v>
      </c>
      <c r="O126" s="44">
        <v>674241.24730700767</v>
      </c>
      <c r="P126" s="44">
        <v>0</v>
      </c>
      <c r="Q126" s="44">
        <f t="shared" si="28"/>
        <v>674241.24730700767</v>
      </c>
      <c r="R126" s="44" t="str">
        <f t="shared" si="29"/>
        <v>Yes</v>
      </c>
      <c r="S126" s="45" t="str">
        <f t="shared" si="29"/>
        <v>No</v>
      </c>
      <c r="T126" s="46">
        <f>ROUND(INDEX(Summary!H:H,MATCH(H:H,Summary!A:A,0)),2)</f>
        <v>0.28999999999999998</v>
      </c>
      <c r="U126" s="46">
        <f>ROUND(INDEX(Summary!I:I,MATCH(H:H,Summary!A:A,0)),2)</f>
        <v>0</v>
      </c>
      <c r="V126" s="79">
        <f t="shared" si="30"/>
        <v>579577.78483689064</v>
      </c>
      <c r="W126" s="79">
        <f t="shared" si="30"/>
        <v>0</v>
      </c>
      <c r="X126" s="44">
        <f t="shared" si="31"/>
        <v>579577.78483689064</v>
      </c>
      <c r="Y126" s="44" t="s">
        <v>2765</v>
      </c>
      <c r="Z126" s="44" t="str">
        <f t="shared" si="32"/>
        <v>No</v>
      </c>
      <c r="AA126" s="44" t="str">
        <f t="shared" si="32"/>
        <v>No</v>
      </c>
      <c r="AB126" s="44" t="str">
        <f t="shared" si="33"/>
        <v>Yes</v>
      </c>
      <c r="AC126" s="80">
        <f t="shared" si="40"/>
        <v>0.03</v>
      </c>
      <c r="AD126" s="80">
        <f t="shared" si="41"/>
        <v>0</v>
      </c>
      <c r="AE126" s="44">
        <f t="shared" si="34"/>
        <v>59956.322569333519</v>
      </c>
      <c r="AF126" s="44">
        <f t="shared" si="34"/>
        <v>0</v>
      </c>
      <c r="AG126" s="44">
        <f t="shared" si="35"/>
        <v>59956.322569333519</v>
      </c>
      <c r="AH126" s="46">
        <f>IF(Y126="No",0,IFERROR(ROUNDDOWN(INDEX('90% of ACR'!K:K,MATCH(H:H,'90% of ACR'!A:A,0))*IF(I126&gt;0,IF(O126&gt;0,$R$4*MAX(O126-V126,0),0),0)/I126,2),0))</f>
        <v>0</v>
      </c>
      <c r="AI126" s="80">
        <f>IF(Y126="No",0,IFERROR(ROUNDDOWN(INDEX('90% of ACR'!R:R,MATCH(H:H,'90% of ACR'!A:A,0))*IF(J126&gt;0,IF(P126&gt;0,$R$4*MAX(P126-W126,0),0),0)/J126,2),0))</f>
        <v>0</v>
      </c>
      <c r="AJ126" s="44">
        <f t="shared" si="36"/>
        <v>0</v>
      </c>
      <c r="AK126" s="44">
        <f t="shared" si="36"/>
        <v>0</v>
      </c>
      <c r="AL126" s="46">
        <f t="shared" si="37"/>
        <v>0.28999999999999998</v>
      </c>
      <c r="AM126" s="46">
        <f t="shared" si="37"/>
        <v>0</v>
      </c>
      <c r="AN126" s="81">
        <f>IFERROR(INDEX(FeeCalc!P:P,MATCH(C126,FeeCalc!F:F,0)),0)</f>
        <v>579577.78483689064</v>
      </c>
      <c r="AO126" s="81">
        <f>IFERROR(INDEX(FeeCalc!S:S,MATCH(C126,FeeCalc!F:F,0)),0)</f>
        <v>35358.856899863364</v>
      </c>
      <c r="AP126" s="81">
        <f t="shared" si="38"/>
        <v>614936.64173675398</v>
      </c>
      <c r="AQ126" s="68">
        <f t="shared" si="39"/>
        <v>242009.54522878301</v>
      </c>
      <c r="AR126" s="68">
        <f>INDEX('IGT Commitment Suggestions'!H:H,MATCH(G126,'IGT Commitment Suggestions'!A:A,0))*AQ126</f>
        <v>111197.12086799643</v>
      </c>
    </row>
    <row r="127" spans="1:44" ht="25.5">
      <c r="A127" s="103" t="s">
        <v>1218</v>
      </c>
      <c r="B127" s="123" t="s">
        <v>1218</v>
      </c>
      <c r="C127" s="30" t="s">
        <v>1219</v>
      </c>
      <c r="D127" s="124" t="s">
        <v>1219</v>
      </c>
      <c r="E127" s="119" t="s">
        <v>2846</v>
      </c>
      <c r="F127" s="99" t="s">
        <v>2544</v>
      </c>
      <c r="G127" s="99" t="s">
        <v>300</v>
      </c>
      <c r="H127" s="42" t="str">
        <f t="shared" si="25"/>
        <v>Non-state-owned IMD Harris</v>
      </c>
      <c r="I127" s="44">
        <f>INDEX(FeeCalc!M:M,MATCH(C:C,FeeCalc!F:F,0))</f>
        <v>3057266.3579157246</v>
      </c>
      <c r="J127" s="44">
        <f>INDEX(FeeCalc!L:L,MATCH(C:C,FeeCalc!F:F,0))</f>
        <v>0</v>
      </c>
      <c r="K127" s="44">
        <f t="shared" si="26"/>
        <v>3057266.3579157246</v>
      </c>
      <c r="L127" s="44">
        <v>739749.42</v>
      </c>
      <c r="M127" s="44">
        <v>0</v>
      </c>
      <c r="N127" s="44">
        <f t="shared" si="27"/>
        <v>739749.42</v>
      </c>
      <c r="O127" s="44">
        <v>680509.97232786031</v>
      </c>
      <c r="P127" s="44">
        <v>0</v>
      </c>
      <c r="Q127" s="44">
        <f t="shared" si="28"/>
        <v>680509.97232786031</v>
      </c>
      <c r="R127" s="44" t="str">
        <f t="shared" si="29"/>
        <v>Yes</v>
      </c>
      <c r="S127" s="45" t="str">
        <f t="shared" si="29"/>
        <v>No</v>
      </c>
      <c r="T127" s="46">
        <f>ROUND(INDEX(Summary!H:H,MATCH(H:H,Summary!A:A,0)),2)</f>
        <v>0.24</v>
      </c>
      <c r="U127" s="46">
        <f>ROUND(INDEX(Summary!I:I,MATCH(H:H,Summary!A:A,0)),2)</f>
        <v>0</v>
      </c>
      <c r="V127" s="79">
        <f t="shared" si="30"/>
        <v>733743.92589977384</v>
      </c>
      <c r="W127" s="79">
        <f t="shared" si="30"/>
        <v>0</v>
      </c>
      <c r="X127" s="44">
        <f t="shared" si="31"/>
        <v>733743.92589977384</v>
      </c>
      <c r="Y127" s="44" t="s">
        <v>2765</v>
      </c>
      <c r="Z127" s="44" t="str">
        <f t="shared" si="32"/>
        <v>No</v>
      </c>
      <c r="AA127" s="44" t="str">
        <f t="shared" si="32"/>
        <v>No</v>
      </c>
      <c r="AB127" s="44" t="str">
        <f t="shared" si="33"/>
        <v>No</v>
      </c>
      <c r="AC127" s="80">
        <f t="shared" si="40"/>
        <v>0</v>
      </c>
      <c r="AD127" s="80">
        <f t="shared" si="41"/>
        <v>0</v>
      </c>
      <c r="AE127" s="44">
        <f t="shared" si="34"/>
        <v>0</v>
      </c>
      <c r="AF127" s="44">
        <f t="shared" si="34"/>
        <v>0</v>
      </c>
      <c r="AG127" s="44">
        <f t="shared" si="35"/>
        <v>0</v>
      </c>
      <c r="AH127" s="46">
        <f>IF(Y127="No",0,IFERROR(ROUNDDOWN(INDEX('90% of ACR'!K:K,MATCH(H:H,'90% of ACR'!A:A,0))*IF(I127&gt;0,IF(O127&gt;0,$R$4*MAX(O127-V127,0),0),0)/I127,2),0))</f>
        <v>0</v>
      </c>
      <c r="AI127" s="80">
        <f>IF(Y127="No",0,IFERROR(ROUNDDOWN(INDEX('90% of ACR'!R:R,MATCH(H:H,'90% of ACR'!A:A,0))*IF(J127&gt;0,IF(P127&gt;0,$R$4*MAX(P127-W127,0),0),0)/J127,2),0))</f>
        <v>0</v>
      </c>
      <c r="AJ127" s="44">
        <f t="shared" si="36"/>
        <v>0</v>
      </c>
      <c r="AK127" s="44">
        <f t="shared" si="36"/>
        <v>0</v>
      </c>
      <c r="AL127" s="46">
        <f t="shared" si="37"/>
        <v>0.24</v>
      </c>
      <c r="AM127" s="46">
        <f t="shared" si="37"/>
        <v>0</v>
      </c>
      <c r="AN127" s="81">
        <f>IFERROR(INDEX(FeeCalc!P:P,MATCH(C127,FeeCalc!F:F,0)),0)</f>
        <v>733743.92589977384</v>
      </c>
      <c r="AO127" s="81">
        <f>IFERROR(INDEX(FeeCalc!S:S,MATCH(C127,FeeCalc!F:F,0)),0)</f>
        <v>44764.218290967634</v>
      </c>
      <c r="AP127" s="81">
        <f t="shared" si="38"/>
        <v>778508.14419074147</v>
      </c>
      <c r="AQ127" s="68">
        <f t="shared" si="39"/>
        <v>306383.43716255471</v>
      </c>
      <c r="AR127" s="68">
        <f>INDEX('IGT Commitment Suggestions'!H:H,MATCH(G127,'IGT Commitment Suggestions'!A:A,0))*AQ127</f>
        <v>140566.83009354063</v>
      </c>
    </row>
    <row r="128" spans="1:44">
      <c r="A128" s="103" t="s">
        <v>1362</v>
      </c>
      <c r="B128" s="123" t="s">
        <v>1362</v>
      </c>
      <c r="C128" s="30" t="s">
        <v>1363</v>
      </c>
      <c r="D128" s="124" t="s">
        <v>1363</v>
      </c>
      <c r="E128" s="119" t="s">
        <v>2847</v>
      </c>
      <c r="F128" s="99" t="s">
        <v>2283</v>
      </c>
      <c r="G128" s="99" t="s">
        <v>1365</v>
      </c>
      <c r="H128" s="42" t="str">
        <f t="shared" si="25"/>
        <v>Urban Tarrant</v>
      </c>
      <c r="I128" s="44">
        <f>INDEX(FeeCalc!M:M,MATCH(C:C,FeeCalc!F:F,0))</f>
        <v>0</v>
      </c>
      <c r="J128" s="44">
        <f>INDEX(FeeCalc!L:L,MATCH(C:C,FeeCalc!F:F,0))</f>
        <v>46987.931204469336</v>
      </c>
      <c r="K128" s="44">
        <f t="shared" si="26"/>
        <v>46987.931204469336</v>
      </c>
      <c r="L128" s="44">
        <v>145322.16</v>
      </c>
      <c r="M128" s="44">
        <v>-100042.12</v>
      </c>
      <c r="N128" s="44">
        <f t="shared" si="27"/>
        <v>45280.040000000008</v>
      </c>
      <c r="O128" s="44">
        <v>507591.7076649532</v>
      </c>
      <c r="P128" s="44">
        <v>-5300.1815782874619</v>
      </c>
      <c r="Q128" s="44">
        <f t="shared" si="28"/>
        <v>502291.52608666575</v>
      </c>
      <c r="R128" s="44" t="str">
        <f t="shared" si="29"/>
        <v>Yes</v>
      </c>
      <c r="S128" s="45" t="str">
        <f t="shared" si="29"/>
        <v>No</v>
      </c>
      <c r="T128" s="46">
        <f>ROUND(INDEX(Summary!H:H,MATCH(H:H,Summary!A:A,0)),2)</f>
        <v>0.84</v>
      </c>
      <c r="U128" s="46">
        <f>ROUND(INDEX(Summary!I:I,MATCH(H:H,Summary!A:A,0)),2)</f>
        <v>0.55000000000000004</v>
      </c>
      <c r="V128" s="79">
        <f t="shared" si="30"/>
        <v>0</v>
      </c>
      <c r="W128" s="79">
        <f t="shared" si="30"/>
        <v>25843.362162458136</v>
      </c>
      <c r="X128" s="44">
        <f t="shared" si="31"/>
        <v>25843.362162458136</v>
      </c>
      <c r="Y128" s="44" t="s">
        <v>2765</v>
      </c>
      <c r="Z128" s="44" t="str">
        <f t="shared" si="32"/>
        <v>No</v>
      </c>
      <c r="AA128" s="44" t="str">
        <f t="shared" si="32"/>
        <v>No</v>
      </c>
      <c r="AB128" s="44" t="str">
        <f t="shared" si="33"/>
        <v>No</v>
      </c>
      <c r="AC128" s="80">
        <f t="shared" si="40"/>
        <v>0</v>
      </c>
      <c r="AD128" s="80">
        <f t="shared" si="41"/>
        <v>0</v>
      </c>
      <c r="AE128" s="44">
        <f t="shared" si="34"/>
        <v>0</v>
      </c>
      <c r="AF128" s="44">
        <f t="shared" si="34"/>
        <v>0</v>
      </c>
      <c r="AG128" s="44">
        <f t="shared" si="35"/>
        <v>0</v>
      </c>
      <c r="AH128" s="46">
        <f>IF(Y128="No",0,IFERROR(ROUNDDOWN(INDEX('90% of ACR'!K:K,MATCH(H:H,'90% of ACR'!A:A,0))*IF(I128&gt;0,IF(O128&gt;0,$R$4*MAX(O128-V128,0),0),0)/I128,2),0))</f>
        <v>0</v>
      </c>
      <c r="AI128" s="80">
        <f>IF(Y128="No",0,IFERROR(ROUNDDOWN(INDEX('90% of ACR'!R:R,MATCH(H:H,'90% of ACR'!A:A,0))*IF(J128&gt;0,IF(P128&gt;0,$R$4*MAX(P128-W128,0),0),0)/J128,2),0))</f>
        <v>0</v>
      </c>
      <c r="AJ128" s="44">
        <f t="shared" si="36"/>
        <v>0</v>
      </c>
      <c r="AK128" s="44">
        <f t="shared" si="36"/>
        <v>0</v>
      </c>
      <c r="AL128" s="46">
        <f t="shared" si="37"/>
        <v>0.84</v>
      </c>
      <c r="AM128" s="46">
        <f t="shared" si="37"/>
        <v>0.55000000000000004</v>
      </c>
      <c r="AN128" s="81">
        <f>IFERROR(INDEX(FeeCalc!P:P,MATCH(C128,FeeCalc!F:F,0)),0)</f>
        <v>25843.362162458136</v>
      </c>
      <c r="AO128" s="81">
        <f>IFERROR(INDEX(FeeCalc!S:S,MATCH(C128,FeeCalc!F:F,0)),0)</f>
        <v>1639.1404623925132</v>
      </c>
      <c r="AP128" s="81">
        <f t="shared" si="38"/>
        <v>27482.502624850647</v>
      </c>
      <c r="AQ128" s="68">
        <f t="shared" si="39"/>
        <v>10815.793873015222</v>
      </c>
      <c r="AR128" s="68">
        <f>INDEX('IGT Commitment Suggestions'!H:H,MATCH(G128,'IGT Commitment Suggestions'!A:A,0))*AQ128</f>
        <v>4932.9806612798347</v>
      </c>
    </row>
    <row r="129" spans="1:44" ht="25.5">
      <c r="A129" s="103" t="s">
        <v>1345</v>
      </c>
      <c r="B129" s="123" t="s">
        <v>1345</v>
      </c>
      <c r="C129" s="30" t="s">
        <v>1346</v>
      </c>
      <c r="D129" s="124" t="s">
        <v>1346</v>
      </c>
      <c r="E129" s="119" t="s">
        <v>2848</v>
      </c>
      <c r="F129" s="99" t="s">
        <v>2544</v>
      </c>
      <c r="G129" s="99" t="s">
        <v>1365</v>
      </c>
      <c r="H129" s="42" t="str">
        <f t="shared" si="25"/>
        <v>Non-state-owned IMD Tarrant</v>
      </c>
      <c r="I129" s="44">
        <f>INDEX(FeeCalc!M:M,MATCH(C:C,FeeCalc!F:F,0))</f>
        <v>1543861.1404494434</v>
      </c>
      <c r="J129" s="44">
        <f>INDEX(FeeCalc!L:L,MATCH(C:C,FeeCalc!F:F,0))</f>
        <v>0</v>
      </c>
      <c r="K129" s="44">
        <f t="shared" si="26"/>
        <v>1543861.1404494434</v>
      </c>
      <c r="L129" s="44">
        <v>456102.72</v>
      </c>
      <c r="M129" s="44">
        <v>0</v>
      </c>
      <c r="N129" s="44">
        <f t="shared" si="27"/>
        <v>456102.72</v>
      </c>
      <c r="O129" s="44">
        <v>439485.77982342406</v>
      </c>
      <c r="P129" s="44">
        <v>0</v>
      </c>
      <c r="Q129" s="44">
        <f t="shared" si="28"/>
        <v>439485.77982342406</v>
      </c>
      <c r="R129" s="44" t="str">
        <f t="shared" si="29"/>
        <v>Yes</v>
      </c>
      <c r="S129" s="45" t="str">
        <f t="shared" si="29"/>
        <v>No</v>
      </c>
      <c r="T129" s="46">
        <f>ROUND(INDEX(Summary!H:H,MATCH(H:H,Summary!A:A,0)),2)</f>
        <v>0.22</v>
      </c>
      <c r="U129" s="46">
        <f>ROUND(INDEX(Summary!I:I,MATCH(H:H,Summary!A:A,0)),2)</f>
        <v>0</v>
      </c>
      <c r="V129" s="79">
        <f t="shared" si="30"/>
        <v>339649.45089887752</v>
      </c>
      <c r="W129" s="79">
        <f t="shared" si="30"/>
        <v>0</v>
      </c>
      <c r="X129" s="44">
        <f t="shared" si="31"/>
        <v>339649.45089887752</v>
      </c>
      <c r="Y129" s="44" t="s">
        <v>2765</v>
      </c>
      <c r="Z129" s="44" t="str">
        <f t="shared" si="32"/>
        <v>No</v>
      </c>
      <c r="AA129" s="44" t="str">
        <f t="shared" si="32"/>
        <v>No</v>
      </c>
      <c r="AB129" s="44" t="str">
        <f t="shared" si="33"/>
        <v>Yes</v>
      </c>
      <c r="AC129" s="80">
        <f t="shared" si="40"/>
        <v>0.05</v>
      </c>
      <c r="AD129" s="80">
        <f t="shared" si="41"/>
        <v>0</v>
      </c>
      <c r="AE129" s="44">
        <f t="shared" si="34"/>
        <v>77193.057022472174</v>
      </c>
      <c r="AF129" s="44">
        <f t="shared" si="34"/>
        <v>0</v>
      </c>
      <c r="AG129" s="44">
        <f t="shared" si="35"/>
        <v>77193.057022472174</v>
      </c>
      <c r="AH129" s="46">
        <f>IF(Y129="No",0,IFERROR(ROUNDDOWN(INDEX('90% of ACR'!K:K,MATCH(H:H,'90% of ACR'!A:A,0))*IF(I129&gt;0,IF(O129&gt;0,$R$4*MAX(O129-V129,0),0),0)/I129,2),0))</f>
        <v>0</v>
      </c>
      <c r="AI129" s="80">
        <f>IF(Y129="No",0,IFERROR(ROUNDDOWN(INDEX('90% of ACR'!R:R,MATCH(H:H,'90% of ACR'!A:A,0))*IF(J129&gt;0,IF(P129&gt;0,$R$4*MAX(P129-W129,0),0),0)/J129,2),0))</f>
        <v>0</v>
      </c>
      <c r="AJ129" s="44">
        <f t="shared" si="36"/>
        <v>0</v>
      </c>
      <c r="AK129" s="44">
        <f t="shared" si="36"/>
        <v>0</v>
      </c>
      <c r="AL129" s="46">
        <f t="shared" si="37"/>
        <v>0.22</v>
      </c>
      <c r="AM129" s="46">
        <f t="shared" si="37"/>
        <v>0</v>
      </c>
      <c r="AN129" s="81">
        <f>IFERROR(INDEX(FeeCalc!P:P,MATCH(C129,FeeCalc!F:F,0)),0)</f>
        <v>339649.45089887752</v>
      </c>
      <c r="AO129" s="81">
        <f>IFERROR(INDEX(FeeCalc!S:S,MATCH(C129,FeeCalc!F:F,0)),0)</f>
        <v>20721.319285607915</v>
      </c>
      <c r="AP129" s="81">
        <f t="shared" si="38"/>
        <v>360370.77018448542</v>
      </c>
      <c r="AQ129" s="68">
        <f t="shared" si="39"/>
        <v>141824.6373476446</v>
      </c>
      <c r="AR129" s="68">
        <f>INDEX('IGT Commitment Suggestions'!H:H,MATCH(G129,'IGT Commitment Suggestions'!A:A,0))*AQ129</f>
        <v>64684.867476483945</v>
      </c>
    </row>
    <row r="130" spans="1:44" ht="25.5">
      <c r="A130" s="103" t="s">
        <v>1348</v>
      </c>
      <c r="B130" s="123" t="s">
        <v>2584</v>
      </c>
      <c r="C130" s="30" t="s">
        <v>1349</v>
      </c>
      <c r="D130" s="124" t="s">
        <v>1349</v>
      </c>
      <c r="E130" s="119" t="s">
        <v>2849</v>
      </c>
      <c r="F130" s="99" t="s">
        <v>2544</v>
      </c>
      <c r="G130" s="99" t="s">
        <v>1189</v>
      </c>
      <c r="H130" s="42" t="str">
        <f t="shared" si="25"/>
        <v>Non-state-owned IMD El Paso</v>
      </c>
      <c r="I130" s="44">
        <f>INDEX(FeeCalc!M:M,MATCH(C:C,FeeCalc!F:F,0))</f>
        <v>4465997.0391841466</v>
      </c>
      <c r="J130" s="44">
        <f>INDEX(FeeCalc!L:L,MATCH(C:C,FeeCalc!F:F,0))</f>
        <v>0</v>
      </c>
      <c r="K130" s="44">
        <f t="shared" si="26"/>
        <v>4465997.0391841466</v>
      </c>
      <c r="L130" s="44">
        <v>0</v>
      </c>
      <c r="M130" s="44">
        <v>0</v>
      </c>
      <c r="N130" s="44">
        <f t="shared" si="27"/>
        <v>0</v>
      </c>
      <c r="O130" s="44">
        <v>805990.09511079593</v>
      </c>
      <c r="P130" s="44">
        <v>0</v>
      </c>
      <c r="Q130" s="44">
        <f t="shared" si="28"/>
        <v>805990.09511079593</v>
      </c>
      <c r="R130" s="44" t="str">
        <f t="shared" si="29"/>
        <v>Yes</v>
      </c>
      <c r="S130" s="45" t="str">
        <f t="shared" si="29"/>
        <v>No</v>
      </c>
      <c r="T130" s="46">
        <f>ROUND(INDEX(Summary!H:H,MATCH(H:H,Summary!A:A,0)),2)</f>
        <v>0.02</v>
      </c>
      <c r="U130" s="46">
        <f>ROUND(INDEX(Summary!I:I,MATCH(H:H,Summary!A:A,0)),2)</f>
        <v>0</v>
      </c>
      <c r="V130" s="79">
        <f t="shared" si="30"/>
        <v>89319.940783682934</v>
      </c>
      <c r="W130" s="79">
        <f t="shared" si="30"/>
        <v>0</v>
      </c>
      <c r="X130" s="44">
        <f t="shared" si="31"/>
        <v>89319.940783682934</v>
      </c>
      <c r="Y130" s="44" t="s">
        <v>2765</v>
      </c>
      <c r="Z130" s="44" t="str">
        <f t="shared" si="32"/>
        <v>Yes</v>
      </c>
      <c r="AA130" s="44" t="str">
        <f t="shared" si="32"/>
        <v>No</v>
      </c>
      <c r="AB130" s="44" t="str">
        <f t="shared" si="33"/>
        <v>Yes</v>
      </c>
      <c r="AC130" s="80">
        <f t="shared" si="40"/>
        <v>0.11</v>
      </c>
      <c r="AD130" s="80">
        <f t="shared" si="41"/>
        <v>0</v>
      </c>
      <c r="AE130" s="44">
        <f t="shared" si="34"/>
        <v>491259.67431025614</v>
      </c>
      <c r="AF130" s="44">
        <f t="shared" si="34"/>
        <v>0</v>
      </c>
      <c r="AG130" s="44">
        <f t="shared" si="35"/>
        <v>491259.67431025614</v>
      </c>
      <c r="AH130" s="46">
        <f>IF(Y130="No",0,IFERROR(ROUNDDOWN(INDEX('90% of ACR'!K:K,MATCH(H:H,'90% of ACR'!A:A,0))*IF(I130&gt;0,IF(O130&gt;0,$R$4*MAX(O130-V130,0),0),0)/I130,2),0))</f>
        <v>0.11</v>
      </c>
      <c r="AI130" s="80">
        <f>IF(Y130="No",0,IFERROR(ROUNDDOWN(INDEX('90% of ACR'!R:R,MATCH(H:H,'90% of ACR'!A:A,0))*IF(J130&gt;0,IF(P130&gt;0,$R$4*MAX(P130-W130,0),0),0)/J130,2),0))</f>
        <v>0</v>
      </c>
      <c r="AJ130" s="44">
        <f t="shared" si="36"/>
        <v>491259.67431025614</v>
      </c>
      <c r="AK130" s="44">
        <f t="shared" si="36"/>
        <v>0</v>
      </c>
      <c r="AL130" s="46">
        <f t="shared" si="37"/>
        <v>0.13</v>
      </c>
      <c r="AM130" s="46">
        <f t="shared" si="37"/>
        <v>0</v>
      </c>
      <c r="AN130" s="81">
        <f>IFERROR(INDEX(FeeCalc!P:P,MATCH(C130,FeeCalc!F:F,0)),0)</f>
        <v>580579.61509393912</v>
      </c>
      <c r="AO130" s="81">
        <f>IFERROR(INDEX(FeeCalc!S:S,MATCH(C130,FeeCalc!F:F,0)),0)</f>
        <v>35419.976517667368</v>
      </c>
      <c r="AP130" s="81">
        <f t="shared" si="38"/>
        <v>615999.59161160653</v>
      </c>
      <c r="AQ130" s="68">
        <f t="shared" si="39"/>
        <v>242427.871277931</v>
      </c>
      <c r="AR130" s="68">
        <f>INDEX('IGT Commitment Suggestions'!H:H,MATCH(G130,'IGT Commitment Suggestions'!A:A,0))*AQ130</f>
        <v>111596.08729071658</v>
      </c>
    </row>
    <row r="131" spans="1:44" ht="25.5">
      <c r="A131" s="103" t="s">
        <v>1353</v>
      </c>
      <c r="B131" s="123" t="s">
        <v>1353</v>
      </c>
      <c r="C131" s="30" t="s">
        <v>1354</v>
      </c>
      <c r="D131" s="124" t="s">
        <v>1354</v>
      </c>
      <c r="E131" s="119" t="s">
        <v>2850</v>
      </c>
      <c r="F131" s="99" t="s">
        <v>2544</v>
      </c>
      <c r="G131" s="99" t="s">
        <v>300</v>
      </c>
      <c r="H131" s="42" t="str">
        <f t="shared" si="25"/>
        <v>Non-state-owned IMD Harris</v>
      </c>
      <c r="I131" s="44">
        <f>INDEX(FeeCalc!M:M,MATCH(C:C,FeeCalc!F:F,0))</f>
        <v>5453489.5142499683</v>
      </c>
      <c r="J131" s="44">
        <f>INDEX(FeeCalc!L:L,MATCH(C:C,FeeCalc!F:F,0))</f>
        <v>0</v>
      </c>
      <c r="K131" s="44">
        <f t="shared" si="26"/>
        <v>5453489.5142499683</v>
      </c>
      <c r="L131" s="44">
        <v>981410.68</v>
      </c>
      <c r="M131" s="44">
        <v>0</v>
      </c>
      <c r="N131" s="44">
        <f t="shared" si="27"/>
        <v>981410.68</v>
      </c>
      <c r="O131" s="44">
        <v>983043.60422661435</v>
      </c>
      <c r="P131" s="44">
        <v>0</v>
      </c>
      <c r="Q131" s="44">
        <f t="shared" si="28"/>
        <v>983043.60422661435</v>
      </c>
      <c r="R131" s="44" t="str">
        <f t="shared" si="29"/>
        <v>Yes</v>
      </c>
      <c r="S131" s="45" t="str">
        <f t="shared" si="29"/>
        <v>No</v>
      </c>
      <c r="T131" s="46">
        <f>ROUND(INDEX(Summary!H:H,MATCH(H:H,Summary!A:A,0)),2)</f>
        <v>0.24</v>
      </c>
      <c r="U131" s="46">
        <f>ROUND(INDEX(Summary!I:I,MATCH(H:H,Summary!A:A,0)),2)</f>
        <v>0</v>
      </c>
      <c r="V131" s="79">
        <f t="shared" si="30"/>
        <v>1308837.4834199923</v>
      </c>
      <c r="W131" s="79">
        <f t="shared" si="30"/>
        <v>0</v>
      </c>
      <c r="X131" s="44">
        <f t="shared" si="31"/>
        <v>1308837.4834199923</v>
      </c>
      <c r="Y131" s="44" t="s">
        <v>2765</v>
      </c>
      <c r="Z131" s="44" t="str">
        <f t="shared" si="32"/>
        <v>No</v>
      </c>
      <c r="AA131" s="44" t="str">
        <f t="shared" si="32"/>
        <v>No</v>
      </c>
      <c r="AB131" s="44" t="str">
        <f t="shared" si="33"/>
        <v>No</v>
      </c>
      <c r="AC131" s="80">
        <f t="shared" si="40"/>
        <v>0</v>
      </c>
      <c r="AD131" s="80">
        <f t="shared" si="41"/>
        <v>0</v>
      </c>
      <c r="AE131" s="44">
        <f t="shared" si="34"/>
        <v>0</v>
      </c>
      <c r="AF131" s="44">
        <f t="shared" si="34"/>
        <v>0</v>
      </c>
      <c r="AG131" s="44">
        <f t="shared" si="35"/>
        <v>0</v>
      </c>
      <c r="AH131" s="46">
        <f>IF(Y131="No",0,IFERROR(ROUNDDOWN(INDEX('90% of ACR'!K:K,MATCH(H:H,'90% of ACR'!A:A,0))*IF(I131&gt;0,IF(O131&gt;0,$R$4*MAX(O131-V131,0),0),0)/I131,2),0))</f>
        <v>0</v>
      </c>
      <c r="AI131" s="80">
        <f>IF(Y131="No",0,IFERROR(ROUNDDOWN(INDEX('90% of ACR'!R:R,MATCH(H:H,'90% of ACR'!A:A,0))*IF(J131&gt;0,IF(P131&gt;0,$R$4*MAX(P131-W131,0),0),0)/J131,2),0))</f>
        <v>0</v>
      </c>
      <c r="AJ131" s="44">
        <f t="shared" si="36"/>
        <v>0</v>
      </c>
      <c r="AK131" s="44">
        <f t="shared" si="36"/>
        <v>0</v>
      </c>
      <c r="AL131" s="46">
        <f t="shared" si="37"/>
        <v>0.24</v>
      </c>
      <c r="AM131" s="46">
        <f t="shared" si="37"/>
        <v>0</v>
      </c>
      <c r="AN131" s="81">
        <f>IFERROR(INDEX(FeeCalc!P:P,MATCH(C131,FeeCalc!F:F,0)),0)</f>
        <v>1308837.4834199923</v>
      </c>
      <c r="AO131" s="81">
        <f>IFERROR(INDEX(FeeCalc!S:S,MATCH(C131,FeeCalc!F:F,0)),0)</f>
        <v>79849.50164100749</v>
      </c>
      <c r="AP131" s="81">
        <f t="shared" si="38"/>
        <v>1388686.9850609996</v>
      </c>
      <c r="AQ131" s="68">
        <f t="shared" si="39"/>
        <v>546520.54034472653</v>
      </c>
      <c r="AR131" s="68">
        <f>INDEX('IGT Commitment Suggestions'!H:H,MATCH(G131,'IGT Commitment Suggestions'!A:A,0))*AQ131</f>
        <v>250740.25100289017</v>
      </c>
    </row>
    <row r="132" spans="1:44">
      <c r="A132" s="103" t="s">
        <v>822</v>
      </c>
      <c r="B132" s="123" t="s">
        <v>822</v>
      </c>
      <c r="C132" s="30" t="s">
        <v>823</v>
      </c>
      <c r="D132" s="124" t="s">
        <v>823</v>
      </c>
      <c r="E132" s="119" t="s">
        <v>2851</v>
      </c>
      <c r="F132" s="99" t="s">
        <v>2295</v>
      </c>
      <c r="G132" s="99" t="s">
        <v>300</v>
      </c>
      <c r="H132" s="42" t="str">
        <f t="shared" ref="H132:H195" si="42">CONCATENATE(F132," ",G132)</f>
        <v>Rural Harris</v>
      </c>
      <c r="I132" s="44">
        <f>INDEX(FeeCalc!M:M,MATCH(C:C,FeeCalc!F:F,0))</f>
        <v>4186515.7460673396</v>
      </c>
      <c r="J132" s="44">
        <f>INDEX(FeeCalc!L:L,MATCH(C:C,FeeCalc!F:F,0))</f>
        <v>3055652.0206847182</v>
      </c>
      <c r="K132" s="44">
        <f t="shared" ref="K132:K195" si="43">I132+J132</f>
        <v>7242167.7667520577</v>
      </c>
      <c r="L132" s="44">
        <v>-256838.01</v>
      </c>
      <c r="M132" s="44">
        <v>1156782.56</v>
      </c>
      <c r="N132" s="44">
        <f t="shared" ref="N132:N195" si="44">+L132+M132</f>
        <v>899944.55</v>
      </c>
      <c r="O132" s="44">
        <v>-1152933.8457810858</v>
      </c>
      <c r="P132" s="44">
        <v>1452138.8741316339</v>
      </c>
      <c r="Q132" s="44">
        <f t="shared" ref="Q132:Q195" si="45">O132+P132</f>
        <v>299205.02835054812</v>
      </c>
      <c r="R132" s="44" t="str">
        <f t="shared" ref="R132:S195" si="46">IF(O132&gt;0,"Yes","No")</f>
        <v>No</v>
      </c>
      <c r="S132" s="45" t="str">
        <f t="shared" si="46"/>
        <v>Yes</v>
      </c>
      <c r="T132" s="46">
        <f>ROUND(INDEX(Summary!H:H,MATCH(H:H,Summary!A:A,0)),2)</f>
        <v>0.01</v>
      </c>
      <c r="U132" s="46">
        <f>ROUND(INDEX(Summary!I:I,MATCH(H:H,Summary!A:A,0)),2)</f>
        <v>0.3</v>
      </c>
      <c r="V132" s="79">
        <f t="shared" ref="V132:W195" si="47">+T132*I132</f>
        <v>41865.157460673399</v>
      </c>
      <c r="W132" s="79">
        <f t="shared" si="47"/>
        <v>916695.60620541545</v>
      </c>
      <c r="X132" s="44">
        <f t="shared" ref="X132:X195" si="48">+V132+W132</f>
        <v>958560.76366608881</v>
      </c>
      <c r="Y132" s="44" t="s">
        <v>2765</v>
      </c>
      <c r="Z132" s="44" t="str">
        <f t="shared" ref="Z132:AA195" si="49">IF(AJ132&gt;0,"Yes","No")</f>
        <v>No</v>
      </c>
      <c r="AA132" s="44" t="str">
        <f t="shared" si="49"/>
        <v>No</v>
      </c>
      <c r="AB132" s="44" t="str">
        <f t="shared" ref="AB132:AB195" si="50">IF(AG132&gt;0,"Yes","No")</f>
        <v>Yes</v>
      </c>
      <c r="AC132" s="80">
        <f t="shared" si="40"/>
        <v>0</v>
      </c>
      <c r="AD132" s="80">
        <f t="shared" si="41"/>
        <v>0.12</v>
      </c>
      <c r="AE132" s="44">
        <f t="shared" ref="AE132:AF195" si="51">AC132*I132</f>
        <v>0</v>
      </c>
      <c r="AF132" s="44">
        <f t="shared" si="51"/>
        <v>366678.24248216616</v>
      </c>
      <c r="AG132" s="44">
        <f t="shared" ref="AG132:AG195" si="52">AE132+AF132</f>
        <v>366678.24248216616</v>
      </c>
      <c r="AH132" s="46">
        <f>IF(Y132="No",0,IFERROR(ROUNDDOWN(INDEX('90% of ACR'!K:K,MATCH(H:H,'90% of ACR'!A:A,0))*IF(I132&gt;0,IF(O132&gt;0,$R$4*MAX(O132-V132,0),0),0)/I132,2),0))</f>
        <v>0</v>
      </c>
      <c r="AI132" s="80">
        <f>IF(Y132="No",0,IFERROR(ROUNDDOWN(INDEX('90% of ACR'!R:R,MATCH(H:H,'90% of ACR'!A:A,0))*IF(J132&gt;0,IF(P132&gt;0,$R$4*MAX(P132-W132,0),0),0)/J132,2),0))</f>
        <v>0</v>
      </c>
      <c r="AJ132" s="44">
        <f t="shared" ref="AJ132:AK195" si="53">I132*AH132</f>
        <v>0</v>
      </c>
      <c r="AK132" s="44">
        <f t="shared" si="53"/>
        <v>0</v>
      </c>
      <c r="AL132" s="46">
        <f t="shared" ref="AL132:AM195" si="54">T132+AH132</f>
        <v>0.01</v>
      </c>
      <c r="AM132" s="46">
        <f t="shared" si="54"/>
        <v>0.3</v>
      </c>
      <c r="AN132" s="81">
        <f>IFERROR(INDEX(FeeCalc!P:P,MATCH(C132,FeeCalc!F:F,0)),0)</f>
        <v>958560.76366608881</v>
      </c>
      <c r="AO132" s="81">
        <f>IFERROR(INDEX(FeeCalc!S:S,MATCH(C132,FeeCalc!F:F,0)),0)</f>
        <v>59108.431340541785</v>
      </c>
      <c r="AP132" s="81">
        <f t="shared" ref="AP132:AP195" si="55">AN132+AO132</f>
        <v>1017669.1950066306</v>
      </c>
      <c r="AQ132" s="68">
        <f t="shared" ref="AQ132:AQ195" si="56">$AQ$3*AP132*1.08</f>
        <v>400505.74703324953</v>
      </c>
      <c r="AR132" s="68">
        <f>INDEX('IGT Commitment Suggestions'!H:H,MATCH(G132,'IGT Commitment Suggestions'!A:A,0))*AQ132</f>
        <v>183749.56497677776</v>
      </c>
    </row>
    <row r="133" spans="1:44">
      <c r="A133" s="103" t="s">
        <v>76</v>
      </c>
      <c r="B133" s="123" t="s">
        <v>76</v>
      </c>
      <c r="C133" s="30" t="s">
        <v>77</v>
      </c>
      <c r="D133" s="124" t="s">
        <v>77</v>
      </c>
      <c r="E133" s="119" t="s">
        <v>2339</v>
      </c>
      <c r="F133" s="99" t="s">
        <v>2295</v>
      </c>
      <c r="G133" s="99" t="s">
        <v>1486</v>
      </c>
      <c r="H133" s="42" t="str">
        <f t="shared" si="42"/>
        <v>Rural MRSA Central</v>
      </c>
      <c r="I133" s="44">
        <f>INDEX(FeeCalc!M:M,MATCH(C:C,FeeCalc!F:F,0))</f>
        <v>1232129.0366553429</v>
      </c>
      <c r="J133" s="44">
        <f>INDEX(FeeCalc!L:L,MATCH(C:C,FeeCalc!F:F,0))</f>
        <v>715320.58150512748</v>
      </c>
      <c r="K133" s="44">
        <f t="shared" si="43"/>
        <v>1947449.6181604704</v>
      </c>
      <c r="L133" s="44">
        <v>-183827.27</v>
      </c>
      <c r="M133" s="44">
        <v>342422.67</v>
      </c>
      <c r="N133" s="44">
        <f t="shared" si="44"/>
        <v>158595.4</v>
      </c>
      <c r="O133" s="44">
        <v>-372977.48520790786</v>
      </c>
      <c r="P133" s="44">
        <v>230778.3774401593</v>
      </c>
      <c r="Q133" s="44">
        <f t="shared" si="45"/>
        <v>-142199.10776774856</v>
      </c>
      <c r="R133" s="44" t="str">
        <f t="shared" si="46"/>
        <v>No</v>
      </c>
      <c r="S133" s="45" t="str">
        <f t="shared" si="46"/>
        <v>Yes</v>
      </c>
      <c r="T133" s="46">
        <f>ROUND(INDEX(Summary!H:H,MATCH(H:H,Summary!A:A,0)),2)</f>
        <v>0.11</v>
      </c>
      <c r="U133" s="46">
        <f>ROUND(INDEX(Summary!I:I,MATCH(H:H,Summary!A:A,0)),2)</f>
        <v>0.09</v>
      </c>
      <c r="V133" s="79">
        <f t="shared" si="47"/>
        <v>135534.19403208772</v>
      </c>
      <c r="W133" s="79">
        <f t="shared" si="47"/>
        <v>64378.852335461474</v>
      </c>
      <c r="X133" s="44">
        <f t="shared" si="48"/>
        <v>199913.04636754919</v>
      </c>
      <c r="Y133" s="44" t="s">
        <v>2765</v>
      </c>
      <c r="Z133" s="44" t="str">
        <f t="shared" si="49"/>
        <v>No</v>
      </c>
      <c r="AA133" s="44" t="str">
        <f t="shared" si="49"/>
        <v>Yes</v>
      </c>
      <c r="AB133" s="44" t="str">
        <f t="shared" si="50"/>
        <v>Yes</v>
      </c>
      <c r="AC133" s="80">
        <f t="shared" si="40"/>
        <v>0</v>
      </c>
      <c r="AD133" s="80">
        <f t="shared" si="41"/>
        <v>0.16</v>
      </c>
      <c r="AE133" s="44">
        <f t="shared" si="51"/>
        <v>0</v>
      </c>
      <c r="AF133" s="44">
        <f t="shared" si="51"/>
        <v>114451.2930408204</v>
      </c>
      <c r="AG133" s="44">
        <f t="shared" si="52"/>
        <v>114451.2930408204</v>
      </c>
      <c r="AH133" s="46">
        <f>IF(Y133="No",0,IFERROR(ROUNDDOWN(INDEX('90% of ACR'!K:K,MATCH(H:H,'90% of ACR'!A:A,0))*IF(I133&gt;0,IF(O133&gt;0,$R$4*MAX(O133-V133,0),0),0)/I133,2),0))</f>
        <v>0</v>
      </c>
      <c r="AI133" s="80">
        <f>IF(Y133="No",0,IFERROR(ROUNDDOWN(INDEX('90% of ACR'!R:R,MATCH(H:H,'90% of ACR'!A:A,0))*IF(J133&gt;0,IF(P133&gt;0,$R$4*MAX(P133-W133,0),0),0)/J133,2),0))</f>
        <v>0.16</v>
      </c>
      <c r="AJ133" s="44">
        <f t="shared" si="53"/>
        <v>0</v>
      </c>
      <c r="AK133" s="44">
        <f t="shared" si="53"/>
        <v>114451.2930408204</v>
      </c>
      <c r="AL133" s="46">
        <f t="shared" si="54"/>
        <v>0.11</v>
      </c>
      <c r="AM133" s="46">
        <f t="shared" si="54"/>
        <v>0.25</v>
      </c>
      <c r="AN133" s="81">
        <f>IFERROR(INDEX(FeeCalc!P:P,MATCH(C133,FeeCalc!F:F,0)),0)</f>
        <v>314364.33940836962</v>
      </c>
      <c r="AO133" s="81">
        <f>IFERROR(INDEX(FeeCalc!S:S,MATCH(C133,FeeCalc!F:F,0)),0)</f>
        <v>19330.360406476328</v>
      </c>
      <c r="AP133" s="81">
        <f t="shared" si="55"/>
        <v>333694.69981484592</v>
      </c>
      <c r="AQ133" s="68">
        <f t="shared" si="56"/>
        <v>131326.21650153224</v>
      </c>
      <c r="AR133" s="68">
        <f>INDEX('IGT Commitment Suggestions'!H:H,MATCH(G133,'IGT Commitment Suggestions'!A:A,0))*AQ133</f>
        <v>59994.67001472196</v>
      </c>
    </row>
    <row r="134" spans="1:44">
      <c r="A134" s="103" t="s">
        <v>1041</v>
      </c>
      <c r="B134" s="123" t="s">
        <v>1041</v>
      </c>
      <c r="C134" s="30" t="s">
        <v>1042</v>
      </c>
      <c r="D134" s="124" t="s">
        <v>1042</v>
      </c>
      <c r="E134" s="119" t="s">
        <v>2852</v>
      </c>
      <c r="F134" s="99" t="s">
        <v>2283</v>
      </c>
      <c r="G134" s="99" t="s">
        <v>300</v>
      </c>
      <c r="H134" s="42" t="str">
        <f t="shared" si="42"/>
        <v>Urban Harris</v>
      </c>
      <c r="I134" s="44">
        <f>INDEX(FeeCalc!M:M,MATCH(C:C,FeeCalc!F:F,0))</f>
        <v>20500427.182294354</v>
      </c>
      <c r="J134" s="44">
        <f>INDEX(FeeCalc!L:L,MATCH(C:C,FeeCalc!F:F,0))</f>
        <v>7646666.0172152482</v>
      </c>
      <c r="K134" s="44">
        <f t="shared" si="43"/>
        <v>28147093.199509602</v>
      </c>
      <c r="L134" s="44">
        <v>19639155.469999999</v>
      </c>
      <c r="M134" s="44">
        <v>7481211.2000000002</v>
      </c>
      <c r="N134" s="44">
        <f t="shared" si="44"/>
        <v>27120366.669999998</v>
      </c>
      <c r="O134" s="44">
        <v>36529912.305183277</v>
      </c>
      <c r="P134" s="44">
        <v>8269130.893143571</v>
      </c>
      <c r="Q134" s="44">
        <f t="shared" si="45"/>
        <v>44799043.198326848</v>
      </c>
      <c r="R134" s="44" t="str">
        <f t="shared" si="46"/>
        <v>Yes</v>
      </c>
      <c r="S134" s="45" t="str">
        <f t="shared" si="46"/>
        <v>Yes</v>
      </c>
      <c r="T134" s="46">
        <f>ROUND(INDEX(Summary!H:H,MATCH(H:H,Summary!A:A,0)),2)</f>
        <v>1.74</v>
      </c>
      <c r="U134" s="46">
        <f>ROUND(INDEX(Summary!I:I,MATCH(H:H,Summary!A:A,0)),2)</f>
        <v>0.33</v>
      </c>
      <c r="V134" s="79">
        <f t="shared" si="47"/>
        <v>35670743.297192179</v>
      </c>
      <c r="W134" s="79">
        <f t="shared" si="47"/>
        <v>2523399.7856810321</v>
      </c>
      <c r="X134" s="44">
        <f t="shared" si="48"/>
        <v>38194143.08287321</v>
      </c>
      <c r="Y134" s="44" t="s">
        <v>2765</v>
      </c>
      <c r="Z134" s="44" t="str">
        <f t="shared" si="49"/>
        <v>No</v>
      </c>
      <c r="AA134" s="44" t="str">
        <f t="shared" si="49"/>
        <v>Yes</v>
      </c>
      <c r="AB134" s="44" t="str">
        <f t="shared" si="50"/>
        <v>Yes</v>
      </c>
      <c r="AC134" s="80">
        <f t="shared" ref="AC134:AC197" si="57">IF(Y134="No",0,IFERROR(ROUND(IF(I134&gt;0,IF(O134&gt;0,$R$4*MAX(O134-V134,0),0),0)/I134,2),0))</f>
        <v>0.03</v>
      </c>
      <c r="AD134" s="80">
        <f t="shared" ref="AD134:AD197" si="58">IF(Y134="No",0,IFERROR(ROUND(IF(J134&gt;0,IF(P134&gt;0,$R$4*MAX(P134-W134,0),0),0)/J134,2),0))</f>
        <v>0.52</v>
      </c>
      <c r="AE134" s="44">
        <f t="shared" si="51"/>
        <v>615012.81546883064</v>
      </c>
      <c r="AF134" s="44">
        <f t="shared" si="51"/>
        <v>3976266.3289519292</v>
      </c>
      <c r="AG134" s="44">
        <f t="shared" si="52"/>
        <v>4591279.1444207598</v>
      </c>
      <c r="AH134" s="46">
        <f>IF(Y134="No",0,IFERROR(ROUNDDOWN(INDEX('90% of ACR'!K:K,MATCH(H:H,'90% of ACR'!A:A,0))*IF(I134&gt;0,IF(O134&gt;0,$R$4*MAX(O134-V134,0),0),0)/I134,2),0))</f>
        <v>0</v>
      </c>
      <c r="AI134" s="80">
        <f>IF(Y134="No",0,IFERROR(ROUNDDOWN(INDEX('90% of ACR'!R:R,MATCH(H:H,'90% of ACR'!A:A,0))*IF(J134&gt;0,IF(P134&gt;0,$R$4*MAX(P134-W134,0),0),0)/J134,2),0))</f>
        <v>0.48</v>
      </c>
      <c r="AJ134" s="44">
        <f t="shared" si="53"/>
        <v>0</v>
      </c>
      <c r="AK134" s="44">
        <f t="shared" si="53"/>
        <v>3670399.688263319</v>
      </c>
      <c r="AL134" s="46">
        <f t="shared" si="54"/>
        <v>1.74</v>
      </c>
      <c r="AM134" s="46">
        <f t="shared" si="54"/>
        <v>0.81</v>
      </c>
      <c r="AN134" s="81">
        <f>IFERROR(INDEX(FeeCalc!P:P,MATCH(C134,FeeCalc!F:F,0)),0)</f>
        <v>41864542.77113653</v>
      </c>
      <c r="AO134" s="81">
        <f>IFERROR(INDEX(FeeCalc!S:S,MATCH(C134,FeeCalc!F:F,0)),0)</f>
        <v>2645179.3257123511</v>
      </c>
      <c r="AP134" s="81">
        <f t="shared" si="55"/>
        <v>44509722.096848883</v>
      </c>
      <c r="AQ134" s="68">
        <f t="shared" si="56"/>
        <v>17516890.150659073</v>
      </c>
      <c r="AR134" s="68">
        <f>INDEX('IGT Commitment Suggestions'!H:H,MATCH(G134,'IGT Commitment Suggestions'!A:A,0))*AQ134</f>
        <v>8036641.0938477572</v>
      </c>
    </row>
    <row r="135" spans="1:44">
      <c r="A135" s="103" t="s">
        <v>1315</v>
      </c>
      <c r="B135" s="123" t="s">
        <v>1315</v>
      </c>
      <c r="C135" s="30" t="s">
        <v>1316</v>
      </c>
      <c r="D135" s="124" t="s">
        <v>1316</v>
      </c>
      <c r="E135" s="119" t="s">
        <v>2589</v>
      </c>
      <c r="F135" s="99" t="s">
        <v>2283</v>
      </c>
      <c r="G135" s="99" t="s">
        <v>300</v>
      </c>
      <c r="H135" s="42" t="str">
        <f t="shared" si="42"/>
        <v>Urban Harris</v>
      </c>
      <c r="I135" s="44">
        <f>INDEX(FeeCalc!M:M,MATCH(C:C,FeeCalc!F:F,0))</f>
        <v>4686254.8302918468</v>
      </c>
      <c r="J135" s="44">
        <f>INDEX(FeeCalc!L:L,MATCH(C:C,FeeCalc!F:F,0))</f>
        <v>3124186.4900161549</v>
      </c>
      <c r="K135" s="44">
        <f t="shared" si="43"/>
        <v>7810441.3203080017</v>
      </c>
      <c r="L135" s="44">
        <v>2981055.31</v>
      </c>
      <c r="M135" s="44">
        <v>2405595.7200000002</v>
      </c>
      <c r="N135" s="44">
        <f t="shared" si="44"/>
        <v>5386651.0300000003</v>
      </c>
      <c r="O135" s="44">
        <v>7136208.9235707447</v>
      </c>
      <c r="P135" s="44">
        <v>3486187.0162461475</v>
      </c>
      <c r="Q135" s="44">
        <f t="shared" si="45"/>
        <v>10622395.939816892</v>
      </c>
      <c r="R135" s="44" t="str">
        <f t="shared" si="46"/>
        <v>Yes</v>
      </c>
      <c r="S135" s="45" t="str">
        <f t="shared" si="46"/>
        <v>Yes</v>
      </c>
      <c r="T135" s="46">
        <f>ROUND(INDEX(Summary!H:H,MATCH(H:H,Summary!A:A,0)),2)</f>
        <v>1.74</v>
      </c>
      <c r="U135" s="46">
        <f>ROUND(INDEX(Summary!I:I,MATCH(H:H,Summary!A:A,0)),2)</f>
        <v>0.33</v>
      </c>
      <c r="V135" s="79">
        <f t="shared" si="47"/>
        <v>8154083.4047078136</v>
      </c>
      <c r="W135" s="79">
        <f t="shared" si="47"/>
        <v>1030981.5417053312</v>
      </c>
      <c r="X135" s="44">
        <f t="shared" si="48"/>
        <v>9185064.9464131445</v>
      </c>
      <c r="Y135" s="44" t="s">
        <v>2765</v>
      </c>
      <c r="Z135" s="44" t="str">
        <f t="shared" si="49"/>
        <v>No</v>
      </c>
      <c r="AA135" s="44" t="str">
        <f t="shared" si="49"/>
        <v>Yes</v>
      </c>
      <c r="AB135" s="44" t="str">
        <f t="shared" si="50"/>
        <v>Yes</v>
      </c>
      <c r="AC135" s="80">
        <f t="shared" si="57"/>
        <v>0</v>
      </c>
      <c r="AD135" s="80">
        <f t="shared" si="58"/>
        <v>0.55000000000000004</v>
      </c>
      <c r="AE135" s="44">
        <f t="shared" si="51"/>
        <v>0</v>
      </c>
      <c r="AF135" s="44">
        <f t="shared" si="51"/>
        <v>1718302.5695088853</v>
      </c>
      <c r="AG135" s="44">
        <f t="shared" si="52"/>
        <v>1718302.5695088853</v>
      </c>
      <c r="AH135" s="46">
        <f>IF(Y135="No",0,IFERROR(ROUNDDOWN(INDEX('90% of ACR'!K:K,MATCH(H:H,'90% of ACR'!A:A,0))*IF(I135&gt;0,IF(O135&gt;0,$R$4*MAX(O135-V135,0),0),0)/I135,2),0))</f>
        <v>0</v>
      </c>
      <c r="AI135" s="80">
        <f>IF(Y135="No",0,IFERROR(ROUNDDOWN(INDEX('90% of ACR'!R:R,MATCH(H:H,'90% of ACR'!A:A,0))*IF(J135&gt;0,IF(P135&gt;0,$R$4*MAX(P135-W135,0),0),0)/J135,2),0))</f>
        <v>0.51</v>
      </c>
      <c r="AJ135" s="44">
        <f t="shared" si="53"/>
        <v>0</v>
      </c>
      <c r="AK135" s="44">
        <f t="shared" si="53"/>
        <v>1593335.109908239</v>
      </c>
      <c r="AL135" s="46">
        <f t="shared" si="54"/>
        <v>1.74</v>
      </c>
      <c r="AM135" s="46">
        <f t="shared" si="54"/>
        <v>0.84000000000000008</v>
      </c>
      <c r="AN135" s="81">
        <f>IFERROR(INDEX(FeeCalc!P:P,MATCH(C135,FeeCalc!F:F,0)),0)</f>
        <v>10778400.056321384</v>
      </c>
      <c r="AO135" s="81">
        <f>IFERROR(INDEX(FeeCalc!S:S,MATCH(C135,FeeCalc!F:F,0)),0)</f>
        <v>668283.36045548832</v>
      </c>
      <c r="AP135" s="81">
        <f t="shared" si="55"/>
        <v>11446683.416776873</v>
      </c>
      <c r="AQ135" s="68">
        <f t="shared" si="56"/>
        <v>4504865.1520393724</v>
      </c>
      <c r="AR135" s="68">
        <f>INDEX('IGT Commitment Suggestions'!H:H,MATCH(G135,'IGT Commitment Suggestions'!A:A,0))*AQ135</f>
        <v>2066804.329520795</v>
      </c>
    </row>
    <row r="136" spans="1:44">
      <c r="A136" s="103" t="s">
        <v>416</v>
      </c>
      <c r="B136" s="123" t="s">
        <v>416</v>
      </c>
      <c r="C136" s="30" t="s">
        <v>417</v>
      </c>
      <c r="D136" s="124" t="s">
        <v>417</v>
      </c>
      <c r="E136" s="119" t="s">
        <v>2590</v>
      </c>
      <c r="F136" s="99" t="s">
        <v>2283</v>
      </c>
      <c r="G136" s="99" t="s">
        <v>300</v>
      </c>
      <c r="H136" s="42" t="str">
        <f t="shared" si="42"/>
        <v>Urban Harris</v>
      </c>
      <c r="I136" s="44">
        <f>INDEX(FeeCalc!M:M,MATCH(C:C,FeeCalc!F:F,0))</f>
        <v>88415.631638735649</v>
      </c>
      <c r="J136" s="44">
        <f>INDEX(FeeCalc!L:L,MATCH(C:C,FeeCalc!F:F,0))</f>
        <v>197064.9770615212</v>
      </c>
      <c r="K136" s="44">
        <f t="shared" si="43"/>
        <v>285480.60870025685</v>
      </c>
      <c r="L136" s="44">
        <v>50647.01</v>
      </c>
      <c r="M136" s="44">
        <v>232816.93</v>
      </c>
      <c r="N136" s="44">
        <f t="shared" si="44"/>
        <v>283463.94</v>
      </c>
      <c r="O136" s="44">
        <v>229408.18561160838</v>
      </c>
      <c r="P136" s="44">
        <v>257522.47239461602</v>
      </c>
      <c r="Q136" s="44">
        <f t="shared" si="45"/>
        <v>486930.65800622443</v>
      </c>
      <c r="R136" s="44" t="str">
        <f t="shared" si="46"/>
        <v>Yes</v>
      </c>
      <c r="S136" s="45" t="str">
        <f t="shared" si="46"/>
        <v>Yes</v>
      </c>
      <c r="T136" s="46">
        <f>ROUND(INDEX(Summary!H:H,MATCH(H:H,Summary!A:A,0)),2)</f>
        <v>1.74</v>
      </c>
      <c r="U136" s="46">
        <f>ROUND(INDEX(Summary!I:I,MATCH(H:H,Summary!A:A,0)),2)</f>
        <v>0.33</v>
      </c>
      <c r="V136" s="79">
        <f t="shared" si="47"/>
        <v>153843.19905140004</v>
      </c>
      <c r="W136" s="79">
        <f t="shared" si="47"/>
        <v>65031.442430301999</v>
      </c>
      <c r="X136" s="44">
        <f t="shared" si="48"/>
        <v>218874.64148170204</v>
      </c>
      <c r="Y136" s="44" t="s">
        <v>2765</v>
      </c>
      <c r="Z136" s="44" t="str">
        <f t="shared" si="49"/>
        <v>No</v>
      </c>
      <c r="AA136" s="44" t="str">
        <f t="shared" si="49"/>
        <v>Yes</v>
      </c>
      <c r="AB136" s="44" t="str">
        <f t="shared" si="50"/>
        <v>Yes</v>
      </c>
      <c r="AC136" s="80">
        <f t="shared" si="57"/>
        <v>0.6</v>
      </c>
      <c r="AD136" s="80">
        <f t="shared" si="58"/>
        <v>0.68</v>
      </c>
      <c r="AE136" s="44">
        <f t="shared" si="51"/>
        <v>53049.37898324139</v>
      </c>
      <c r="AF136" s="44">
        <f t="shared" si="51"/>
        <v>134004.18440183444</v>
      </c>
      <c r="AG136" s="44">
        <f t="shared" si="52"/>
        <v>187053.56338507583</v>
      </c>
      <c r="AH136" s="46">
        <f>IF(Y136="No",0,IFERROR(ROUNDDOWN(INDEX('90% of ACR'!K:K,MATCH(H:H,'90% of ACR'!A:A,0))*IF(I136&gt;0,IF(O136&gt;0,$R$4*MAX(O136-V136,0),0),0)/I136,2),0))</f>
        <v>0</v>
      </c>
      <c r="AI136" s="80">
        <f>IF(Y136="No",0,IFERROR(ROUNDDOWN(INDEX('90% of ACR'!R:R,MATCH(H:H,'90% of ACR'!A:A,0))*IF(J136&gt;0,IF(P136&gt;0,$R$4*MAX(P136-W136,0),0),0)/J136,2),0))</f>
        <v>0.63</v>
      </c>
      <c r="AJ136" s="44">
        <f t="shared" si="53"/>
        <v>0</v>
      </c>
      <c r="AK136" s="44">
        <f t="shared" si="53"/>
        <v>124150.93554875835</v>
      </c>
      <c r="AL136" s="46">
        <f t="shared" si="54"/>
        <v>1.74</v>
      </c>
      <c r="AM136" s="46">
        <f t="shared" si="54"/>
        <v>0.96</v>
      </c>
      <c r="AN136" s="81">
        <f>IFERROR(INDEX(FeeCalc!P:P,MATCH(C136,FeeCalc!F:F,0)),0)</f>
        <v>343025.57703046035</v>
      </c>
      <c r="AO136" s="81">
        <f>IFERROR(INDEX(FeeCalc!S:S,MATCH(C136,FeeCalc!F:F,0)),0)</f>
        <v>21609.937905514802</v>
      </c>
      <c r="AP136" s="81">
        <f t="shared" si="55"/>
        <v>364635.51493597514</v>
      </c>
      <c r="AQ136" s="68">
        <f t="shared" si="56"/>
        <v>143503.0361740829</v>
      </c>
      <c r="AR136" s="68">
        <f>INDEX('IGT Commitment Suggestions'!H:H,MATCH(G136,'IGT Commitment Suggestions'!A:A,0))*AQ136</f>
        <v>65838.307353041411</v>
      </c>
    </row>
    <row r="137" spans="1:44">
      <c r="A137" s="103" t="s">
        <v>410</v>
      </c>
      <c r="B137" s="123" t="s">
        <v>410</v>
      </c>
      <c r="C137" s="30" t="s">
        <v>411</v>
      </c>
      <c r="D137" s="124" t="s">
        <v>411</v>
      </c>
      <c r="E137" s="119" t="s">
        <v>2853</v>
      </c>
      <c r="F137" s="99" t="s">
        <v>2283</v>
      </c>
      <c r="G137" s="99" t="s">
        <v>300</v>
      </c>
      <c r="H137" s="42" t="str">
        <f t="shared" si="42"/>
        <v>Urban Harris</v>
      </c>
      <c r="I137" s="44">
        <f>INDEX(FeeCalc!M:M,MATCH(C:C,FeeCalc!F:F,0))</f>
        <v>3002025.138498276</v>
      </c>
      <c r="J137" s="44">
        <f>INDEX(FeeCalc!L:L,MATCH(C:C,FeeCalc!F:F,0))</f>
        <v>1538585.5057236641</v>
      </c>
      <c r="K137" s="44">
        <f t="shared" si="43"/>
        <v>4540610.6442219401</v>
      </c>
      <c r="L137" s="44">
        <v>2858950.36</v>
      </c>
      <c r="M137" s="44">
        <v>748020.13</v>
      </c>
      <c r="N137" s="44">
        <f t="shared" si="44"/>
        <v>3606970.4899999998</v>
      </c>
      <c r="O137" s="44">
        <v>5177489.4988162443</v>
      </c>
      <c r="P137" s="44">
        <v>901063.98120481055</v>
      </c>
      <c r="Q137" s="44">
        <f t="shared" si="45"/>
        <v>6078553.4800210549</v>
      </c>
      <c r="R137" s="44" t="str">
        <f t="shared" si="46"/>
        <v>Yes</v>
      </c>
      <c r="S137" s="45" t="str">
        <f t="shared" si="46"/>
        <v>Yes</v>
      </c>
      <c r="T137" s="46">
        <f>ROUND(INDEX(Summary!H:H,MATCH(H:H,Summary!A:A,0)),2)</f>
        <v>1.74</v>
      </c>
      <c r="U137" s="46">
        <f>ROUND(INDEX(Summary!I:I,MATCH(H:H,Summary!A:A,0)),2)</f>
        <v>0.33</v>
      </c>
      <c r="V137" s="79">
        <f t="shared" si="47"/>
        <v>5223523.7409870001</v>
      </c>
      <c r="W137" s="79">
        <f t="shared" si="47"/>
        <v>507733.21688880917</v>
      </c>
      <c r="X137" s="44">
        <f t="shared" si="48"/>
        <v>5731256.9578758096</v>
      </c>
      <c r="Y137" s="44" t="s">
        <v>2765</v>
      </c>
      <c r="Z137" s="44" t="str">
        <f t="shared" si="49"/>
        <v>No</v>
      </c>
      <c r="AA137" s="44" t="str">
        <f t="shared" si="49"/>
        <v>Yes</v>
      </c>
      <c r="AB137" s="44" t="str">
        <f t="shared" si="50"/>
        <v>Yes</v>
      </c>
      <c r="AC137" s="80">
        <f t="shared" si="57"/>
        <v>0</v>
      </c>
      <c r="AD137" s="80">
        <f t="shared" si="58"/>
        <v>0.18</v>
      </c>
      <c r="AE137" s="44">
        <f t="shared" si="51"/>
        <v>0</v>
      </c>
      <c r="AF137" s="44">
        <f t="shared" si="51"/>
        <v>276945.39103025955</v>
      </c>
      <c r="AG137" s="44">
        <f t="shared" si="52"/>
        <v>276945.39103025955</v>
      </c>
      <c r="AH137" s="46">
        <f>IF(Y137="No",0,IFERROR(ROUNDDOWN(INDEX('90% of ACR'!K:K,MATCH(H:H,'90% of ACR'!A:A,0))*IF(I137&gt;0,IF(O137&gt;0,$R$4*MAX(O137-V137,0),0),0)/I137,2),0))</f>
        <v>0</v>
      </c>
      <c r="AI137" s="80">
        <f>IF(Y137="No",0,IFERROR(ROUNDDOWN(INDEX('90% of ACR'!R:R,MATCH(H:H,'90% of ACR'!A:A,0))*IF(J137&gt;0,IF(P137&gt;0,$R$4*MAX(P137-W137,0),0),0)/J137,2),0))</f>
        <v>0.16</v>
      </c>
      <c r="AJ137" s="44">
        <f t="shared" si="53"/>
        <v>0</v>
      </c>
      <c r="AK137" s="44">
        <f t="shared" si="53"/>
        <v>246173.68091578624</v>
      </c>
      <c r="AL137" s="46">
        <f t="shared" si="54"/>
        <v>1.74</v>
      </c>
      <c r="AM137" s="46">
        <f t="shared" si="54"/>
        <v>0.49</v>
      </c>
      <c r="AN137" s="81">
        <f>IFERROR(INDEX(FeeCalc!P:P,MATCH(C137,FeeCalc!F:F,0)),0)</f>
        <v>5977430.6387915956</v>
      </c>
      <c r="AO137" s="81">
        <f>IFERROR(INDEX(FeeCalc!S:S,MATCH(C137,FeeCalc!F:F,0)),0)</f>
        <v>370616.8766978127</v>
      </c>
      <c r="AP137" s="81">
        <f t="shared" si="55"/>
        <v>6348047.5154894087</v>
      </c>
      <c r="AQ137" s="68">
        <f t="shared" si="56"/>
        <v>2498286.7958158879</v>
      </c>
      <c r="AR137" s="68">
        <f>INDEX('IGT Commitment Suggestions'!H:H,MATCH(G137,'IGT Commitment Suggestions'!A:A,0))*AQ137</f>
        <v>1146198.5634884955</v>
      </c>
    </row>
    <row r="138" spans="1:44">
      <c r="A138" s="103" t="s">
        <v>1610</v>
      </c>
      <c r="B138" s="123" t="s">
        <v>1610</v>
      </c>
      <c r="C138" s="30" t="s">
        <v>1611</v>
      </c>
      <c r="D138" s="124" t="s">
        <v>1611</v>
      </c>
      <c r="E138" s="119" t="s">
        <v>2591</v>
      </c>
      <c r="F138" s="99" t="s">
        <v>2283</v>
      </c>
      <c r="G138" s="99" t="s">
        <v>300</v>
      </c>
      <c r="H138" s="42" t="str">
        <f t="shared" si="42"/>
        <v>Urban Harris</v>
      </c>
      <c r="I138" s="44">
        <f>INDEX(FeeCalc!M:M,MATCH(C:C,FeeCalc!F:F,0))</f>
        <v>3208321.4958526311</v>
      </c>
      <c r="J138" s="44">
        <f>INDEX(FeeCalc!L:L,MATCH(C:C,FeeCalc!F:F,0))</f>
        <v>1799010.3869201909</v>
      </c>
      <c r="K138" s="44">
        <f t="shared" si="43"/>
        <v>5007331.8827728219</v>
      </c>
      <c r="L138" s="44">
        <v>2352049.0499999998</v>
      </c>
      <c r="M138" s="44">
        <v>975434.6</v>
      </c>
      <c r="N138" s="44">
        <f t="shared" si="44"/>
        <v>3327483.65</v>
      </c>
      <c r="O138" s="44">
        <v>4138032.9432429089</v>
      </c>
      <c r="P138" s="44">
        <v>1192947.9633467104</v>
      </c>
      <c r="Q138" s="44">
        <f t="shared" si="45"/>
        <v>5330980.9065896198</v>
      </c>
      <c r="R138" s="44" t="str">
        <f t="shared" si="46"/>
        <v>Yes</v>
      </c>
      <c r="S138" s="45" t="str">
        <f t="shared" si="46"/>
        <v>Yes</v>
      </c>
      <c r="T138" s="46">
        <f>ROUND(INDEX(Summary!H:H,MATCH(H:H,Summary!A:A,0)),2)</f>
        <v>1.74</v>
      </c>
      <c r="U138" s="46">
        <f>ROUND(INDEX(Summary!I:I,MATCH(H:H,Summary!A:A,0)),2)</f>
        <v>0.33</v>
      </c>
      <c r="V138" s="79">
        <f t="shared" si="47"/>
        <v>5582479.4027835783</v>
      </c>
      <c r="W138" s="79">
        <f t="shared" si="47"/>
        <v>593673.42768366297</v>
      </c>
      <c r="X138" s="44">
        <f t="shared" si="48"/>
        <v>6176152.8304672409</v>
      </c>
      <c r="Y138" s="44" t="s">
        <v>2765</v>
      </c>
      <c r="Z138" s="44" t="str">
        <f t="shared" si="49"/>
        <v>No</v>
      </c>
      <c r="AA138" s="44" t="str">
        <f t="shared" si="49"/>
        <v>Yes</v>
      </c>
      <c r="AB138" s="44" t="str">
        <f t="shared" si="50"/>
        <v>Yes</v>
      </c>
      <c r="AC138" s="80">
        <f t="shared" si="57"/>
        <v>0</v>
      </c>
      <c r="AD138" s="80">
        <f t="shared" si="58"/>
        <v>0.23</v>
      </c>
      <c r="AE138" s="44">
        <f t="shared" si="51"/>
        <v>0</v>
      </c>
      <c r="AF138" s="44">
        <f t="shared" si="51"/>
        <v>413772.38899164391</v>
      </c>
      <c r="AG138" s="44">
        <f t="shared" si="52"/>
        <v>413772.38899164391</v>
      </c>
      <c r="AH138" s="46">
        <f>IF(Y138="No",0,IFERROR(ROUNDDOWN(INDEX('90% of ACR'!K:K,MATCH(H:H,'90% of ACR'!A:A,0))*IF(I138&gt;0,IF(O138&gt;0,$R$4*MAX(O138-V138,0),0),0)/I138,2),0))</f>
        <v>0</v>
      </c>
      <c r="AI138" s="80">
        <f>IF(Y138="No",0,IFERROR(ROUNDDOWN(INDEX('90% of ACR'!R:R,MATCH(H:H,'90% of ACR'!A:A,0))*IF(J138&gt;0,IF(P138&gt;0,$R$4*MAX(P138-W138,0),0),0)/J138,2),0))</f>
        <v>0.21</v>
      </c>
      <c r="AJ138" s="44">
        <f t="shared" si="53"/>
        <v>0</v>
      </c>
      <c r="AK138" s="44">
        <f t="shared" si="53"/>
        <v>377792.18125324009</v>
      </c>
      <c r="AL138" s="46">
        <f t="shared" si="54"/>
        <v>1.74</v>
      </c>
      <c r="AM138" s="46">
        <f t="shared" si="54"/>
        <v>0.54</v>
      </c>
      <c r="AN138" s="81">
        <f>IFERROR(INDEX(FeeCalc!P:P,MATCH(C138,FeeCalc!F:F,0)),0)</f>
        <v>6553945.0117204813</v>
      </c>
      <c r="AO138" s="81">
        <f>IFERROR(INDEX(FeeCalc!S:S,MATCH(C138,FeeCalc!F:F,0)),0)</f>
        <v>405021.76447572047</v>
      </c>
      <c r="AP138" s="81">
        <f t="shared" si="55"/>
        <v>6958966.7761962023</v>
      </c>
      <c r="AQ138" s="68">
        <f t="shared" si="56"/>
        <v>2738715.292705568</v>
      </c>
      <c r="AR138" s="68">
        <f>INDEX('IGT Commitment Suggestions'!H:H,MATCH(G138,'IGT Commitment Suggestions'!A:A,0))*AQ138</f>
        <v>1256505.6740324839</v>
      </c>
    </row>
    <row r="139" spans="1:44">
      <c r="A139" s="103" t="s">
        <v>419</v>
      </c>
      <c r="B139" s="123" t="s">
        <v>419</v>
      </c>
      <c r="C139" s="30" t="s">
        <v>420</v>
      </c>
      <c r="D139" s="124" t="s">
        <v>420</v>
      </c>
      <c r="E139" s="119" t="s">
        <v>2592</v>
      </c>
      <c r="F139" s="99" t="s">
        <v>2283</v>
      </c>
      <c r="G139" s="99" t="s">
        <v>300</v>
      </c>
      <c r="H139" s="42" t="str">
        <f t="shared" si="42"/>
        <v>Urban Harris</v>
      </c>
      <c r="I139" s="44">
        <f>INDEX(FeeCalc!M:M,MATCH(C:C,FeeCalc!F:F,0))</f>
        <v>699473.1408441806</v>
      </c>
      <c r="J139" s="44">
        <f>INDEX(FeeCalc!L:L,MATCH(C:C,FeeCalc!F:F,0))</f>
        <v>268040.7439264413</v>
      </c>
      <c r="K139" s="44">
        <f t="shared" si="43"/>
        <v>967513.88477062189</v>
      </c>
      <c r="L139" s="44">
        <v>567290.38</v>
      </c>
      <c r="M139" s="44">
        <v>518806.31</v>
      </c>
      <c r="N139" s="44">
        <f t="shared" si="44"/>
        <v>1086096.69</v>
      </c>
      <c r="O139" s="44">
        <v>873595.31672188663</v>
      </c>
      <c r="P139" s="44">
        <v>601825.12624409574</v>
      </c>
      <c r="Q139" s="44">
        <f t="shared" si="45"/>
        <v>1475420.4429659825</v>
      </c>
      <c r="R139" s="44" t="str">
        <f t="shared" si="46"/>
        <v>Yes</v>
      </c>
      <c r="S139" s="45" t="str">
        <f t="shared" si="46"/>
        <v>Yes</v>
      </c>
      <c r="T139" s="46">
        <f>ROUND(INDEX(Summary!H:H,MATCH(H:H,Summary!A:A,0)),2)</f>
        <v>1.74</v>
      </c>
      <c r="U139" s="46">
        <f>ROUND(INDEX(Summary!I:I,MATCH(H:H,Summary!A:A,0)),2)</f>
        <v>0.33</v>
      </c>
      <c r="V139" s="79">
        <f t="shared" si="47"/>
        <v>1217083.2650688742</v>
      </c>
      <c r="W139" s="79">
        <f t="shared" si="47"/>
        <v>88453.445495725638</v>
      </c>
      <c r="X139" s="44">
        <f t="shared" si="48"/>
        <v>1305536.7105645998</v>
      </c>
      <c r="Y139" s="44" t="s">
        <v>2765</v>
      </c>
      <c r="Z139" s="44" t="str">
        <f t="shared" si="49"/>
        <v>No</v>
      </c>
      <c r="AA139" s="44" t="str">
        <f t="shared" si="49"/>
        <v>Yes</v>
      </c>
      <c r="AB139" s="44" t="str">
        <f t="shared" si="50"/>
        <v>Yes</v>
      </c>
      <c r="AC139" s="80">
        <f t="shared" si="57"/>
        <v>0</v>
      </c>
      <c r="AD139" s="80">
        <f t="shared" si="58"/>
        <v>1.33</v>
      </c>
      <c r="AE139" s="44">
        <f t="shared" si="51"/>
        <v>0</v>
      </c>
      <c r="AF139" s="44">
        <f t="shared" si="51"/>
        <v>356494.18942216696</v>
      </c>
      <c r="AG139" s="44">
        <f t="shared" si="52"/>
        <v>356494.18942216696</v>
      </c>
      <c r="AH139" s="46">
        <f>IF(Y139="No",0,IFERROR(ROUNDDOWN(INDEX('90% of ACR'!K:K,MATCH(H:H,'90% of ACR'!A:A,0))*IF(I139&gt;0,IF(O139&gt;0,$R$4*MAX(O139-V139,0),0),0)/I139,2),0))</f>
        <v>0</v>
      </c>
      <c r="AI139" s="80">
        <f>IF(Y139="No",0,IFERROR(ROUNDDOWN(INDEX('90% of ACR'!R:R,MATCH(H:H,'90% of ACR'!A:A,0))*IF(J139&gt;0,IF(P139&gt;0,$R$4*MAX(P139-W139,0),0),0)/J139,2),0))</f>
        <v>1.24</v>
      </c>
      <c r="AJ139" s="44">
        <f t="shared" si="53"/>
        <v>0</v>
      </c>
      <c r="AK139" s="44">
        <f t="shared" si="53"/>
        <v>332370.52246878721</v>
      </c>
      <c r="AL139" s="46">
        <f t="shared" si="54"/>
        <v>1.74</v>
      </c>
      <c r="AM139" s="46">
        <f t="shared" si="54"/>
        <v>1.57</v>
      </c>
      <c r="AN139" s="81">
        <f>IFERROR(INDEX(FeeCalc!P:P,MATCH(C139,FeeCalc!F:F,0)),0)</f>
        <v>1637907.233033387</v>
      </c>
      <c r="AO139" s="81">
        <f>IFERROR(INDEX(FeeCalc!S:S,MATCH(C139,FeeCalc!F:F,0)),0)</f>
        <v>103613.49144292563</v>
      </c>
      <c r="AP139" s="81">
        <f t="shared" si="55"/>
        <v>1741520.7244763125</v>
      </c>
      <c r="AQ139" s="68">
        <f t="shared" si="56"/>
        <v>685378.96415910183</v>
      </c>
      <c r="AR139" s="68">
        <f>INDEX('IGT Commitment Suggestions'!H:H,MATCH(G139,'IGT Commitment Suggestions'!A:A,0))*AQ139</f>
        <v>314447.63886999676</v>
      </c>
    </row>
    <row r="140" spans="1:44">
      <c r="A140" s="103" t="s">
        <v>647</v>
      </c>
      <c r="B140" s="123" t="s">
        <v>647</v>
      </c>
      <c r="C140" s="30" t="s">
        <v>648</v>
      </c>
      <c r="D140" s="124" t="s">
        <v>648</v>
      </c>
      <c r="E140" s="119" t="s">
        <v>2593</v>
      </c>
      <c r="F140" s="99" t="s">
        <v>2283</v>
      </c>
      <c r="G140" s="99" t="s">
        <v>300</v>
      </c>
      <c r="H140" s="42" t="str">
        <f t="shared" si="42"/>
        <v>Urban Harris</v>
      </c>
      <c r="I140" s="44">
        <f>INDEX(FeeCalc!M:M,MATCH(C:C,FeeCalc!F:F,0))</f>
        <v>782566.16583863785</v>
      </c>
      <c r="J140" s="44">
        <f>INDEX(FeeCalc!L:L,MATCH(C:C,FeeCalc!F:F,0))</f>
        <v>2545930.6155756409</v>
      </c>
      <c r="K140" s="44">
        <f t="shared" si="43"/>
        <v>3328496.7814142788</v>
      </c>
      <c r="L140" s="44">
        <v>553646.46</v>
      </c>
      <c r="M140" s="44">
        <v>338805.39</v>
      </c>
      <c r="N140" s="44">
        <f t="shared" si="44"/>
        <v>892451.85</v>
      </c>
      <c r="O140" s="44">
        <v>674154.06329724542</v>
      </c>
      <c r="P140" s="44">
        <v>785876.50895472546</v>
      </c>
      <c r="Q140" s="44">
        <f t="shared" si="45"/>
        <v>1460030.5722519709</v>
      </c>
      <c r="R140" s="44" t="str">
        <f t="shared" si="46"/>
        <v>Yes</v>
      </c>
      <c r="S140" s="45" t="str">
        <f t="shared" si="46"/>
        <v>Yes</v>
      </c>
      <c r="T140" s="46">
        <f>ROUND(INDEX(Summary!H:H,MATCH(H:H,Summary!A:A,0)),2)</f>
        <v>1.74</v>
      </c>
      <c r="U140" s="46">
        <f>ROUND(INDEX(Summary!I:I,MATCH(H:H,Summary!A:A,0)),2)</f>
        <v>0.33</v>
      </c>
      <c r="V140" s="79">
        <f t="shared" si="47"/>
        <v>1361665.1285592299</v>
      </c>
      <c r="W140" s="79">
        <f t="shared" si="47"/>
        <v>840157.1031399616</v>
      </c>
      <c r="X140" s="44">
        <f t="shared" si="48"/>
        <v>2201822.2316991915</v>
      </c>
      <c r="Y140" s="44" t="s">
        <v>2765</v>
      </c>
      <c r="Z140" s="44" t="str">
        <f t="shared" si="49"/>
        <v>No</v>
      </c>
      <c r="AA140" s="44" t="str">
        <f t="shared" si="49"/>
        <v>No</v>
      </c>
      <c r="AB140" s="44" t="str">
        <f t="shared" si="50"/>
        <v>No</v>
      </c>
      <c r="AC140" s="80">
        <f t="shared" si="57"/>
        <v>0</v>
      </c>
      <c r="AD140" s="80">
        <f t="shared" si="58"/>
        <v>0</v>
      </c>
      <c r="AE140" s="44">
        <f t="shared" si="51"/>
        <v>0</v>
      </c>
      <c r="AF140" s="44">
        <f t="shared" si="51"/>
        <v>0</v>
      </c>
      <c r="AG140" s="44">
        <f t="shared" si="52"/>
        <v>0</v>
      </c>
      <c r="AH140" s="46">
        <f>IF(Y140="No",0,IFERROR(ROUNDDOWN(INDEX('90% of ACR'!K:K,MATCH(H:H,'90% of ACR'!A:A,0))*IF(I140&gt;0,IF(O140&gt;0,$R$4*MAX(O140-V140,0),0),0)/I140,2),0))</f>
        <v>0</v>
      </c>
      <c r="AI140" s="80">
        <f>IF(Y140="No",0,IFERROR(ROUNDDOWN(INDEX('90% of ACR'!R:R,MATCH(H:H,'90% of ACR'!A:A,0))*IF(J140&gt;0,IF(P140&gt;0,$R$4*MAX(P140-W140,0),0),0)/J140,2),0))</f>
        <v>0</v>
      </c>
      <c r="AJ140" s="44">
        <f t="shared" si="53"/>
        <v>0</v>
      </c>
      <c r="AK140" s="44">
        <f t="shared" si="53"/>
        <v>0</v>
      </c>
      <c r="AL140" s="46">
        <f t="shared" si="54"/>
        <v>1.74</v>
      </c>
      <c r="AM140" s="46">
        <f t="shared" si="54"/>
        <v>0.33</v>
      </c>
      <c r="AN140" s="81">
        <f>IFERROR(INDEX(FeeCalc!P:P,MATCH(C140,FeeCalc!F:F,0)),0)</f>
        <v>2201822.2316991915</v>
      </c>
      <c r="AO140" s="81">
        <f>IFERROR(INDEX(FeeCalc!S:S,MATCH(C140,FeeCalc!F:F,0)),0)</f>
        <v>136109.055072043</v>
      </c>
      <c r="AP140" s="81">
        <f t="shared" si="55"/>
        <v>2337931.2867712346</v>
      </c>
      <c r="AQ140" s="68">
        <f t="shared" si="56"/>
        <v>920097.53377139289</v>
      </c>
      <c r="AR140" s="68">
        <f>INDEX('IGT Commitment Suggestions'!H:H,MATCH(G140,'IGT Commitment Suggestions'!A:A,0))*AQ140</f>
        <v>422135.07001851773</v>
      </c>
    </row>
    <row r="141" spans="1:44">
      <c r="A141" s="103" t="s">
        <v>853</v>
      </c>
      <c r="B141" s="123" t="s">
        <v>853</v>
      </c>
      <c r="C141" s="30" t="s">
        <v>854</v>
      </c>
      <c r="D141" s="124" t="s">
        <v>854</v>
      </c>
      <c r="E141" s="119" t="s">
        <v>2594</v>
      </c>
      <c r="F141" s="99" t="s">
        <v>2295</v>
      </c>
      <c r="G141" s="99" t="s">
        <v>310</v>
      </c>
      <c r="H141" s="42" t="str">
        <f t="shared" si="42"/>
        <v>Rural MRSA Northeast</v>
      </c>
      <c r="I141" s="44">
        <f>INDEX(FeeCalc!M:M,MATCH(C:C,FeeCalc!F:F,0))</f>
        <v>4321803.7722636107</v>
      </c>
      <c r="J141" s="44">
        <f>INDEX(FeeCalc!L:L,MATCH(C:C,FeeCalc!F:F,0))</f>
        <v>2930985.5036106799</v>
      </c>
      <c r="K141" s="44">
        <f t="shared" si="43"/>
        <v>7252789.2758742906</v>
      </c>
      <c r="L141" s="44">
        <v>-1742857.73</v>
      </c>
      <c r="M141" s="44">
        <v>2168276.56</v>
      </c>
      <c r="N141" s="44">
        <f t="shared" si="44"/>
        <v>425418.83000000007</v>
      </c>
      <c r="O141" s="44">
        <v>560569.52392039075</v>
      </c>
      <c r="P141" s="44">
        <v>3747558.9271350708</v>
      </c>
      <c r="Q141" s="44">
        <f t="shared" si="45"/>
        <v>4308128.4510554615</v>
      </c>
      <c r="R141" s="44" t="str">
        <f t="shared" si="46"/>
        <v>Yes</v>
      </c>
      <c r="S141" s="45" t="str">
        <f t="shared" si="46"/>
        <v>Yes</v>
      </c>
      <c r="T141" s="46">
        <f>ROUND(INDEX(Summary!H:H,MATCH(H:H,Summary!A:A,0)),2)</f>
        <v>0</v>
      </c>
      <c r="U141" s="46">
        <f>ROUND(INDEX(Summary!I:I,MATCH(H:H,Summary!A:A,0)),2)</f>
        <v>0.32</v>
      </c>
      <c r="V141" s="79">
        <f t="shared" si="47"/>
        <v>0</v>
      </c>
      <c r="W141" s="79">
        <f t="shared" si="47"/>
        <v>937915.36115541763</v>
      </c>
      <c r="X141" s="44">
        <f t="shared" si="48"/>
        <v>937915.36115541763</v>
      </c>
      <c r="Y141" s="44" t="s">
        <v>2765</v>
      </c>
      <c r="Z141" s="44" t="str">
        <f t="shared" si="49"/>
        <v>Yes</v>
      </c>
      <c r="AA141" s="44" t="str">
        <f t="shared" si="49"/>
        <v>Yes</v>
      </c>
      <c r="AB141" s="44" t="str">
        <f t="shared" si="50"/>
        <v>Yes</v>
      </c>
      <c r="AC141" s="80">
        <f t="shared" si="57"/>
        <v>0.09</v>
      </c>
      <c r="AD141" s="80">
        <f t="shared" si="58"/>
        <v>0.67</v>
      </c>
      <c r="AE141" s="44">
        <f t="shared" si="51"/>
        <v>388962.33950372494</v>
      </c>
      <c r="AF141" s="44">
        <f t="shared" si="51"/>
        <v>1963760.2874191557</v>
      </c>
      <c r="AG141" s="44">
        <f t="shared" si="52"/>
        <v>2352722.6269228808</v>
      </c>
      <c r="AH141" s="46">
        <f>IF(Y141="No",0,IFERROR(ROUNDDOWN(INDEX('90% of ACR'!K:K,MATCH(H:H,'90% of ACR'!A:A,0))*IF(I141&gt;0,IF(O141&gt;0,$R$4*MAX(O141-V141,0),0),0)/I141,2),0))</f>
        <v>0.06</v>
      </c>
      <c r="AI141" s="80">
        <f>IF(Y141="No",0,IFERROR(ROUNDDOWN(INDEX('90% of ACR'!R:R,MATCH(H:H,'90% of ACR'!A:A,0))*IF(J141&gt;0,IF(P141&gt;0,$R$4*MAX(P141-W141,0),0),0)/J141,2),0))</f>
        <v>0.66</v>
      </c>
      <c r="AJ141" s="44">
        <f t="shared" si="53"/>
        <v>259308.22633581664</v>
      </c>
      <c r="AK141" s="44">
        <f t="shared" si="53"/>
        <v>1934450.4323830488</v>
      </c>
      <c r="AL141" s="46">
        <f t="shared" si="54"/>
        <v>0.06</v>
      </c>
      <c r="AM141" s="46">
        <f t="shared" si="54"/>
        <v>0.98</v>
      </c>
      <c r="AN141" s="81">
        <f>IFERROR(INDEX(FeeCalc!P:P,MATCH(C141,FeeCalc!F:F,0)),0)</f>
        <v>3131674.0198742826</v>
      </c>
      <c r="AO141" s="81">
        <f>IFERROR(INDEX(FeeCalc!S:S,MATCH(C141,FeeCalc!F:F,0)),0)</f>
        <v>193075.2450298937</v>
      </c>
      <c r="AP141" s="81">
        <f t="shared" si="55"/>
        <v>3324749.2649041764</v>
      </c>
      <c r="AQ141" s="68">
        <f t="shared" si="56"/>
        <v>1308461.7227015684</v>
      </c>
      <c r="AR141" s="68">
        <f>INDEX('IGT Commitment Suggestions'!H:H,MATCH(G141,'IGT Commitment Suggestions'!A:A,0))*AQ141</f>
        <v>599283.87079326285</v>
      </c>
    </row>
    <row r="142" spans="1:44">
      <c r="A142" s="103" t="s">
        <v>847</v>
      </c>
      <c r="B142" s="123" t="s">
        <v>847</v>
      </c>
      <c r="C142" s="30" t="s">
        <v>848</v>
      </c>
      <c r="D142" s="124" t="s">
        <v>848</v>
      </c>
      <c r="E142" s="119" t="s">
        <v>2854</v>
      </c>
      <c r="F142" s="99" t="s">
        <v>2295</v>
      </c>
      <c r="G142" s="99" t="s">
        <v>1550</v>
      </c>
      <c r="H142" s="42" t="str">
        <f t="shared" si="42"/>
        <v>Rural Jefferson</v>
      </c>
      <c r="I142" s="44">
        <f>INDEX(FeeCalc!M:M,MATCH(C:C,FeeCalc!F:F,0))</f>
        <v>4809052.310818783</v>
      </c>
      <c r="J142" s="44">
        <f>INDEX(FeeCalc!L:L,MATCH(C:C,FeeCalc!F:F,0))</f>
        <v>2416956.0690508992</v>
      </c>
      <c r="K142" s="44">
        <f t="shared" si="43"/>
        <v>7226008.3798696827</v>
      </c>
      <c r="L142" s="44">
        <v>-1068586.6200000001</v>
      </c>
      <c r="M142" s="44">
        <v>1039759.75</v>
      </c>
      <c r="N142" s="44">
        <f t="shared" si="44"/>
        <v>-28826.870000000112</v>
      </c>
      <c r="O142" s="44">
        <v>-863537.95437114267</v>
      </c>
      <c r="P142" s="44">
        <v>2972399.1738147885</v>
      </c>
      <c r="Q142" s="44">
        <f t="shared" si="45"/>
        <v>2108861.2194436458</v>
      </c>
      <c r="R142" s="44" t="str">
        <f t="shared" si="46"/>
        <v>No</v>
      </c>
      <c r="S142" s="45" t="str">
        <f t="shared" si="46"/>
        <v>Yes</v>
      </c>
      <c r="T142" s="46">
        <f>ROUND(INDEX(Summary!H:H,MATCH(H:H,Summary!A:A,0)),2)</f>
        <v>0</v>
      </c>
      <c r="U142" s="46">
        <f>ROUND(INDEX(Summary!I:I,MATCH(H:H,Summary!A:A,0)),2)</f>
        <v>0.23</v>
      </c>
      <c r="V142" s="79">
        <f t="shared" si="47"/>
        <v>0</v>
      </c>
      <c r="W142" s="79">
        <f t="shared" si="47"/>
        <v>555899.89588170685</v>
      </c>
      <c r="X142" s="44">
        <f t="shared" si="48"/>
        <v>555899.89588170685</v>
      </c>
      <c r="Y142" s="44" t="s">
        <v>2765</v>
      </c>
      <c r="Z142" s="44" t="str">
        <f t="shared" si="49"/>
        <v>No</v>
      </c>
      <c r="AA142" s="44" t="str">
        <f t="shared" si="49"/>
        <v>Yes</v>
      </c>
      <c r="AB142" s="44" t="str">
        <f t="shared" si="50"/>
        <v>Yes</v>
      </c>
      <c r="AC142" s="80">
        <f t="shared" si="57"/>
        <v>0</v>
      </c>
      <c r="AD142" s="80">
        <f t="shared" si="58"/>
        <v>0.7</v>
      </c>
      <c r="AE142" s="44">
        <f t="shared" si="51"/>
        <v>0</v>
      </c>
      <c r="AF142" s="44">
        <f t="shared" si="51"/>
        <v>1691869.2483356295</v>
      </c>
      <c r="AG142" s="44">
        <f t="shared" si="52"/>
        <v>1691869.2483356295</v>
      </c>
      <c r="AH142" s="46">
        <f>IF(Y142="No",0,IFERROR(ROUNDDOWN(INDEX('90% of ACR'!K:K,MATCH(H:H,'90% of ACR'!A:A,0))*IF(I142&gt;0,IF(O142&gt;0,$R$4*MAX(O142-V142,0),0),0)/I142,2),0))</f>
        <v>0</v>
      </c>
      <c r="AI142" s="80">
        <f>IF(Y142="No",0,IFERROR(ROUNDDOWN(INDEX('90% of ACR'!R:R,MATCH(H:H,'90% of ACR'!A:A,0))*IF(J142&gt;0,IF(P142&gt;0,$R$4*MAX(P142-W142,0),0),0)/J142,2),0))</f>
        <v>0.69</v>
      </c>
      <c r="AJ142" s="44">
        <f t="shared" si="53"/>
        <v>0</v>
      </c>
      <c r="AK142" s="44">
        <f t="shared" si="53"/>
        <v>1667699.6876451203</v>
      </c>
      <c r="AL142" s="46">
        <f t="shared" si="54"/>
        <v>0</v>
      </c>
      <c r="AM142" s="46">
        <f t="shared" si="54"/>
        <v>0.91999999999999993</v>
      </c>
      <c r="AN142" s="81">
        <f>IFERROR(INDEX(FeeCalc!P:P,MATCH(C142,FeeCalc!F:F,0)),0)</f>
        <v>2223599.5835268269</v>
      </c>
      <c r="AO142" s="81">
        <f>IFERROR(INDEX(FeeCalc!S:S,MATCH(C142,FeeCalc!F:F,0)),0)</f>
        <v>137236.03194618475</v>
      </c>
      <c r="AP142" s="81">
        <f t="shared" si="55"/>
        <v>2360835.6154730115</v>
      </c>
      <c r="AQ142" s="68">
        <f t="shared" si="56"/>
        <v>929111.57814063469</v>
      </c>
      <c r="AR142" s="68">
        <f>INDEX('IGT Commitment Suggestions'!H:H,MATCH(G142,'IGT Commitment Suggestions'!A:A,0))*AQ142</f>
        <v>425199.75276653096</v>
      </c>
    </row>
    <row r="143" spans="1:44">
      <c r="A143" s="103" t="s">
        <v>856</v>
      </c>
      <c r="B143" s="123" t="s">
        <v>856</v>
      </c>
      <c r="C143" s="30" t="s">
        <v>857</v>
      </c>
      <c r="D143" s="124" t="s">
        <v>857</v>
      </c>
      <c r="E143" s="119" t="s">
        <v>2595</v>
      </c>
      <c r="F143" s="99" t="s">
        <v>2295</v>
      </c>
      <c r="G143" s="99" t="s">
        <v>310</v>
      </c>
      <c r="H143" s="42" t="str">
        <f t="shared" si="42"/>
        <v>Rural MRSA Northeast</v>
      </c>
      <c r="I143" s="44">
        <f>INDEX(FeeCalc!M:M,MATCH(C:C,FeeCalc!F:F,0))</f>
        <v>419034.22507317155</v>
      </c>
      <c r="J143" s="44">
        <f>INDEX(FeeCalc!L:L,MATCH(C:C,FeeCalc!F:F,0))</f>
        <v>0</v>
      </c>
      <c r="K143" s="44">
        <f t="shared" si="43"/>
        <v>419034.22507317155</v>
      </c>
      <c r="L143" s="44">
        <v>24510.7</v>
      </c>
      <c r="M143" s="44">
        <v>-69.19</v>
      </c>
      <c r="N143" s="44">
        <f t="shared" si="44"/>
        <v>24441.510000000002</v>
      </c>
      <c r="O143" s="44">
        <v>-12691.582636375337</v>
      </c>
      <c r="P143" s="44">
        <v>538.94149863417783</v>
      </c>
      <c r="Q143" s="44">
        <f t="shared" si="45"/>
        <v>-12152.641137741159</v>
      </c>
      <c r="R143" s="44" t="str">
        <f t="shared" si="46"/>
        <v>No</v>
      </c>
      <c r="S143" s="45" t="str">
        <f t="shared" si="46"/>
        <v>Yes</v>
      </c>
      <c r="T143" s="46">
        <f>ROUND(INDEX(Summary!H:H,MATCH(H:H,Summary!A:A,0)),2)</f>
        <v>0</v>
      </c>
      <c r="U143" s="46">
        <f>ROUND(INDEX(Summary!I:I,MATCH(H:H,Summary!A:A,0)),2)</f>
        <v>0.32</v>
      </c>
      <c r="V143" s="79">
        <f t="shared" si="47"/>
        <v>0</v>
      </c>
      <c r="W143" s="79">
        <f t="shared" si="47"/>
        <v>0</v>
      </c>
      <c r="X143" s="44">
        <f t="shared" si="48"/>
        <v>0</v>
      </c>
      <c r="Y143" s="44" t="s">
        <v>2765</v>
      </c>
      <c r="Z143" s="44" t="str">
        <f t="shared" si="49"/>
        <v>No</v>
      </c>
      <c r="AA143" s="44" t="str">
        <f t="shared" si="49"/>
        <v>No</v>
      </c>
      <c r="AB143" s="44" t="str">
        <f t="shared" si="50"/>
        <v>No</v>
      </c>
      <c r="AC143" s="80">
        <f t="shared" si="57"/>
        <v>0</v>
      </c>
      <c r="AD143" s="80">
        <f t="shared" si="58"/>
        <v>0</v>
      </c>
      <c r="AE143" s="44">
        <f t="shared" si="51"/>
        <v>0</v>
      </c>
      <c r="AF143" s="44">
        <f t="shared" si="51"/>
        <v>0</v>
      </c>
      <c r="AG143" s="44">
        <f t="shared" si="52"/>
        <v>0</v>
      </c>
      <c r="AH143" s="46">
        <f>IF(Y143="No",0,IFERROR(ROUNDDOWN(INDEX('90% of ACR'!K:K,MATCH(H:H,'90% of ACR'!A:A,0))*IF(I143&gt;0,IF(O143&gt;0,$R$4*MAX(O143-V143,0),0),0)/I143,2),0))</f>
        <v>0</v>
      </c>
      <c r="AI143" s="80">
        <f>IF(Y143="No",0,IFERROR(ROUNDDOWN(INDEX('90% of ACR'!R:R,MATCH(H:H,'90% of ACR'!A:A,0))*IF(J143&gt;0,IF(P143&gt;0,$R$4*MAX(P143-W143,0),0),0)/J143,2),0))</f>
        <v>0</v>
      </c>
      <c r="AJ143" s="44">
        <f t="shared" si="53"/>
        <v>0</v>
      </c>
      <c r="AK143" s="44">
        <f t="shared" si="53"/>
        <v>0</v>
      </c>
      <c r="AL143" s="46">
        <f t="shared" si="54"/>
        <v>0</v>
      </c>
      <c r="AM143" s="46">
        <f t="shared" si="54"/>
        <v>0.32</v>
      </c>
      <c r="AN143" s="81">
        <f>IFERROR(INDEX(FeeCalc!P:P,MATCH(C143,FeeCalc!F:F,0)),0)</f>
        <v>0</v>
      </c>
      <c r="AO143" s="81">
        <f>IFERROR(INDEX(FeeCalc!S:S,MATCH(C143,FeeCalc!F:F,0)),0)</f>
        <v>0</v>
      </c>
      <c r="AP143" s="81">
        <f t="shared" si="55"/>
        <v>0</v>
      </c>
      <c r="AQ143" s="68">
        <f t="shared" si="56"/>
        <v>0</v>
      </c>
      <c r="AR143" s="68">
        <f>INDEX('IGT Commitment Suggestions'!H:H,MATCH(G143,'IGT Commitment Suggestions'!A:A,0))*AQ143</f>
        <v>0</v>
      </c>
    </row>
    <row r="144" spans="1:44">
      <c r="A144" s="103" t="s">
        <v>725</v>
      </c>
      <c r="B144" s="123" t="s">
        <v>725</v>
      </c>
      <c r="C144" s="30" t="s">
        <v>726</v>
      </c>
      <c r="D144" s="124" t="s">
        <v>726</v>
      </c>
      <c r="E144" s="119" t="s">
        <v>2597</v>
      </c>
      <c r="F144" s="99" t="s">
        <v>2295</v>
      </c>
      <c r="G144" s="99" t="s">
        <v>1486</v>
      </c>
      <c r="H144" s="42" t="str">
        <f t="shared" si="42"/>
        <v>Rural MRSA Central</v>
      </c>
      <c r="I144" s="44">
        <f>INDEX(FeeCalc!M:M,MATCH(C:C,FeeCalc!F:F,0))</f>
        <v>6656.751730418051</v>
      </c>
      <c r="J144" s="44">
        <f>INDEX(FeeCalc!L:L,MATCH(C:C,FeeCalc!F:F,0))</f>
        <v>789896.70987461437</v>
      </c>
      <c r="K144" s="44">
        <f t="shared" si="43"/>
        <v>796553.46160503244</v>
      </c>
      <c r="L144" s="44">
        <v>9259.92</v>
      </c>
      <c r="M144" s="44">
        <v>-50175.7</v>
      </c>
      <c r="N144" s="44">
        <f t="shared" si="44"/>
        <v>-40915.78</v>
      </c>
      <c r="O144" s="44">
        <v>6663.4017413207275</v>
      </c>
      <c r="P144" s="44">
        <v>180392.3239161176</v>
      </c>
      <c r="Q144" s="44">
        <f t="shared" si="45"/>
        <v>187055.72565743834</v>
      </c>
      <c r="R144" s="44" t="str">
        <f t="shared" si="46"/>
        <v>Yes</v>
      </c>
      <c r="S144" s="45" t="str">
        <f t="shared" si="46"/>
        <v>Yes</v>
      </c>
      <c r="T144" s="46">
        <f>ROUND(INDEX(Summary!H:H,MATCH(H:H,Summary!A:A,0)),2)</f>
        <v>0.11</v>
      </c>
      <c r="U144" s="46">
        <f>ROUND(INDEX(Summary!I:I,MATCH(H:H,Summary!A:A,0)),2)</f>
        <v>0.09</v>
      </c>
      <c r="V144" s="79">
        <f t="shared" si="47"/>
        <v>732.24269034598558</v>
      </c>
      <c r="W144" s="79">
        <f t="shared" si="47"/>
        <v>71090.703888715288</v>
      </c>
      <c r="X144" s="44">
        <f t="shared" si="48"/>
        <v>71822.946579061274</v>
      </c>
      <c r="Y144" s="44" t="s">
        <v>2765</v>
      </c>
      <c r="Z144" s="44" t="str">
        <f t="shared" si="49"/>
        <v>Yes</v>
      </c>
      <c r="AA144" s="44" t="str">
        <f t="shared" si="49"/>
        <v>Yes</v>
      </c>
      <c r="AB144" s="44" t="str">
        <f t="shared" si="50"/>
        <v>Yes</v>
      </c>
      <c r="AC144" s="80">
        <f t="shared" si="57"/>
        <v>0.62</v>
      </c>
      <c r="AD144" s="80">
        <f t="shared" si="58"/>
        <v>0.1</v>
      </c>
      <c r="AE144" s="44">
        <f t="shared" si="51"/>
        <v>4127.1860728591919</v>
      </c>
      <c r="AF144" s="44">
        <f t="shared" si="51"/>
        <v>78989.670987461446</v>
      </c>
      <c r="AG144" s="44">
        <f t="shared" si="52"/>
        <v>83116.857060320632</v>
      </c>
      <c r="AH144" s="46">
        <f>IF(Y144="No",0,IFERROR(ROUNDDOWN(INDEX('90% of ACR'!K:K,MATCH(H:H,'90% of ACR'!A:A,0))*IF(I144&gt;0,IF(O144&gt;0,$R$4*MAX(O144-V144,0),0),0)/I144,2),0))</f>
        <v>0.32</v>
      </c>
      <c r="AI144" s="80">
        <f>IF(Y144="No",0,IFERROR(ROUNDDOWN(INDEX('90% of ACR'!R:R,MATCH(H:H,'90% of ACR'!A:A,0))*IF(J144&gt;0,IF(P144&gt;0,$R$4*MAX(P144-W144,0),0),0)/J144,2),0))</f>
        <v>0.09</v>
      </c>
      <c r="AJ144" s="44">
        <f t="shared" si="53"/>
        <v>2130.1605537337764</v>
      </c>
      <c r="AK144" s="44">
        <f t="shared" si="53"/>
        <v>71090.703888715288</v>
      </c>
      <c r="AL144" s="46">
        <f t="shared" si="54"/>
        <v>0.43</v>
      </c>
      <c r="AM144" s="46">
        <f t="shared" si="54"/>
        <v>0.18</v>
      </c>
      <c r="AN144" s="81">
        <f>IFERROR(INDEX(FeeCalc!P:P,MATCH(C144,FeeCalc!F:F,0)),0)</f>
        <v>145043.81102151034</v>
      </c>
      <c r="AO144" s="81">
        <f>IFERROR(INDEX(FeeCalc!S:S,MATCH(C144,FeeCalc!F:F,0)),0)</f>
        <v>8950.4693451915864</v>
      </c>
      <c r="AP144" s="81">
        <f t="shared" si="55"/>
        <v>153994.28036670192</v>
      </c>
      <c r="AQ144" s="68">
        <f t="shared" si="56"/>
        <v>60604.757026876279</v>
      </c>
      <c r="AR144" s="68">
        <f>INDEX('IGT Commitment Suggestions'!H:H,MATCH(G144,'IGT Commitment Suggestions'!A:A,0))*AQ144</f>
        <v>27686.493192373528</v>
      </c>
    </row>
    <row r="145" spans="1:44">
      <c r="A145" s="103" t="s">
        <v>816</v>
      </c>
      <c r="B145" s="123" t="s">
        <v>816</v>
      </c>
      <c r="C145" s="30" t="s">
        <v>817</v>
      </c>
      <c r="D145" s="124" t="s">
        <v>817</v>
      </c>
      <c r="E145" s="119" t="s">
        <v>2855</v>
      </c>
      <c r="F145" s="99" t="s">
        <v>2295</v>
      </c>
      <c r="G145" s="99" t="s">
        <v>1486</v>
      </c>
      <c r="H145" s="42" t="str">
        <f t="shared" si="42"/>
        <v>Rural MRSA Central</v>
      </c>
      <c r="I145" s="44">
        <f>INDEX(FeeCalc!M:M,MATCH(C:C,FeeCalc!F:F,0))</f>
        <v>11098.692996497786</v>
      </c>
      <c r="J145" s="44">
        <f>INDEX(FeeCalc!L:L,MATCH(C:C,FeeCalc!F:F,0))</f>
        <v>786930.04336233786</v>
      </c>
      <c r="K145" s="44">
        <f t="shared" si="43"/>
        <v>798028.73635883559</v>
      </c>
      <c r="L145" s="44">
        <v>0</v>
      </c>
      <c r="M145" s="44">
        <v>-227916.9</v>
      </c>
      <c r="N145" s="44">
        <f t="shared" si="44"/>
        <v>-227916.9</v>
      </c>
      <c r="O145" s="44">
        <v>0</v>
      </c>
      <c r="P145" s="44">
        <v>432588.98441969516</v>
      </c>
      <c r="Q145" s="44">
        <f t="shared" si="45"/>
        <v>432588.98441969516</v>
      </c>
      <c r="R145" s="44" t="str">
        <f t="shared" si="46"/>
        <v>No</v>
      </c>
      <c r="S145" s="45" t="str">
        <f t="shared" si="46"/>
        <v>Yes</v>
      </c>
      <c r="T145" s="46">
        <f>ROUND(INDEX(Summary!H:H,MATCH(H:H,Summary!A:A,0)),2)</f>
        <v>0.11</v>
      </c>
      <c r="U145" s="46">
        <f>ROUND(INDEX(Summary!I:I,MATCH(H:H,Summary!A:A,0)),2)</f>
        <v>0.09</v>
      </c>
      <c r="V145" s="79">
        <f t="shared" si="47"/>
        <v>1220.8562296147566</v>
      </c>
      <c r="W145" s="79">
        <f t="shared" si="47"/>
        <v>70823.703902610403</v>
      </c>
      <c r="X145" s="44">
        <f t="shared" si="48"/>
        <v>72044.56013222516</v>
      </c>
      <c r="Y145" s="44" t="s">
        <v>2765</v>
      </c>
      <c r="Z145" s="44" t="str">
        <f t="shared" si="49"/>
        <v>No</v>
      </c>
      <c r="AA145" s="44" t="str">
        <f t="shared" si="49"/>
        <v>Yes</v>
      </c>
      <c r="AB145" s="44" t="str">
        <f t="shared" si="50"/>
        <v>Yes</v>
      </c>
      <c r="AC145" s="80">
        <f t="shared" si="57"/>
        <v>0</v>
      </c>
      <c r="AD145" s="80">
        <f t="shared" si="58"/>
        <v>0.32</v>
      </c>
      <c r="AE145" s="44">
        <f t="shared" si="51"/>
        <v>0</v>
      </c>
      <c r="AF145" s="44">
        <f t="shared" si="51"/>
        <v>251817.61387594813</v>
      </c>
      <c r="AG145" s="44">
        <f t="shared" si="52"/>
        <v>251817.61387594813</v>
      </c>
      <c r="AH145" s="46">
        <f>IF(Y145="No",0,IFERROR(ROUNDDOWN(INDEX('90% of ACR'!K:K,MATCH(H:H,'90% of ACR'!A:A,0))*IF(I145&gt;0,IF(O145&gt;0,$R$4*MAX(O145-V145,0),0),0)/I145,2),0))</f>
        <v>0</v>
      </c>
      <c r="AI145" s="80">
        <f>IF(Y145="No",0,IFERROR(ROUNDDOWN(INDEX('90% of ACR'!R:R,MATCH(H:H,'90% of ACR'!A:A,0))*IF(J145&gt;0,IF(P145&gt;0,$R$4*MAX(P145-W145,0),0),0)/J145,2),0))</f>
        <v>0.32</v>
      </c>
      <c r="AJ145" s="44">
        <f t="shared" si="53"/>
        <v>0</v>
      </c>
      <c r="AK145" s="44">
        <f t="shared" si="53"/>
        <v>251817.61387594813</v>
      </c>
      <c r="AL145" s="46">
        <f t="shared" si="54"/>
        <v>0.11</v>
      </c>
      <c r="AM145" s="46">
        <f t="shared" si="54"/>
        <v>0.41000000000000003</v>
      </c>
      <c r="AN145" s="81">
        <f>IFERROR(INDEX(FeeCalc!P:P,MATCH(C145,FeeCalc!F:F,0)),0)</f>
        <v>323862.17400817329</v>
      </c>
      <c r="AO145" s="81">
        <f>IFERROR(INDEX(FeeCalc!S:S,MATCH(C145,FeeCalc!F:F,0)),0)</f>
        <v>19943.986235338551</v>
      </c>
      <c r="AP145" s="81">
        <f t="shared" si="55"/>
        <v>343806.16024351184</v>
      </c>
      <c r="AQ145" s="68">
        <f t="shared" si="56"/>
        <v>135305.60197615458</v>
      </c>
      <c r="AR145" s="68">
        <f>INDEX('IGT Commitment Suggestions'!H:H,MATCH(G145,'IGT Commitment Suggestions'!A:A,0))*AQ145</f>
        <v>61812.60039276311</v>
      </c>
    </row>
    <row r="146" spans="1:44">
      <c r="A146" s="103" t="s">
        <v>542</v>
      </c>
      <c r="B146" s="123" t="s">
        <v>542</v>
      </c>
      <c r="C146" s="30" t="s">
        <v>543</v>
      </c>
      <c r="D146" s="124" t="s">
        <v>543</v>
      </c>
      <c r="E146" s="119" t="s">
        <v>2598</v>
      </c>
      <c r="F146" s="99" t="s">
        <v>2295</v>
      </c>
      <c r="G146" s="99" t="s">
        <v>1486</v>
      </c>
      <c r="H146" s="42" t="str">
        <f t="shared" si="42"/>
        <v>Rural MRSA Central</v>
      </c>
      <c r="I146" s="44">
        <f>INDEX(FeeCalc!M:M,MATCH(C:C,FeeCalc!F:F,0))</f>
        <v>45124.451328988522</v>
      </c>
      <c r="J146" s="44">
        <f>INDEX(FeeCalc!L:L,MATCH(C:C,FeeCalc!F:F,0))</f>
        <v>504097.05653252167</v>
      </c>
      <c r="K146" s="44">
        <f t="shared" si="43"/>
        <v>549221.50786151015</v>
      </c>
      <c r="L146" s="44">
        <v>31447.16</v>
      </c>
      <c r="M146" s="44">
        <v>-53893.64</v>
      </c>
      <c r="N146" s="44">
        <f t="shared" si="44"/>
        <v>-22446.48</v>
      </c>
      <c r="O146" s="44">
        <v>16613.323420616915</v>
      </c>
      <c r="P146" s="44">
        <v>247684.09157255746</v>
      </c>
      <c r="Q146" s="44">
        <f t="shared" si="45"/>
        <v>264297.41499317437</v>
      </c>
      <c r="R146" s="44" t="str">
        <f t="shared" si="46"/>
        <v>Yes</v>
      </c>
      <c r="S146" s="45" t="str">
        <f t="shared" si="46"/>
        <v>Yes</v>
      </c>
      <c r="T146" s="46">
        <f>ROUND(INDEX(Summary!H:H,MATCH(H:H,Summary!A:A,0)),2)</f>
        <v>0.11</v>
      </c>
      <c r="U146" s="46">
        <f>ROUND(INDEX(Summary!I:I,MATCH(H:H,Summary!A:A,0)),2)</f>
        <v>0.09</v>
      </c>
      <c r="V146" s="79">
        <f t="shared" si="47"/>
        <v>4963.6896461887372</v>
      </c>
      <c r="W146" s="79">
        <f t="shared" si="47"/>
        <v>45368.735087926951</v>
      </c>
      <c r="X146" s="44">
        <f t="shared" si="48"/>
        <v>50332.424734115688</v>
      </c>
      <c r="Y146" s="44" t="s">
        <v>2765</v>
      </c>
      <c r="Z146" s="44" t="str">
        <f t="shared" si="49"/>
        <v>Yes</v>
      </c>
      <c r="AA146" s="44" t="str">
        <f t="shared" si="49"/>
        <v>Yes</v>
      </c>
      <c r="AB146" s="44" t="str">
        <f t="shared" si="50"/>
        <v>Yes</v>
      </c>
      <c r="AC146" s="80">
        <f t="shared" si="57"/>
        <v>0.18</v>
      </c>
      <c r="AD146" s="80">
        <f t="shared" si="58"/>
        <v>0.28000000000000003</v>
      </c>
      <c r="AE146" s="44">
        <f t="shared" si="51"/>
        <v>8122.4012392179338</v>
      </c>
      <c r="AF146" s="44">
        <f t="shared" si="51"/>
        <v>141147.17582910607</v>
      </c>
      <c r="AG146" s="44">
        <f t="shared" si="52"/>
        <v>149269.577068324</v>
      </c>
      <c r="AH146" s="46">
        <f>IF(Y146="No",0,IFERROR(ROUNDDOWN(INDEX('90% of ACR'!K:K,MATCH(H:H,'90% of ACR'!A:A,0))*IF(I146&gt;0,IF(O146&gt;0,$R$4*MAX(O146-V146,0),0),0)/I146,2),0))</f>
        <v>0.09</v>
      </c>
      <c r="AI146" s="80">
        <f>IF(Y146="No",0,IFERROR(ROUNDDOWN(INDEX('90% of ACR'!R:R,MATCH(H:H,'90% of ACR'!A:A,0))*IF(J146&gt;0,IF(P146&gt;0,$R$4*MAX(P146-W146,0),0),0)/J146,2),0))</f>
        <v>0.27</v>
      </c>
      <c r="AJ146" s="44">
        <f t="shared" si="53"/>
        <v>4061.2006196089669</v>
      </c>
      <c r="AK146" s="44">
        <f t="shared" si="53"/>
        <v>136106.20526378087</v>
      </c>
      <c r="AL146" s="46">
        <f t="shared" si="54"/>
        <v>0.2</v>
      </c>
      <c r="AM146" s="46">
        <f t="shared" si="54"/>
        <v>0.36</v>
      </c>
      <c r="AN146" s="81">
        <f>IFERROR(INDEX(FeeCalc!P:P,MATCH(C146,FeeCalc!F:F,0)),0)</f>
        <v>190499.8306175055</v>
      </c>
      <c r="AO146" s="81">
        <f>IFERROR(INDEX(FeeCalc!S:S,MATCH(C146,FeeCalc!F:F,0)),0)</f>
        <v>11808.505548007341</v>
      </c>
      <c r="AP146" s="81">
        <f t="shared" si="55"/>
        <v>202308.33616551285</v>
      </c>
      <c r="AQ146" s="68">
        <f t="shared" si="56"/>
        <v>79618.85031460991</v>
      </c>
      <c r="AR146" s="68">
        <f>INDEX('IGT Commitment Suggestions'!H:H,MATCH(G146,'IGT Commitment Suggestions'!A:A,0))*AQ146</f>
        <v>36372.833839470513</v>
      </c>
    </row>
    <row r="147" spans="1:44">
      <c r="A147" s="103" t="s">
        <v>524</v>
      </c>
      <c r="B147" s="123" t="s">
        <v>524</v>
      </c>
      <c r="C147" s="30" t="s">
        <v>525</v>
      </c>
      <c r="D147" s="124" t="s">
        <v>525</v>
      </c>
      <c r="E147" s="119" t="s">
        <v>2346</v>
      </c>
      <c r="F147" s="99" t="s">
        <v>2283</v>
      </c>
      <c r="G147" s="99" t="s">
        <v>223</v>
      </c>
      <c r="H147" s="42" t="str">
        <f t="shared" si="42"/>
        <v>Urban Dallas</v>
      </c>
      <c r="I147" s="44">
        <f>INDEX(FeeCalc!M:M,MATCH(C:C,FeeCalc!F:F,0))</f>
        <v>24941482.498631969</v>
      </c>
      <c r="J147" s="44">
        <f>INDEX(FeeCalc!L:L,MATCH(C:C,FeeCalc!F:F,0))</f>
        <v>4720598.2117915023</v>
      </c>
      <c r="K147" s="44">
        <f t="shared" si="43"/>
        <v>29662080.71042347</v>
      </c>
      <c r="L147" s="44">
        <v>17568361.719999999</v>
      </c>
      <c r="M147" s="44">
        <v>4286264.9800000004</v>
      </c>
      <c r="N147" s="44">
        <f t="shared" si="44"/>
        <v>21854626.699999999</v>
      </c>
      <c r="O147" s="44">
        <v>43437527.894497618</v>
      </c>
      <c r="P147" s="44">
        <v>6863393.3730972577</v>
      </c>
      <c r="Q147" s="44">
        <f t="shared" si="45"/>
        <v>50300921.267594874</v>
      </c>
      <c r="R147" s="44" t="str">
        <f t="shared" si="46"/>
        <v>Yes</v>
      </c>
      <c r="S147" s="45" t="str">
        <f t="shared" si="46"/>
        <v>Yes</v>
      </c>
      <c r="T147" s="46">
        <f>ROUND(INDEX(Summary!H:H,MATCH(H:H,Summary!A:A,0)),2)</f>
        <v>0.6</v>
      </c>
      <c r="U147" s="46">
        <f>ROUND(INDEX(Summary!I:I,MATCH(H:H,Summary!A:A,0)),2)</f>
        <v>0.3</v>
      </c>
      <c r="V147" s="79">
        <f t="shared" si="47"/>
        <v>14964889.499179181</v>
      </c>
      <c r="W147" s="79">
        <f t="shared" si="47"/>
        <v>1416179.4635374506</v>
      </c>
      <c r="X147" s="44">
        <f t="shared" si="48"/>
        <v>16381068.962716632</v>
      </c>
      <c r="Y147" s="44" t="s">
        <v>2765</v>
      </c>
      <c r="Z147" s="44" t="str">
        <f t="shared" si="49"/>
        <v>Yes</v>
      </c>
      <c r="AA147" s="44" t="str">
        <f t="shared" si="49"/>
        <v>Yes</v>
      </c>
      <c r="AB147" s="44" t="str">
        <f t="shared" si="50"/>
        <v>Yes</v>
      </c>
      <c r="AC147" s="80">
        <f t="shared" si="57"/>
        <v>0.8</v>
      </c>
      <c r="AD147" s="80">
        <f t="shared" si="58"/>
        <v>0.8</v>
      </c>
      <c r="AE147" s="44">
        <f t="shared" si="51"/>
        <v>19953185.998905577</v>
      </c>
      <c r="AF147" s="44">
        <f t="shared" si="51"/>
        <v>3776478.569433202</v>
      </c>
      <c r="AG147" s="44">
        <f t="shared" si="52"/>
        <v>23729664.568338778</v>
      </c>
      <c r="AH147" s="46">
        <f>IF(Y147="No",0,IFERROR(ROUNDDOWN(INDEX('90% of ACR'!K:K,MATCH(H:H,'90% of ACR'!A:A,0))*IF(I147&gt;0,IF(O147&gt;0,$R$4*MAX(O147-V147,0),0),0)/I147,2),0))</f>
        <v>0.79</v>
      </c>
      <c r="AI147" s="80">
        <f>IF(Y147="No",0,IFERROR(ROUNDDOWN(INDEX('90% of ACR'!R:R,MATCH(H:H,'90% of ACR'!A:A,0))*IF(J147&gt;0,IF(P147&gt;0,$R$4*MAX(P147-W147,0),0),0)/J147,2),0))</f>
        <v>0.8</v>
      </c>
      <c r="AJ147" s="44">
        <f t="shared" si="53"/>
        <v>19703771.173919257</v>
      </c>
      <c r="AK147" s="44">
        <f t="shared" si="53"/>
        <v>3776478.569433202</v>
      </c>
      <c r="AL147" s="46">
        <f t="shared" si="54"/>
        <v>1.3900000000000001</v>
      </c>
      <c r="AM147" s="46">
        <f t="shared" si="54"/>
        <v>1.1000000000000001</v>
      </c>
      <c r="AN147" s="81">
        <f>IFERROR(INDEX(FeeCalc!P:P,MATCH(C147,FeeCalc!F:F,0)),0)</f>
        <v>39861318.706069089</v>
      </c>
      <c r="AO147" s="81">
        <f>IFERROR(INDEX(FeeCalc!S:S,MATCH(C147,FeeCalc!F:F,0)),0)</f>
        <v>2502308.9632373084</v>
      </c>
      <c r="AP147" s="81">
        <f t="shared" si="55"/>
        <v>42363627.669306397</v>
      </c>
      <c r="AQ147" s="68">
        <f t="shared" si="56"/>
        <v>16672290.396510873</v>
      </c>
      <c r="AR147" s="68">
        <f>INDEX('IGT Commitment Suggestions'!H:H,MATCH(G147,'IGT Commitment Suggestions'!A:A,0))*AQ147</f>
        <v>7624800.7974082967</v>
      </c>
    </row>
    <row r="148" spans="1:44">
      <c r="A148" s="103" t="s">
        <v>509</v>
      </c>
      <c r="B148" s="123" t="s">
        <v>509</v>
      </c>
      <c r="C148" s="30" t="s">
        <v>510</v>
      </c>
      <c r="D148" s="124" t="s">
        <v>510</v>
      </c>
      <c r="E148" s="119" t="s">
        <v>2342</v>
      </c>
      <c r="F148" s="99" t="s">
        <v>2283</v>
      </c>
      <c r="G148" s="99" t="s">
        <v>1365</v>
      </c>
      <c r="H148" s="42" t="str">
        <f t="shared" si="42"/>
        <v>Urban Tarrant</v>
      </c>
      <c r="I148" s="44">
        <f>INDEX(FeeCalc!M:M,MATCH(C:C,FeeCalc!F:F,0))</f>
        <v>16548075.906492025</v>
      </c>
      <c r="J148" s="44">
        <f>INDEX(FeeCalc!L:L,MATCH(C:C,FeeCalc!F:F,0))</f>
        <v>2689348.3914514612</v>
      </c>
      <c r="K148" s="44">
        <f t="shared" si="43"/>
        <v>19237424.297943488</v>
      </c>
      <c r="L148" s="44">
        <v>11953098.9</v>
      </c>
      <c r="M148" s="44">
        <v>2025239.79</v>
      </c>
      <c r="N148" s="44">
        <f t="shared" si="44"/>
        <v>13978338.690000001</v>
      </c>
      <c r="O148" s="44">
        <v>35612953.264941901</v>
      </c>
      <c r="P148" s="44">
        <v>3384639.5484618656</v>
      </c>
      <c r="Q148" s="44">
        <f t="shared" si="45"/>
        <v>38997592.81340377</v>
      </c>
      <c r="R148" s="44" t="str">
        <f t="shared" si="46"/>
        <v>Yes</v>
      </c>
      <c r="S148" s="45" t="str">
        <f t="shared" si="46"/>
        <v>Yes</v>
      </c>
      <c r="T148" s="46">
        <f>ROUND(INDEX(Summary!H:H,MATCH(H:H,Summary!A:A,0)),2)</f>
        <v>0.84</v>
      </c>
      <c r="U148" s="46">
        <f>ROUND(INDEX(Summary!I:I,MATCH(H:H,Summary!A:A,0)),2)</f>
        <v>0.55000000000000004</v>
      </c>
      <c r="V148" s="79">
        <f t="shared" si="47"/>
        <v>13900383.761453301</v>
      </c>
      <c r="W148" s="79">
        <f t="shared" si="47"/>
        <v>1479141.6152983038</v>
      </c>
      <c r="X148" s="44">
        <f t="shared" si="48"/>
        <v>15379525.376751605</v>
      </c>
      <c r="Y148" s="44" t="s">
        <v>2765</v>
      </c>
      <c r="Z148" s="44" t="str">
        <f t="shared" si="49"/>
        <v>Yes</v>
      </c>
      <c r="AA148" s="44" t="str">
        <f t="shared" si="49"/>
        <v>Yes</v>
      </c>
      <c r="AB148" s="44" t="str">
        <f t="shared" si="50"/>
        <v>Yes</v>
      </c>
      <c r="AC148" s="80">
        <f t="shared" si="57"/>
        <v>0.91</v>
      </c>
      <c r="AD148" s="80">
        <f t="shared" si="58"/>
        <v>0.49</v>
      </c>
      <c r="AE148" s="44">
        <f t="shared" si="51"/>
        <v>15058749.074907742</v>
      </c>
      <c r="AF148" s="44">
        <f t="shared" si="51"/>
        <v>1317780.7118112161</v>
      </c>
      <c r="AG148" s="44">
        <f t="shared" si="52"/>
        <v>16376529.786718959</v>
      </c>
      <c r="AH148" s="46">
        <f>IF(Y148="No",0,IFERROR(ROUNDDOWN(INDEX('90% of ACR'!K:K,MATCH(H:H,'90% of ACR'!A:A,0))*IF(I148&gt;0,IF(O148&gt;0,$R$4*MAX(O148-V148,0),0),0)/I148,2),0))</f>
        <v>0.91</v>
      </c>
      <c r="AI148" s="80">
        <f>IF(Y148="No",0,IFERROR(ROUNDDOWN(INDEX('90% of ACR'!R:R,MATCH(H:H,'90% of ACR'!A:A,0))*IF(J148&gt;0,IF(P148&gt;0,$R$4*MAX(P148-W148,0),0),0)/J148,2),0))</f>
        <v>0.47</v>
      </c>
      <c r="AJ148" s="44">
        <f t="shared" si="53"/>
        <v>15058749.074907742</v>
      </c>
      <c r="AK148" s="44">
        <f t="shared" si="53"/>
        <v>1263993.7439821868</v>
      </c>
      <c r="AL148" s="46">
        <f t="shared" si="54"/>
        <v>1.75</v>
      </c>
      <c r="AM148" s="46">
        <f t="shared" si="54"/>
        <v>1.02</v>
      </c>
      <c r="AN148" s="81">
        <f>IFERROR(INDEX(FeeCalc!P:P,MATCH(C148,FeeCalc!F:F,0)),0)</f>
        <v>31702268.195641533</v>
      </c>
      <c r="AO148" s="81">
        <f>IFERROR(INDEX(FeeCalc!S:S,MATCH(C148,FeeCalc!F:F,0)),0)</f>
        <v>1941755.8204863798</v>
      </c>
      <c r="AP148" s="81">
        <f t="shared" si="55"/>
        <v>33644024.016127914</v>
      </c>
      <c r="AQ148" s="68">
        <f t="shared" si="56"/>
        <v>13240672.939595174</v>
      </c>
      <c r="AR148" s="68">
        <f>INDEX('IGT Commitment Suggestions'!H:H,MATCH(G148,'IGT Commitment Suggestions'!A:A,0))*AQ148</f>
        <v>6038944.9281493621</v>
      </c>
    </row>
    <row r="149" spans="1:44">
      <c r="A149" s="103" t="s">
        <v>25</v>
      </c>
      <c r="B149" s="123" t="s">
        <v>25</v>
      </c>
      <c r="C149" s="30" t="s">
        <v>26</v>
      </c>
      <c r="D149" s="124" t="s">
        <v>26</v>
      </c>
      <c r="E149" s="119" t="s">
        <v>2856</v>
      </c>
      <c r="F149" s="99" t="s">
        <v>2283</v>
      </c>
      <c r="G149" s="99" t="s">
        <v>223</v>
      </c>
      <c r="H149" s="42" t="str">
        <f t="shared" si="42"/>
        <v>Urban Dallas</v>
      </c>
      <c r="I149" s="44">
        <f>INDEX(FeeCalc!M:M,MATCH(C:C,FeeCalc!F:F,0))</f>
        <v>134224.4365229164</v>
      </c>
      <c r="J149" s="44">
        <f>INDEX(FeeCalc!L:L,MATCH(C:C,FeeCalc!F:F,0))</f>
        <v>8653.7059549796231</v>
      </c>
      <c r="K149" s="44">
        <f t="shared" si="43"/>
        <v>142878.14247789601</v>
      </c>
      <c r="L149" s="44">
        <v>513850.21</v>
      </c>
      <c r="M149" s="44">
        <v>287520.88</v>
      </c>
      <c r="N149" s="44">
        <f t="shared" si="44"/>
        <v>801371.09000000008</v>
      </c>
      <c r="O149" s="44">
        <v>1325039.4088219195</v>
      </c>
      <c r="P149" s="44">
        <v>384906.41944232368</v>
      </c>
      <c r="Q149" s="44">
        <f t="shared" si="45"/>
        <v>1709945.8282642432</v>
      </c>
      <c r="R149" s="44" t="str">
        <f t="shared" si="46"/>
        <v>Yes</v>
      </c>
      <c r="S149" s="45" t="str">
        <f t="shared" si="46"/>
        <v>Yes</v>
      </c>
      <c r="T149" s="46">
        <f>ROUND(INDEX(Summary!H:H,MATCH(H:H,Summary!A:A,0)),2)</f>
        <v>0.6</v>
      </c>
      <c r="U149" s="46">
        <f>ROUND(INDEX(Summary!I:I,MATCH(H:H,Summary!A:A,0)),2)</f>
        <v>0.3</v>
      </c>
      <c r="V149" s="79">
        <f t="shared" si="47"/>
        <v>80534.661913749835</v>
      </c>
      <c r="W149" s="79">
        <f t="shared" si="47"/>
        <v>2596.1117864938869</v>
      </c>
      <c r="X149" s="44">
        <f t="shared" si="48"/>
        <v>83130.773700243721</v>
      </c>
      <c r="Y149" s="44" t="s">
        <v>2765</v>
      </c>
      <c r="Z149" s="44" t="str">
        <f t="shared" si="49"/>
        <v>Yes</v>
      </c>
      <c r="AA149" s="44" t="str">
        <f t="shared" si="49"/>
        <v>Yes</v>
      </c>
      <c r="AB149" s="44" t="str">
        <f t="shared" si="50"/>
        <v>Yes</v>
      </c>
      <c r="AC149" s="80">
        <f t="shared" si="57"/>
        <v>6.46</v>
      </c>
      <c r="AD149" s="80">
        <f t="shared" si="58"/>
        <v>30.78</v>
      </c>
      <c r="AE149" s="44">
        <f t="shared" si="51"/>
        <v>867089.85993803991</v>
      </c>
      <c r="AF149" s="44">
        <f t="shared" si="51"/>
        <v>266361.06929427281</v>
      </c>
      <c r="AG149" s="44">
        <f t="shared" si="52"/>
        <v>1133450.9292323128</v>
      </c>
      <c r="AH149" s="46">
        <f>IF(Y149="No",0,IFERROR(ROUNDDOWN(INDEX('90% of ACR'!K:K,MATCH(H:H,'90% of ACR'!A:A,0))*IF(I149&gt;0,IF(O149&gt;0,$R$4*MAX(O149-V149,0),0),0)/I149,2),0))</f>
        <v>6.45</v>
      </c>
      <c r="AI149" s="80">
        <f>IF(Y149="No",0,IFERROR(ROUNDDOWN(INDEX('90% of ACR'!R:R,MATCH(H:H,'90% of ACR'!A:A,0))*IF(J149&gt;0,IF(P149&gt;0,$R$4*MAX(P149-W149,0),0),0)/J149,2),0))</f>
        <v>30.77</v>
      </c>
      <c r="AJ149" s="44">
        <f t="shared" si="53"/>
        <v>865747.61557281076</v>
      </c>
      <c r="AK149" s="44">
        <f t="shared" si="53"/>
        <v>266274.53223472298</v>
      </c>
      <c r="AL149" s="46">
        <f t="shared" si="54"/>
        <v>7.05</v>
      </c>
      <c r="AM149" s="46">
        <f t="shared" si="54"/>
        <v>31.07</v>
      </c>
      <c r="AN149" s="81">
        <f>IFERROR(INDEX(FeeCalc!P:P,MATCH(C149,FeeCalc!F:F,0)),0)</f>
        <v>1215152.9215077774</v>
      </c>
      <c r="AO149" s="81">
        <f>IFERROR(INDEX(FeeCalc!S:S,MATCH(C149,FeeCalc!F:F,0)),0)</f>
        <v>77562.952436666659</v>
      </c>
      <c r="AP149" s="81">
        <f t="shared" si="55"/>
        <v>1292715.8739444441</v>
      </c>
      <c r="AQ149" s="68">
        <f t="shared" si="56"/>
        <v>508750.91762258392</v>
      </c>
      <c r="AR149" s="68">
        <f>INDEX('IGT Commitment Suggestions'!H:H,MATCH(G149,'IGT Commitment Suggestions'!A:A,0))*AQ149</f>
        <v>232668.95610111806</v>
      </c>
    </row>
    <row r="150" spans="1:44">
      <c r="A150" s="103" t="s">
        <v>768</v>
      </c>
      <c r="B150" s="123" t="s">
        <v>768</v>
      </c>
      <c r="C150" s="30" t="s">
        <v>769</v>
      </c>
      <c r="D150" s="124" t="s">
        <v>769</v>
      </c>
      <c r="E150" s="119" t="s">
        <v>2683</v>
      </c>
      <c r="F150" s="99" t="s">
        <v>2295</v>
      </c>
      <c r="G150" s="99" t="s">
        <v>1486</v>
      </c>
      <c r="H150" s="42" t="str">
        <f t="shared" si="42"/>
        <v>Rural MRSA Central</v>
      </c>
      <c r="I150" s="44">
        <f>INDEX(FeeCalc!M:M,MATCH(C:C,FeeCalc!F:F,0))</f>
        <v>65557.896754632617</v>
      </c>
      <c r="J150" s="44">
        <f>INDEX(FeeCalc!L:L,MATCH(C:C,FeeCalc!F:F,0))</f>
        <v>866872.20646596781</v>
      </c>
      <c r="K150" s="44">
        <f t="shared" si="43"/>
        <v>932430.1032206004</v>
      </c>
      <c r="L150" s="44">
        <v>64604.28</v>
      </c>
      <c r="M150" s="44">
        <v>-35961.360000000001</v>
      </c>
      <c r="N150" s="44">
        <f t="shared" si="44"/>
        <v>28642.92</v>
      </c>
      <c r="O150" s="44">
        <v>-24104.986284653667</v>
      </c>
      <c r="P150" s="44">
        <v>-36840.793485706788</v>
      </c>
      <c r="Q150" s="44">
        <f t="shared" si="45"/>
        <v>-60945.779770360459</v>
      </c>
      <c r="R150" s="44" t="str">
        <f t="shared" si="46"/>
        <v>No</v>
      </c>
      <c r="S150" s="45" t="str">
        <f t="shared" si="46"/>
        <v>No</v>
      </c>
      <c r="T150" s="46">
        <f>ROUND(INDEX(Summary!H:H,MATCH(H:H,Summary!A:A,0)),2)</f>
        <v>0.11</v>
      </c>
      <c r="U150" s="46">
        <f>ROUND(INDEX(Summary!I:I,MATCH(H:H,Summary!A:A,0)),2)</f>
        <v>0.09</v>
      </c>
      <c r="V150" s="79">
        <f t="shared" si="47"/>
        <v>7211.3686430095877</v>
      </c>
      <c r="W150" s="79">
        <f t="shared" si="47"/>
        <v>78018.498581937107</v>
      </c>
      <c r="X150" s="44">
        <f t="shared" si="48"/>
        <v>85229.867224946691</v>
      </c>
      <c r="Y150" s="44" t="s">
        <v>2765</v>
      </c>
      <c r="Z150" s="44" t="str">
        <f t="shared" si="49"/>
        <v>No</v>
      </c>
      <c r="AA150" s="44" t="str">
        <f t="shared" si="49"/>
        <v>No</v>
      </c>
      <c r="AB150" s="44" t="str">
        <f t="shared" si="50"/>
        <v>No</v>
      </c>
      <c r="AC150" s="80">
        <f t="shared" si="57"/>
        <v>0</v>
      </c>
      <c r="AD150" s="80">
        <f t="shared" si="58"/>
        <v>0</v>
      </c>
      <c r="AE150" s="44">
        <f t="shared" si="51"/>
        <v>0</v>
      </c>
      <c r="AF150" s="44">
        <f t="shared" si="51"/>
        <v>0</v>
      </c>
      <c r="AG150" s="44">
        <f t="shared" si="52"/>
        <v>0</v>
      </c>
      <c r="AH150" s="46">
        <f>IF(Y150="No",0,IFERROR(ROUNDDOWN(INDEX('90% of ACR'!K:K,MATCH(H:H,'90% of ACR'!A:A,0))*IF(I150&gt;0,IF(O150&gt;0,$R$4*MAX(O150-V150,0),0),0)/I150,2),0))</f>
        <v>0</v>
      </c>
      <c r="AI150" s="80">
        <f>IF(Y150="No",0,IFERROR(ROUNDDOWN(INDEX('90% of ACR'!R:R,MATCH(H:H,'90% of ACR'!A:A,0))*IF(J150&gt;0,IF(P150&gt;0,$R$4*MAX(P150-W150,0),0),0)/J150,2),0))</f>
        <v>0</v>
      </c>
      <c r="AJ150" s="44">
        <f t="shared" si="53"/>
        <v>0</v>
      </c>
      <c r="AK150" s="44">
        <f t="shared" si="53"/>
        <v>0</v>
      </c>
      <c r="AL150" s="46">
        <f t="shared" si="54"/>
        <v>0.11</v>
      </c>
      <c r="AM150" s="46">
        <f t="shared" si="54"/>
        <v>0.09</v>
      </c>
      <c r="AN150" s="81">
        <f>IFERROR(INDEX(FeeCalc!P:P,MATCH(C150,FeeCalc!F:F,0)),0)</f>
        <v>85229.867224946691</v>
      </c>
      <c r="AO150" s="81">
        <f>IFERROR(INDEX(FeeCalc!S:S,MATCH(C150,FeeCalc!F:F,0)),0)</f>
        <v>5239.5305279228342</v>
      </c>
      <c r="AP150" s="81">
        <f t="shared" si="55"/>
        <v>90469.397752869525</v>
      </c>
      <c r="AQ150" s="68">
        <f t="shared" si="56"/>
        <v>35604.412424437309</v>
      </c>
      <c r="AR150" s="68">
        <f>INDEX('IGT Commitment Suggestions'!H:H,MATCH(G150,'IGT Commitment Suggestions'!A:A,0))*AQ150</f>
        <v>16265.41167008539</v>
      </c>
    </row>
    <row r="151" spans="1:44">
      <c r="A151" s="103" t="s">
        <v>1288</v>
      </c>
      <c r="B151" s="123" t="s">
        <v>1288</v>
      </c>
      <c r="C151" s="30" t="s">
        <v>1289</v>
      </c>
      <c r="D151" s="124" t="s">
        <v>1289</v>
      </c>
      <c r="E151" s="119" t="s">
        <v>2857</v>
      </c>
      <c r="F151" s="99" t="s">
        <v>2295</v>
      </c>
      <c r="G151" s="99" t="s">
        <v>310</v>
      </c>
      <c r="H151" s="42" t="str">
        <f t="shared" si="42"/>
        <v>Rural MRSA Northeast</v>
      </c>
      <c r="I151" s="44">
        <f>INDEX(FeeCalc!M:M,MATCH(C:C,FeeCalc!F:F,0))</f>
        <v>4648216.9122245871</v>
      </c>
      <c r="J151" s="44">
        <f>INDEX(FeeCalc!L:L,MATCH(C:C,FeeCalc!F:F,0))</f>
        <v>2364569.1273714509</v>
      </c>
      <c r="K151" s="44">
        <f t="shared" si="43"/>
        <v>7012786.0395960379</v>
      </c>
      <c r="L151" s="44">
        <v>660260.19999999995</v>
      </c>
      <c r="M151" s="44">
        <v>1271635.27</v>
      </c>
      <c r="N151" s="44">
        <f t="shared" si="44"/>
        <v>1931895.47</v>
      </c>
      <c r="O151" s="44">
        <v>950395.07436433248</v>
      </c>
      <c r="P151" s="44">
        <v>2420533.2091182284</v>
      </c>
      <c r="Q151" s="44">
        <f t="shared" si="45"/>
        <v>3370928.2834825609</v>
      </c>
      <c r="R151" s="44" t="str">
        <f t="shared" si="46"/>
        <v>Yes</v>
      </c>
      <c r="S151" s="45" t="str">
        <f t="shared" si="46"/>
        <v>Yes</v>
      </c>
      <c r="T151" s="46">
        <f>ROUND(INDEX(Summary!H:H,MATCH(H:H,Summary!A:A,0)),2)</f>
        <v>0</v>
      </c>
      <c r="U151" s="46">
        <f>ROUND(INDEX(Summary!I:I,MATCH(H:H,Summary!A:A,0)),2)</f>
        <v>0.32</v>
      </c>
      <c r="V151" s="79">
        <f t="shared" si="47"/>
        <v>0</v>
      </c>
      <c r="W151" s="79">
        <f t="shared" si="47"/>
        <v>756662.12075886433</v>
      </c>
      <c r="X151" s="44">
        <f t="shared" si="48"/>
        <v>756662.12075886433</v>
      </c>
      <c r="Y151" s="44" t="s">
        <v>2765</v>
      </c>
      <c r="Z151" s="44" t="str">
        <f t="shared" si="49"/>
        <v>Yes</v>
      </c>
      <c r="AA151" s="44" t="str">
        <f t="shared" si="49"/>
        <v>Yes</v>
      </c>
      <c r="AB151" s="44" t="str">
        <f t="shared" si="50"/>
        <v>Yes</v>
      </c>
      <c r="AC151" s="80">
        <f t="shared" si="57"/>
        <v>0.14000000000000001</v>
      </c>
      <c r="AD151" s="80">
        <f t="shared" si="58"/>
        <v>0.49</v>
      </c>
      <c r="AE151" s="44">
        <f t="shared" si="51"/>
        <v>650750.36771144229</v>
      </c>
      <c r="AF151" s="44">
        <f t="shared" si="51"/>
        <v>1158638.872412011</v>
      </c>
      <c r="AG151" s="44">
        <f t="shared" si="52"/>
        <v>1809389.2401234533</v>
      </c>
      <c r="AH151" s="46">
        <f>IF(Y151="No",0,IFERROR(ROUNDDOWN(INDEX('90% of ACR'!K:K,MATCH(H:H,'90% of ACR'!A:A,0))*IF(I151&gt;0,IF(O151&gt;0,$R$4*MAX(O151-V151,0),0),0)/I151,2),0))</f>
        <v>0.09</v>
      </c>
      <c r="AI151" s="80">
        <f>IF(Y151="No",0,IFERROR(ROUNDDOWN(INDEX('90% of ACR'!R:R,MATCH(H:H,'90% of ACR'!A:A,0))*IF(J151&gt;0,IF(P151&gt;0,$R$4*MAX(P151-W151,0),0),0)/J151,2),0))</f>
        <v>0.49</v>
      </c>
      <c r="AJ151" s="44">
        <f t="shared" si="53"/>
        <v>418339.52210021281</v>
      </c>
      <c r="AK151" s="44">
        <f t="shared" si="53"/>
        <v>1158638.872412011</v>
      </c>
      <c r="AL151" s="46">
        <f t="shared" si="54"/>
        <v>0.09</v>
      </c>
      <c r="AM151" s="46">
        <f t="shared" si="54"/>
        <v>0.81</v>
      </c>
      <c r="AN151" s="81">
        <f>IFERROR(INDEX(FeeCalc!P:P,MATCH(C151,FeeCalc!F:F,0)),0)</f>
        <v>2333640.5152710881</v>
      </c>
      <c r="AO151" s="81">
        <f>IFERROR(INDEX(FeeCalc!S:S,MATCH(C151,FeeCalc!F:F,0)),0)</f>
        <v>143493.55624999158</v>
      </c>
      <c r="AP151" s="81">
        <f t="shared" si="55"/>
        <v>2477134.0715210796</v>
      </c>
      <c r="AQ151" s="68">
        <f t="shared" si="56"/>
        <v>974881.06811526406</v>
      </c>
      <c r="AR151" s="68">
        <f>INDEX('IGT Commitment Suggestions'!H:H,MATCH(G151,'IGT Commitment Suggestions'!A:A,0))*AQ151</f>
        <v>446501.78902974015</v>
      </c>
    </row>
    <row r="152" spans="1:44">
      <c r="A152" s="103" t="s">
        <v>548</v>
      </c>
      <c r="B152" s="123" t="s">
        <v>548</v>
      </c>
      <c r="C152" s="30" t="s">
        <v>549</v>
      </c>
      <c r="D152" s="124" t="s">
        <v>549</v>
      </c>
      <c r="E152" s="119" t="s">
        <v>2858</v>
      </c>
      <c r="F152" s="99" t="s">
        <v>2295</v>
      </c>
      <c r="G152" s="99" t="s">
        <v>227</v>
      </c>
      <c r="H152" s="42" t="str">
        <f t="shared" si="42"/>
        <v>Rural MRSA West</v>
      </c>
      <c r="I152" s="44">
        <f>INDEX(FeeCalc!M:M,MATCH(C:C,FeeCalc!F:F,0))</f>
        <v>17637.289770654068</v>
      </c>
      <c r="J152" s="44">
        <f>INDEX(FeeCalc!L:L,MATCH(C:C,FeeCalc!F:F,0))</f>
        <v>315414.50771065528</v>
      </c>
      <c r="K152" s="44">
        <f t="shared" si="43"/>
        <v>333051.79748130933</v>
      </c>
      <c r="L152" s="44">
        <v>26364.61</v>
      </c>
      <c r="M152" s="44">
        <v>28105.49</v>
      </c>
      <c r="N152" s="44">
        <f t="shared" si="44"/>
        <v>54470.100000000006</v>
      </c>
      <c r="O152" s="44">
        <v>-4529.8905760387697</v>
      </c>
      <c r="P152" s="44">
        <v>16675.210680775781</v>
      </c>
      <c r="Q152" s="44">
        <f t="shared" si="45"/>
        <v>12145.320104737011</v>
      </c>
      <c r="R152" s="44" t="str">
        <f t="shared" si="46"/>
        <v>No</v>
      </c>
      <c r="S152" s="45" t="str">
        <f t="shared" si="46"/>
        <v>Yes</v>
      </c>
      <c r="T152" s="46">
        <f>ROUND(INDEX(Summary!H:H,MATCH(H:H,Summary!A:A,0)),2)</f>
        <v>0</v>
      </c>
      <c r="U152" s="46">
        <f>ROUND(INDEX(Summary!I:I,MATCH(H:H,Summary!A:A,0)),2)</f>
        <v>0.18</v>
      </c>
      <c r="V152" s="79">
        <f t="shared" si="47"/>
        <v>0</v>
      </c>
      <c r="W152" s="79">
        <f t="shared" si="47"/>
        <v>56774.611387917947</v>
      </c>
      <c r="X152" s="44">
        <f t="shared" si="48"/>
        <v>56774.611387917947</v>
      </c>
      <c r="Y152" s="44" t="s">
        <v>2765</v>
      </c>
      <c r="Z152" s="44" t="str">
        <f t="shared" si="49"/>
        <v>No</v>
      </c>
      <c r="AA152" s="44" t="str">
        <f t="shared" si="49"/>
        <v>No</v>
      </c>
      <c r="AB152" s="44" t="str">
        <f t="shared" si="50"/>
        <v>No</v>
      </c>
      <c r="AC152" s="80">
        <f t="shared" si="57"/>
        <v>0</v>
      </c>
      <c r="AD152" s="80">
        <f t="shared" si="58"/>
        <v>0</v>
      </c>
      <c r="AE152" s="44">
        <f t="shared" si="51"/>
        <v>0</v>
      </c>
      <c r="AF152" s="44">
        <f t="shared" si="51"/>
        <v>0</v>
      </c>
      <c r="AG152" s="44">
        <f t="shared" si="52"/>
        <v>0</v>
      </c>
      <c r="AH152" s="46">
        <f>IF(Y152="No",0,IFERROR(ROUNDDOWN(INDEX('90% of ACR'!K:K,MATCH(H:H,'90% of ACR'!A:A,0))*IF(I152&gt;0,IF(O152&gt;0,$R$4*MAX(O152-V152,0),0),0)/I152,2),0))</f>
        <v>0</v>
      </c>
      <c r="AI152" s="80">
        <f>IF(Y152="No",0,IFERROR(ROUNDDOWN(INDEX('90% of ACR'!R:R,MATCH(H:H,'90% of ACR'!A:A,0))*IF(J152&gt;0,IF(P152&gt;0,$R$4*MAX(P152-W152,0),0),0)/J152,2),0))</f>
        <v>0</v>
      </c>
      <c r="AJ152" s="44">
        <f t="shared" si="53"/>
        <v>0</v>
      </c>
      <c r="AK152" s="44">
        <f t="shared" si="53"/>
        <v>0</v>
      </c>
      <c r="AL152" s="46">
        <f t="shared" si="54"/>
        <v>0</v>
      </c>
      <c r="AM152" s="46">
        <f t="shared" si="54"/>
        <v>0.18</v>
      </c>
      <c r="AN152" s="81">
        <f>IFERROR(INDEX(FeeCalc!P:P,MATCH(C152,FeeCalc!F:F,0)),0)</f>
        <v>56774.611387917947</v>
      </c>
      <c r="AO152" s="81">
        <f>IFERROR(INDEX(FeeCalc!S:S,MATCH(C152,FeeCalc!F:F,0)),0)</f>
        <v>3479.6868683208068</v>
      </c>
      <c r="AP152" s="81">
        <f t="shared" si="55"/>
        <v>60254.298256238755</v>
      </c>
      <c r="AQ152" s="68">
        <f t="shared" si="56"/>
        <v>23713.199587339277</v>
      </c>
      <c r="AR152" s="68">
        <f>INDEX('IGT Commitment Suggestions'!H:H,MATCH(G152,'IGT Commitment Suggestions'!A:A,0))*AQ152</f>
        <v>11620.977159579605</v>
      </c>
    </row>
    <row r="153" spans="1:44">
      <c r="A153" s="103" t="s">
        <v>31</v>
      </c>
      <c r="B153" s="123" t="s">
        <v>2565</v>
      </c>
      <c r="C153" s="30" t="s">
        <v>32</v>
      </c>
      <c r="D153" s="124" t="s">
        <v>32</v>
      </c>
      <c r="E153" s="119" t="s">
        <v>2859</v>
      </c>
      <c r="F153" s="99" t="s">
        <v>2283</v>
      </c>
      <c r="G153" s="99" t="s">
        <v>223</v>
      </c>
      <c r="H153" s="42" t="str">
        <f t="shared" si="42"/>
        <v>Urban Dallas</v>
      </c>
      <c r="I153" s="44">
        <f>INDEX(FeeCalc!M:M,MATCH(C:C,FeeCalc!F:F,0))</f>
        <v>3579429.3497255249</v>
      </c>
      <c r="J153" s="44">
        <f>INDEX(FeeCalc!L:L,MATCH(C:C,FeeCalc!F:F,0))</f>
        <v>1560251.369131689</v>
      </c>
      <c r="K153" s="44">
        <f t="shared" si="43"/>
        <v>5139680.7188572139</v>
      </c>
      <c r="L153" s="44">
        <v>3874394.69</v>
      </c>
      <c r="M153" s="44">
        <v>2599257.23</v>
      </c>
      <c r="N153" s="44">
        <f t="shared" si="44"/>
        <v>6473651.9199999999</v>
      </c>
      <c r="O153" s="44">
        <v>9535846.8845014758</v>
      </c>
      <c r="P153" s="44">
        <v>4174255.6372330775</v>
      </c>
      <c r="Q153" s="44">
        <f t="shared" si="45"/>
        <v>13710102.521734554</v>
      </c>
      <c r="R153" s="44" t="str">
        <f t="shared" si="46"/>
        <v>Yes</v>
      </c>
      <c r="S153" s="45" t="str">
        <f t="shared" si="46"/>
        <v>Yes</v>
      </c>
      <c r="T153" s="46">
        <f>ROUND(INDEX(Summary!H:H,MATCH(H:H,Summary!A:A,0)),2)</f>
        <v>0.6</v>
      </c>
      <c r="U153" s="46">
        <f>ROUND(INDEX(Summary!I:I,MATCH(H:H,Summary!A:A,0)),2)</f>
        <v>0.3</v>
      </c>
      <c r="V153" s="79">
        <f t="shared" si="47"/>
        <v>2147657.609835315</v>
      </c>
      <c r="W153" s="79">
        <f t="shared" si="47"/>
        <v>468075.41073950665</v>
      </c>
      <c r="X153" s="44">
        <f t="shared" si="48"/>
        <v>2615733.0205748216</v>
      </c>
      <c r="Y153" s="44" t="s">
        <v>2765</v>
      </c>
      <c r="Z153" s="44" t="str">
        <f t="shared" si="49"/>
        <v>Yes</v>
      </c>
      <c r="AA153" s="44" t="str">
        <f t="shared" si="49"/>
        <v>Yes</v>
      </c>
      <c r="AB153" s="44" t="str">
        <f t="shared" si="50"/>
        <v>Yes</v>
      </c>
      <c r="AC153" s="80">
        <f t="shared" si="57"/>
        <v>1.44</v>
      </c>
      <c r="AD153" s="80">
        <f t="shared" si="58"/>
        <v>1.65</v>
      </c>
      <c r="AE153" s="44">
        <f t="shared" si="51"/>
        <v>5154378.2636047555</v>
      </c>
      <c r="AF153" s="44">
        <f t="shared" si="51"/>
        <v>2574414.7590672867</v>
      </c>
      <c r="AG153" s="44">
        <f t="shared" si="52"/>
        <v>7728793.0226720423</v>
      </c>
      <c r="AH153" s="46">
        <f>IF(Y153="No",0,IFERROR(ROUNDDOWN(INDEX('90% of ACR'!K:K,MATCH(H:H,'90% of ACR'!A:A,0))*IF(I153&gt;0,IF(O153&gt;0,$R$4*MAX(O153-V153,0),0),0)/I153,2),0))</f>
        <v>1.43</v>
      </c>
      <c r="AI153" s="80">
        <f>IF(Y153="No",0,IFERROR(ROUNDDOWN(INDEX('90% of ACR'!R:R,MATCH(H:H,'90% of ACR'!A:A,0))*IF(J153&gt;0,IF(P153&gt;0,$R$4*MAX(P153-W153,0),0),0)/J153,2),0))</f>
        <v>1.65</v>
      </c>
      <c r="AJ153" s="44">
        <f t="shared" si="53"/>
        <v>5118583.9701075004</v>
      </c>
      <c r="AK153" s="44">
        <f t="shared" si="53"/>
        <v>2574414.7590672867</v>
      </c>
      <c r="AL153" s="46">
        <f t="shared" si="54"/>
        <v>2.0299999999999998</v>
      </c>
      <c r="AM153" s="46">
        <f t="shared" si="54"/>
        <v>1.95</v>
      </c>
      <c r="AN153" s="81">
        <f>IFERROR(INDEX(FeeCalc!P:P,MATCH(C153,FeeCalc!F:F,0)),0)</f>
        <v>10308731.749749608</v>
      </c>
      <c r="AO153" s="81">
        <f>IFERROR(INDEX(FeeCalc!S:S,MATCH(C153,FeeCalc!F:F,0)),0)</f>
        <v>635706.12434919411</v>
      </c>
      <c r="AP153" s="81">
        <f t="shared" si="55"/>
        <v>10944437.874098802</v>
      </c>
      <c r="AQ153" s="68">
        <f t="shared" si="56"/>
        <v>4307205.414227332</v>
      </c>
      <c r="AR153" s="68">
        <f>INDEX('IGT Commitment Suggestions'!H:H,MATCH(G153,'IGT Commitment Suggestions'!A:A,0))*AQ153</f>
        <v>1969830.3290035592</v>
      </c>
    </row>
    <row r="154" spans="1:44">
      <c r="A154" s="103" t="s">
        <v>34</v>
      </c>
      <c r="B154" s="123" t="s">
        <v>34</v>
      </c>
      <c r="C154" s="30" t="s">
        <v>35</v>
      </c>
      <c r="D154" s="124" t="s">
        <v>35</v>
      </c>
      <c r="E154" s="119" t="s">
        <v>2860</v>
      </c>
      <c r="F154" s="99" t="s">
        <v>2283</v>
      </c>
      <c r="G154" s="99" t="s">
        <v>223</v>
      </c>
      <c r="H154" s="42" t="str">
        <f t="shared" si="42"/>
        <v>Urban Dallas</v>
      </c>
      <c r="I154" s="44">
        <f>INDEX(FeeCalc!M:M,MATCH(C:C,FeeCalc!F:F,0))</f>
        <v>1800312.1386137241</v>
      </c>
      <c r="J154" s="44">
        <f>INDEX(FeeCalc!L:L,MATCH(C:C,FeeCalc!F:F,0))</f>
        <v>490184.7984286311</v>
      </c>
      <c r="K154" s="44">
        <f t="shared" si="43"/>
        <v>2290496.9370423551</v>
      </c>
      <c r="L154" s="44">
        <v>1781243.59</v>
      </c>
      <c r="M154" s="44">
        <v>900348.39</v>
      </c>
      <c r="N154" s="44">
        <f t="shared" si="44"/>
        <v>2681591.98</v>
      </c>
      <c r="O154" s="44">
        <v>5226509.6326983944</v>
      </c>
      <c r="P154" s="44">
        <v>1676172.1172670755</v>
      </c>
      <c r="Q154" s="44">
        <f t="shared" si="45"/>
        <v>6902681.7499654703</v>
      </c>
      <c r="R154" s="44" t="str">
        <f t="shared" si="46"/>
        <v>Yes</v>
      </c>
      <c r="S154" s="45" t="str">
        <f t="shared" si="46"/>
        <v>Yes</v>
      </c>
      <c r="T154" s="46">
        <f>ROUND(INDEX(Summary!H:H,MATCH(H:H,Summary!A:A,0)),2)</f>
        <v>0.6</v>
      </c>
      <c r="U154" s="46">
        <f>ROUND(INDEX(Summary!I:I,MATCH(H:H,Summary!A:A,0)),2)</f>
        <v>0.3</v>
      </c>
      <c r="V154" s="79">
        <f t="shared" si="47"/>
        <v>1080187.2831682344</v>
      </c>
      <c r="W154" s="79">
        <f t="shared" si="47"/>
        <v>147055.43952858931</v>
      </c>
      <c r="X154" s="44">
        <f t="shared" si="48"/>
        <v>1227242.7226968238</v>
      </c>
      <c r="Y154" s="44" t="s">
        <v>2765</v>
      </c>
      <c r="Z154" s="44" t="str">
        <f t="shared" si="49"/>
        <v>Yes</v>
      </c>
      <c r="AA154" s="44" t="str">
        <f t="shared" si="49"/>
        <v>Yes</v>
      </c>
      <c r="AB154" s="44" t="str">
        <f t="shared" si="50"/>
        <v>Yes</v>
      </c>
      <c r="AC154" s="80">
        <f t="shared" si="57"/>
        <v>1.6</v>
      </c>
      <c r="AD154" s="80">
        <f t="shared" si="58"/>
        <v>2.17</v>
      </c>
      <c r="AE154" s="44">
        <f t="shared" si="51"/>
        <v>2880499.421781959</v>
      </c>
      <c r="AF154" s="44">
        <f t="shared" si="51"/>
        <v>1063701.0125901294</v>
      </c>
      <c r="AG154" s="44">
        <f t="shared" si="52"/>
        <v>3944200.4343720884</v>
      </c>
      <c r="AH154" s="46">
        <f>IF(Y154="No",0,IFERROR(ROUNDDOWN(INDEX('90% of ACR'!K:K,MATCH(H:H,'90% of ACR'!A:A,0))*IF(I154&gt;0,IF(O154&gt;0,$R$4*MAX(O154-V154,0),0),0)/I154,2),0))</f>
        <v>1.6</v>
      </c>
      <c r="AI154" s="80">
        <f>IF(Y154="No",0,IFERROR(ROUNDDOWN(INDEX('90% of ACR'!R:R,MATCH(H:H,'90% of ACR'!A:A,0))*IF(J154&gt;0,IF(P154&gt;0,$R$4*MAX(P154-W154,0),0),0)/J154,2),0))</f>
        <v>2.17</v>
      </c>
      <c r="AJ154" s="44">
        <f t="shared" si="53"/>
        <v>2880499.421781959</v>
      </c>
      <c r="AK154" s="44">
        <f t="shared" si="53"/>
        <v>1063701.0125901294</v>
      </c>
      <c r="AL154" s="46">
        <f t="shared" si="54"/>
        <v>2.2000000000000002</v>
      </c>
      <c r="AM154" s="46">
        <f t="shared" si="54"/>
        <v>2.4699999999999998</v>
      </c>
      <c r="AN154" s="81">
        <f>IFERROR(INDEX(FeeCalc!P:P,MATCH(C154,FeeCalc!F:F,0)),0)</f>
        <v>5171443.1570689119</v>
      </c>
      <c r="AO154" s="81">
        <f>IFERROR(INDEX(FeeCalc!S:S,MATCH(C154,FeeCalc!F:F,0)),0)</f>
        <v>318217.01984147285</v>
      </c>
      <c r="AP154" s="81">
        <f t="shared" si="55"/>
        <v>5489660.1769103846</v>
      </c>
      <c r="AQ154" s="68">
        <f t="shared" si="56"/>
        <v>2160466.7419434357</v>
      </c>
      <c r="AR154" s="68">
        <f>INDEX('IGT Commitment Suggestions'!H:H,MATCH(G154,'IGT Commitment Suggestions'!A:A,0))*AQ154</f>
        <v>988054.31917091971</v>
      </c>
    </row>
    <row r="155" spans="1:44">
      <c r="A155" s="103" t="s">
        <v>521</v>
      </c>
      <c r="B155" s="123" t="s">
        <v>2566</v>
      </c>
      <c r="C155" s="30" t="s">
        <v>522</v>
      </c>
      <c r="D155" s="124" t="s">
        <v>522</v>
      </c>
      <c r="E155" s="119" t="s">
        <v>2861</v>
      </c>
      <c r="F155" s="99" t="s">
        <v>2283</v>
      </c>
      <c r="G155" s="99" t="s">
        <v>223</v>
      </c>
      <c r="H155" s="42" t="str">
        <f t="shared" si="42"/>
        <v>Urban Dallas</v>
      </c>
      <c r="I155" s="44">
        <f>INDEX(FeeCalc!M:M,MATCH(C:C,FeeCalc!F:F,0))</f>
        <v>196340.23838028454</v>
      </c>
      <c r="J155" s="44">
        <f>INDEX(FeeCalc!L:L,MATCH(C:C,FeeCalc!F:F,0))</f>
        <v>62048.625085622218</v>
      </c>
      <c r="K155" s="44">
        <f t="shared" si="43"/>
        <v>258388.86346590676</v>
      </c>
      <c r="L155" s="44">
        <v>444010.51</v>
      </c>
      <c r="M155" s="44">
        <v>189944.29</v>
      </c>
      <c r="N155" s="44">
        <f t="shared" si="44"/>
        <v>633954.80000000005</v>
      </c>
      <c r="O155" s="44">
        <v>1478495.929226001</v>
      </c>
      <c r="P155" s="44">
        <v>343089.89639876963</v>
      </c>
      <c r="Q155" s="44">
        <f t="shared" si="45"/>
        <v>1821585.8256247707</v>
      </c>
      <c r="R155" s="44" t="str">
        <f t="shared" si="46"/>
        <v>Yes</v>
      </c>
      <c r="S155" s="45" t="str">
        <f t="shared" si="46"/>
        <v>Yes</v>
      </c>
      <c r="T155" s="46">
        <f>ROUND(INDEX(Summary!H:H,MATCH(H:H,Summary!A:A,0)),2)</f>
        <v>0.6</v>
      </c>
      <c r="U155" s="46">
        <f>ROUND(INDEX(Summary!I:I,MATCH(H:H,Summary!A:A,0)),2)</f>
        <v>0.3</v>
      </c>
      <c r="V155" s="79">
        <f t="shared" si="47"/>
        <v>117804.14302817073</v>
      </c>
      <c r="W155" s="79">
        <f t="shared" si="47"/>
        <v>18614.587525686664</v>
      </c>
      <c r="X155" s="44">
        <f t="shared" si="48"/>
        <v>136418.7305538574</v>
      </c>
      <c r="Y155" s="44" t="s">
        <v>2765</v>
      </c>
      <c r="Z155" s="44" t="str">
        <f t="shared" si="49"/>
        <v>Yes</v>
      </c>
      <c r="AA155" s="44" t="str">
        <f t="shared" si="49"/>
        <v>Yes</v>
      </c>
      <c r="AB155" s="44" t="str">
        <f t="shared" si="50"/>
        <v>Yes</v>
      </c>
      <c r="AC155" s="80">
        <f t="shared" si="57"/>
        <v>4.83</v>
      </c>
      <c r="AD155" s="80">
        <f t="shared" si="58"/>
        <v>3.64</v>
      </c>
      <c r="AE155" s="44">
        <f t="shared" si="51"/>
        <v>948323.35137677437</v>
      </c>
      <c r="AF155" s="44">
        <f t="shared" si="51"/>
        <v>225856.99531166488</v>
      </c>
      <c r="AG155" s="44">
        <f t="shared" si="52"/>
        <v>1174180.3466884391</v>
      </c>
      <c r="AH155" s="46">
        <f>IF(Y155="No",0,IFERROR(ROUNDDOWN(INDEX('90% of ACR'!K:K,MATCH(H:H,'90% of ACR'!A:A,0))*IF(I155&gt;0,IF(O155&gt;0,$R$4*MAX(O155-V155,0),0),0)/I155,2),0))</f>
        <v>4.82</v>
      </c>
      <c r="AI155" s="80">
        <f>IF(Y155="No",0,IFERROR(ROUNDDOWN(INDEX('90% of ACR'!R:R,MATCH(H:H,'90% of ACR'!A:A,0))*IF(J155&gt;0,IF(P155&gt;0,$R$4*MAX(P155-W155,0),0),0)/J155,2),0))</f>
        <v>3.64</v>
      </c>
      <c r="AJ155" s="44">
        <f t="shared" si="53"/>
        <v>946359.94899297156</v>
      </c>
      <c r="AK155" s="44">
        <f t="shared" si="53"/>
        <v>225856.99531166488</v>
      </c>
      <c r="AL155" s="46">
        <f t="shared" si="54"/>
        <v>5.42</v>
      </c>
      <c r="AM155" s="46">
        <f t="shared" si="54"/>
        <v>3.94</v>
      </c>
      <c r="AN155" s="81">
        <f>IFERROR(INDEX(FeeCalc!P:P,MATCH(C155,FeeCalc!F:F,0)),0)</f>
        <v>1308635.6748584937</v>
      </c>
      <c r="AO155" s="81">
        <f>IFERROR(INDEX(FeeCalc!S:S,MATCH(C155,FeeCalc!F:F,0)),0)</f>
        <v>83529.936693095355</v>
      </c>
      <c r="AP155" s="81">
        <f t="shared" si="55"/>
        <v>1392165.6115515891</v>
      </c>
      <c r="AQ155" s="68">
        <f t="shared" si="56"/>
        <v>547889.56075735099</v>
      </c>
      <c r="AR155" s="68">
        <f>INDEX('IGT Commitment Suggestions'!H:H,MATCH(G155,'IGT Commitment Suggestions'!A:A,0))*AQ155</f>
        <v>250568.37785338698</v>
      </c>
    </row>
    <row r="156" spans="1:44">
      <c r="A156" s="103" t="s">
        <v>563</v>
      </c>
      <c r="B156" s="123" t="s">
        <v>563</v>
      </c>
      <c r="C156" s="30" t="s">
        <v>564</v>
      </c>
      <c r="D156" s="124" t="s">
        <v>564</v>
      </c>
      <c r="E156" s="119" t="s">
        <v>2640</v>
      </c>
      <c r="F156" s="99" t="s">
        <v>2283</v>
      </c>
      <c r="G156" s="99" t="s">
        <v>300</v>
      </c>
      <c r="H156" s="42" t="str">
        <f t="shared" si="42"/>
        <v>Urban Harris</v>
      </c>
      <c r="I156" s="44">
        <f>INDEX(FeeCalc!M:M,MATCH(C:C,FeeCalc!F:F,0))</f>
        <v>10156068.701174082</v>
      </c>
      <c r="J156" s="44">
        <f>INDEX(FeeCalc!L:L,MATCH(C:C,FeeCalc!F:F,0))</f>
        <v>9889079.488416506</v>
      </c>
      <c r="K156" s="44">
        <f t="shared" si="43"/>
        <v>20045148.189590588</v>
      </c>
      <c r="L156" s="44">
        <v>6520674.0099999998</v>
      </c>
      <c r="M156" s="44">
        <v>1237160.81</v>
      </c>
      <c r="N156" s="44">
        <f t="shared" si="44"/>
        <v>7757834.8200000003</v>
      </c>
      <c r="O156" s="44">
        <v>13584025.838716106</v>
      </c>
      <c r="P156" s="44">
        <v>2755180.3996685077</v>
      </c>
      <c r="Q156" s="44">
        <f t="shared" si="45"/>
        <v>16339206.238384614</v>
      </c>
      <c r="R156" s="44" t="str">
        <f t="shared" si="46"/>
        <v>Yes</v>
      </c>
      <c r="S156" s="45" t="str">
        <f t="shared" si="46"/>
        <v>Yes</v>
      </c>
      <c r="T156" s="46">
        <f>ROUND(INDEX(Summary!H:H,MATCH(H:H,Summary!A:A,0)),2)</f>
        <v>1.74</v>
      </c>
      <c r="U156" s="46">
        <f>ROUND(INDEX(Summary!I:I,MATCH(H:H,Summary!A:A,0)),2)</f>
        <v>0.33</v>
      </c>
      <c r="V156" s="79">
        <f t="shared" si="47"/>
        <v>17671559.540042903</v>
      </c>
      <c r="W156" s="79">
        <f t="shared" si="47"/>
        <v>3263396.2311774469</v>
      </c>
      <c r="X156" s="44">
        <f t="shared" si="48"/>
        <v>20934955.771220349</v>
      </c>
      <c r="Y156" s="44" t="s">
        <v>2765</v>
      </c>
      <c r="Z156" s="44" t="str">
        <f t="shared" si="49"/>
        <v>No</v>
      </c>
      <c r="AA156" s="44" t="str">
        <f t="shared" si="49"/>
        <v>No</v>
      </c>
      <c r="AB156" s="44" t="str">
        <f t="shared" si="50"/>
        <v>No</v>
      </c>
      <c r="AC156" s="80">
        <f t="shared" si="57"/>
        <v>0</v>
      </c>
      <c r="AD156" s="80">
        <f t="shared" si="58"/>
        <v>0</v>
      </c>
      <c r="AE156" s="44">
        <f t="shared" si="51"/>
        <v>0</v>
      </c>
      <c r="AF156" s="44">
        <f t="shared" si="51"/>
        <v>0</v>
      </c>
      <c r="AG156" s="44">
        <f t="shared" si="52"/>
        <v>0</v>
      </c>
      <c r="AH156" s="46">
        <f>IF(Y156="No",0,IFERROR(ROUNDDOWN(INDEX('90% of ACR'!K:K,MATCH(H:H,'90% of ACR'!A:A,0))*IF(I156&gt;0,IF(O156&gt;0,$R$4*MAX(O156-V156,0),0),0)/I156,2),0))</f>
        <v>0</v>
      </c>
      <c r="AI156" s="80">
        <f>IF(Y156="No",0,IFERROR(ROUNDDOWN(INDEX('90% of ACR'!R:R,MATCH(H:H,'90% of ACR'!A:A,0))*IF(J156&gt;0,IF(P156&gt;0,$R$4*MAX(P156-W156,0),0),0)/J156,2),0))</f>
        <v>0</v>
      </c>
      <c r="AJ156" s="44">
        <f t="shared" si="53"/>
        <v>0</v>
      </c>
      <c r="AK156" s="44">
        <f t="shared" si="53"/>
        <v>0</v>
      </c>
      <c r="AL156" s="46">
        <f t="shared" si="54"/>
        <v>1.74</v>
      </c>
      <c r="AM156" s="46">
        <f t="shared" si="54"/>
        <v>0.33</v>
      </c>
      <c r="AN156" s="81">
        <f>IFERROR(INDEX(FeeCalc!P:P,MATCH(C156,FeeCalc!F:F,0)),0)</f>
        <v>20934955.771220349</v>
      </c>
      <c r="AO156" s="81">
        <f>IFERROR(INDEX(FeeCalc!S:S,MATCH(C156,FeeCalc!F:F,0)),0)</f>
        <v>1297638.4235998129</v>
      </c>
      <c r="AP156" s="81">
        <f t="shared" si="55"/>
        <v>22232594.194820162</v>
      </c>
      <c r="AQ156" s="68">
        <f t="shared" si="56"/>
        <v>8749681.9105598647</v>
      </c>
      <c r="AR156" s="68">
        <f>INDEX('IGT Commitment Suggestions'!H:H,MATCH(G156,'IGT Commitment Suggestions'!A:A,0))*AQ156</f>
        <v>4014300.0610103188</v>
      </c>
    </row>
    <row r="157" spans="1:44">
      <c r="A157" s="103" t="s">
        <v>518</v>
      </c>
      <c r="B157" s="123" t="s">
        <v>518</v>
      </c>
      <c r="C157" s="30" t="s">
        <v>519</v>
      </c>
      <c r="D157" s="124" t="s">
        <v>519</v>
      </c>
      <c r="E157" s="119" t="s">
        <v>2475</v>
      </c>
      <c r="F157" s="99" t="s">
        <v>2283</v>
      </c>
      <c r="G157" s="99" t="s">
        <v>223</v>
      </c>
      <c r="H157" s="42" t="str">
        <f t="shared" si="42"/>
        <v>Urban Dallas</v>
      </c>
      <c r="I157" s="44">
        <f>INDEX(FeeCalc!M:M,MATCH(C:C,FeeCalc!F:F,0))</f>
        <v>1750696.1186848951</v>
      </c>
      <c r="J157" s="44">
        <f>INDEX(FeeCalc!L:L,MATCH(C:C,FeeCalc!F:F,0))</f>
        <v>1206162.2399662938</v>
      </c>
      <c r="K157" s="44">
        <f t="shared" si="43"/>
        <v>2956858.3586511891</v>
      </c>
      <c r="L157" s="44">
        <v>1449811.63</v>
      </c>
      <c r="M157" s="44">
        <v>1219386.92</v>
      </c>
      <c r="N157" s="44">
        <f t="shared" si="44"/>
        <v>2669198.5499999998</v>
      </c>
      <c r="O157" s="44">
        <v>4219665.8499524603</v>
      </c>
      <c r="P157" s="44">
        <v>2546707.9222427532</v>
      </c>
      <c r="Q157" s="44">
        <f t="shared" si="45"/>
        <v>6766373.7721952135</v>
      </c>
      <c r="R157" s="44" t="str">
        <f t="shared" si="46"/>
        <v>Yes</v>
      </c>
      <c r="S157" s="45" t="str">
        <f t="shared" si="46"/>
        <v>Yes</v>
      </c>
      <c r="T157" s="46">
        <f>ROUND(INDEX(Summary!H:H,MATCH(H:H,Summary!A:A,0)),2)</f>
        <v>0.6</v>
      </c>
      <c r="U157" s="46">
        <f>ROUND(INDEX(Summary!I:I,MATCH(H:H,Summary!A:A,0)),2)</f>
        <v>0.3</v>
      </c>
      <c r="V157" s="79">
        <f t="shared" si="47"/>
        <v>1050417.671210937</v>
      </c>
      <c r="W157" s="79">
        <f t="shared" si="47"/>
        <v>361848.67198988813</v>
      </c>
      <c r="X157" s="44">
        <f t="shared" si="48"/>
        <v>1412266.3432008252</v>
      </c>
      <c r="Y157" s="44" t="s">
        <v>2765</v>
      </c>
      <c r="Z157" s="44" t="str">
        <f t="shared" si="49"/>
        <v>Yes</v>
      </c>
      <c r="AA157" s="44" t="str">
        <f t="shared" si="49"/>
        <v>Yes</v>
      </c>
      <c r="AB157" s="44" t="str">
        <f t="shared" si="50"/>
        <v>Yes</v>
      </c>
      <c r="AC157" s="80">
        <f t="shared" si="57"/>
        <v>1.26</v>
      </c>
      <c r="AD157" s="80">
        <f t="shared" si="58"/>
        <v>1.26</v>
      </c>
      <c r="AE157" s="44">
        <f t="shared" si="51"/>
        <v>2205877.1095429678</v>
      </c>
      <c r="AF157" s="44">
        <f t="shared" si="51"/>
        <v>1519764.4223575301</v>
      </c>
      <c r="AG157" s="44">
        <f t="shared" si="52"/>
        <v>3725641.5319004981</v>
      </c>
      <c r="AH157" s="46">
        <f>IF(Y157="No",0,IFERROR(ROUNDDOWN(INDEX('90% of ACR'!K:K,MATCH(H:H,'90% of ACR'!A:A,0))*IF(I157&gt;0,IF(O157&gt;0,$R$4*MAX(O157-V157,0),0),0)/I157,2),0))</f>
        <v>1.26</v>
      </c>
      <c r="AI157" s="80">
        <f>IF(Y157="No",0,IFERROR(ROUNDDOWN(INDEX('90% of ACR'!R:R,MATCH(H:H,'90% of ACR'!A:A,0))*IF(J157&gt;0,IF(P157&gt;0,$R$4*MAX(P157-W157,0),0),0)/J157,2),0))</f>
        <v>1.26</v>
      </c>
      <c r="AJ157" s="44">
        <f t="shared" si="53"/>
        <v>2205877.1095429678</v>
      </c>
      <c r="AK157" s="44">
        <f t="shared" si="53"/>
        <v>1519764.4223575301</v>
      </c>
      <c r="AL157" s="46">
        <f t="shared" si="54"/>
        <v>1.8599999999999999</v>
      </c>
      <c r="AM157" s="46">
        <f t="shared" si="54"/>
        <v>1.56</v>
      </c>
      <c r="AN157" s="81">
        <f>IFERROR(INDEX(FeeCalc!P:P,MATCH(C157,FeeCalc!F:F,0)),0)</f>
        <v>5137907.8751013223</v>
      </c>
      <c r="AO157" s="81">
        <f>IFERROR(INDEX(FeeCalc!S:S,MATCH(C157,FeeCalc!F:F,0)),0)</f>
        <v>317574.26239786623</v>
      </c>
      <c r="AP157" s="81">
        <f t="shared" si="55"/>
        <v>5455482.137499189</v>
      </c>
      <c r="AQ157" s="68">
        <f t="shared" si="56"/>
        <v>2147015.9061770807</v>
      </c>
      <c r="AR157" s="68">
        <f>INDEX('IGT Commitment Suggestions'!H:H,MATCH(G157,'IGT Commitment Suggestions'!A:A,0))*AQ157</f>
        <v>981902.79824380251</v>
      </c>
    </row>
    <row r="158" spans="1:44">
      <c r="A158" s="103" t="s">
        <v>557</v>
      </c>
      <c r="B158" s="123" t="s">
        <v>557</v>
      </c>
      <c r="C158" s="30" t="s">
        <v>558</v>
      </c>
      <c r="D158" s="124" t="s">
        <v>558</v>
      </c>
      <c r="E158" s="119" t="s">
        <v>2641</v>
      </c>
      <c r="F158" s="99" t="s">
        <v>2283</v>
      </c>
      <c r="G158" s="99" t="s">
        <v>300</v>
      </c>
      <c r="H158" s="42" t="str">
        <f t="shared" si="42"/>
        <v>Urban Harris</v>
      </c>
      <c r="I158" s="44">
        <f>INDEX(FeeCalc!M:M,MATCH(C:C,FeeCalc!F:F,0))</f>
        <v>14687671.293755919</v>
      </c>
      <c r="J158" s="44">
        <f>INDEX(FeeCalc!L:L,MATCH(C:C,FeeCalc!F:F,0))</f>
        <v>19445301.216864772</v>
      </c>
      <c r="K158" s="44">
        <f t="shared" si="43"/>
        <v>34132972.510620691</v>
      </c>
      <c r="L158" s="44">
        <v>10441347.82</v>
      </c>
      <c r="M158" s="44">
        <v>-1150556.74</v>
      </c>
      <c r="N158" s="44">
        <f t="shared" si="44"/>
        <v>9290791.0800000001</v>
      </c>
      <c r="O158" s="44">
        <v>24001527.200649999</v>
      </c>
      <c r="P158" s="44">
        <v>1036954.3702593138</v>
      </c>
      <c r="Q158" s="44">
        <f t="shared" si="45"/>
        <v>25038481.570909314</v>
      </c>
      <c r="R158" s="44" t="str">
        <f t="shared" si="46"/>
        <v>Yes</v>
      </c>
      <c r="S158" s="45" t="str">
        <f t="shared" si="46"/>
        <v>Yes</v>
      </c>
      <c r="T158" s="46">
        <f>ROUND(INDEX(Summary!H:H,MATCH(H:H,Summary!A:A,0)),2)</f>
        <v>1.74</v>
      </c>
      <c r="U158" s="46">
        <f>ROUND(INDEX(Summary!I:I,MATCH(H:H,Summary!A:A,0)),2)</f>
        <v>0.33</v>
      </c>
      <c r="V158" s="79">
        <f t="shared" si="47"/>
        <v>25556548.051135298</v>
      </c>
      <c r="W158" s="79">
        <f t="shared" si="47"/>
        <v>6416949.4015653748</v>
      </c>
      <c r="X158" s="44">
        <f t="shared" si="48"/>
        <v>31973497.452700675</v>
      </c>
      <c r="Y158" s="44" t="s">
        <v>2765</v>
      </c>
      <c r="Z158" s="44" t="str">
        <f t="shared" si="49"/>
        <v>No</v>
      </c>
      <c r="AA158" s="44" t="str">
        <f t="shared" si="49"/>
        <v>No</v>
      </c>
      <c r="AB158" s="44" t="str">
        <f t="shared" si="50"/>
        <v>No</v>
      </c>
      <c r="AC158" s="80">
        <f t="shared" si="57"/>
        <v>0</v>
      </c>
      <c r="AD158" s="80">
        <f t="shared" si="58"/>
        <v>0</v>
      </c>
      <c r="AE158" s="44">
        <f t="shared" si="51"/>
        <v>0</v>
      </c>
      <c r="AF158" s="44">
        <f t="shared" si="51"/>
        <v>0</v>
      </c>
      <c r="AG158" s="44">
        <f t="shared" si="52"/>
        <v>0</v>
      </c>
      <c r="AH158" s="46">
        <f>IF(Y158="No",0,IFERROR(ROUNDDOWN(INDEX('90% of ACR'!K:K,MATCH(H:H,'90% of ACR'!A:A,0))*IF(I158&gt;0,IF(O158&gt;0,$R$4*MAX(O158-V158,0),0),0)/I158,2),0))</f>
        <v>0</v>
      </c>
      <c r="AI158" s="80">
        <f>IF(Y158="No",0,IFERROR(ROUNDDOWN(INDEX('90% of ACR'!R:R,MATCH(H:H,'90% of ACR'!A:A,0))*IF(J158&gt;0,IF(P158&gt;0,$R$4*MAX(P158-W158,0),0),0)/J158,2),0))</f>
        <v>0</v>
      </c>
      <c r="AJ158" s="44">
        <f t="shared" si="53"/>
        <v>0</v>
      </c>
      <c r="AK158" s="44">
        <f t="shared" si="53"/>
        <v>0</v>
      </c>
      <c r="AL158" s="46">
        <f t="shared" si="54"/>
        <v>1.74</v>
      </c>
      <c r="AM158" s="46">
        <f t="shared" si="54"/>
        <v>0.33</v>
      </c>
      <c r="AN158" s="81">
        <f>IFERROR(INDEX(FeeCalc!P:P,MATCH(C158,FeeCalc!F:F,0)),0)</f>
        <v>31973497.452700675</v>
      </c>
      <c r="AO158" s="81">
        <f>IFERROR(INDEX(FeeCalc!S:S,MATCH(C158,FeeCalc!F:F,0)),0)</f>
        <v>1977978.4177448393</v>
      </c>
      <c r="AP158" s="81">
        <f t="shared" si="55"/>
        <v>33951475.870445512</v>
      </c>
      <c r="AQ158" s="68">
        <f t="shared" si="56"/>
        <v>13361671.231765574</v>
      </c>
      <c r="AR158" s="68">
        <f>INDEX('IGT Commitment Suggestions'!H:H,MATCH(G158,'IGT Commitment Suggestions'!A:A,0))*AQ158</f>
        <v>6130252.2982168905</v>
      </c>
    </row>
    <row r="159" spans="1:44">
      <c r="A159" s="103" t="s">
        <v>422</v>
      </c>
      <c r="B159" s="123" t="s">
        <v>422</v>
      </c>
      <c r="C159" s="30" t="s">
        <v>423</v>
      </c>
      <c r="D159" s="124" t="s">
        <v>423</v>
      </c>
      <c r="E159" s="119" t="s">
        <v>2453</v>
      </c>
      <c r="F159" s="99" t="s">
        <v>2295</v>
      </c>
      <c r="G159" s="99" t="s">
        <v>1202</v>
      </c>
      <c r="H159" s="42" t="str">
        <f t="shared" si="42"/>
        <v>Rural Travis</v>
      </c>
      <c r="I159" s="44">
        <f>INDEX(FeeCalc!M:M,MATCH(C:C,FeeCalc!F:F,0))</f>
        <v>329268.8460075375</v>
      </c>
      <c r="J159" s="44">
        <f>INDEX(FeeCalc!L:L,MATCH(C:C,FeeCalc!F:F,0))</f>
        <v>556691.75355199492</v>
      </c>
      <c r="K159" s="44">
        <f t="shared" si="43"/>
        <v>885960.59955953248</v>
      </c>
      <c r="L159" s="44">
        <v>-27265.040000000001</v>
      </c>
      <c r="M159" s="44">
        <v>299715.88</v>
      </c>
      <c r="N159" s="44">
        <f t="shared" si="44"/>
        <v>272450.84000000003</v>
      </c>
      <c r="O159" s="44">
        <v>15097.507215431513</v>
      </c>
      <c r="P159" s="44">
        <v>365552.88876101916</v>
      </c>
      <c r="Q159" s="44">
        <f t="shared" si="45"/>
        <v>380650.39597645064</v>
      </c>
      <c r="R159" s="44" t="str">
        <f t="shared" si="46"/>
        <v>Yes</v>
      </c>
      <c r="S159" s="45" t="str">
        <f t="shared" si="46"/>
        <v>Yes</v>
      </c>
      <c r="T159" s="46">
        <f>ROUND(INDEX(Summary!H:H,MATCH(H:H,Summary!A:A,0)),2)</f>
        <v>0.05</v>
      </c>
      <c r="U159" s="46">
        <f>ROUND(INDEX(Summary!I:I,MATCH(H:H,Summary!A:A,0)),2)</f>
        <v>0.22</v>
      </c>
      <c r="V159" s="79">
        <f t="shared" si="47"/>
        <v>16463.442300376875</v>
      </c>
      <c r="W159" s="79">
        <f t="shared" si="47"/>
        <v>122472.18578143888</v>
      </c>
      <c r="X159" s="44">
        <f t="shared" si="48"/>
        <v>138935.62808181575</v>
      </c>
      <c r="Y159" s="44" t="s">
        <v>2765</v>
      </c>
      <c r="Z159" s="44" t="str">
        <f t="shared" si="49"/>
        <v>No</v>
      </c>
      <c r="AA159" s="44" t="str">
        <f t="shared" si="49"/>
        <v>Yes</v>
      </c>
      <c r="AB159" s="44" t="str">
        <f t="shared" si="50"/>
        <v>Yes</v>
      </c>
      <c r="AC159" s="80">
        <f t="shared" si="57"/>
        <v>0</v>
      </c>
      <c r="AD159" s="80">
        <f t="shared" si="58"/>
        <v>0.3</v>
      </c>
      <c r="AE159" s="44">
        <f t="shared" si="51"/>
        <v>0</v>
      </c>
      <c r="AF159" s="44">
        <f t="shared" si="51"/>
        <v>167007.52606559847</v>
      </c>
      <c r="AG159" s="44">
        <f t="shared" si="52"/>
        <v>167007.52606559847</v>
      </c>
      <c r="AH159" s="46">
        <f>IF(Y159="No",0,IFERROR(ROUNDDOWN(INDEX('90% of ACR'!K:K,MATCH(H:H,'90% of ACR'!A:A,0))*IF(I159&gt;0,IF(O159&gt;0,$R$4*MAX(O159-V159,0),0),0)/I159,2),0))</f>
        <v>0</v>
      </c>
      <c r="AI159" s="80">
        <f>IF(Y159="No",0,IFERROR(ROUNDDOWN(INDEX('90% of ACR'!R:R,MATCH(H:H,'90% of ACR'!A:A,0))*IF(J159&gt;0,IF(P159&gt;0,$R$4*MAX(P159-W159,0),0),0)/J159,2),0))</f>
        <v>0.24</v>
      </c>
      <c r="AJ159" s="44">
        <f t="shared" si="53"/>
        <v>0</v>
      </c>
      <c r="AK159" s="44">
        <f t="shared" si="53"/>
        <v>133606.02085247877</v>
      </c>
      <c r="AL159" s="46">
        <f t="shared" si="54"/>
        <v>0.05</v>
      </c>
      <c r="AM159" s="46">
        <f t="shared" si="54"/>
        <v>0.45999999999999996</v>
      </c>
      <c r="AN159" s="81">
        <f>IFERROR(INDEX(FeeCalc!P:P,MATCH(C159,FeeCalc!F:F,0)),0)</f>
        <v>272541.64893429453</v>
      </c>
      <c r="AO159" s="81">
        <f>IFERROR(INDEX(FeeCalc!S:S,MATCH(C159,FeeCalc!F:F,0)),0)</f>
        <v>16967.373398934094</v>
      </c>
      <c r="AP159" s="81">
        <f t="shared" si="55"/>
        <v>289509.02233322861</v>
      </c>
      <c r="AQ159" s="68">
        <f t="shared" si="56"/>
        <v>113936.8547572868</v>
      </c>
      <c r="AR159" s="68">
        <f>INDEX('IGT Commitment Suggestions'!H:H,MATCH(G159,'IGT Commitment Suggestions'!A:A,0))*AQ159</f>
        <v>52351.035153544653</v>
      </c>
    </row>
    <row r="160" spans="1:44">
      <c r="A160" s="103" t="s">
        <v>1013</v>
      </c>
      <c r="B160" s="123" t="s">
        <v>1013</v>
      </c>
      <c r="C160" s="30" t="s">
        <v>1014</v>
      </c>
      <c r="D160" s="124" t="s">
        <v>1014</v>
      </c>
      <c r="E160" s="119" t="s">
        <v>2567</v>
      </c>
      <c r="F160" s="99" t="s">
        <v>2295</v>
      </c>
      <c r="G160" s="99" t="s">
        <v>1486</v>
      </c>
      <c r="H160" s="42" t="str">
        <f t="shared" si="42"/>
        <v>Rural MRSA Central</v>
      </c>
      <c r="I160" s="44">
        <f>INDEX(FeeCalc!M:M,MATCH(C:C,FeeCalc!F:F,0))</f>
        <v>2239015.4015484788</v>
      </c>
      <c r="J160" s="44">
        <f>INDEX(FeeCalc!L:L,MATCH(C:C,FeeCalc!F:F,0))</f>
        <v>1126278.4897161992</v>
      </c>
      <c r="K160" s="44">
        <f t="shared" si="43"/>
        <v>3365293.891264678</v>
      </c>
      <c r="L160" s="44">
        <v>-266048.65999999997</v>
      </c>
      <c r="M160" s="44">
        <v>287759.49</v>
      </c>
      <c r="N160" s="44">
        <f t="shared" si="44"/>
        <v>21710.830000000016</v>
      </c>
      <c r="O160" s="44">
        <v>-174865.29601627868</v>
      </c>
      <c r="P160" s="44">
        <v>524025.35489057307</v>
      </c>
      <c r="Q160" s="44">
        <f t="shared" si="45"/>
        <v>349160.05887429439</v>
      </c>
      <c r="R160" s="44" t="str">
        <f t="shared" si="46"/>
        <v>No</v>
      </c>
      <c r="S160" s="45" t="str">
        <f t="shared" si="46"/>
        <v>Yes</v>
      </c>
      <c r="T160" s="46">
        <f>ROUND(INDEX(Summary!H:H,MATCH(H:H,Summary!A:A,0)),2)</f>
        <v>0.11</v>
      </c>
      <c r="U160" s="46">
        <f>ROUND(INDEX(Summary!I:I,MATCH(H:H,Summary!A:A,0)),2)</f>
        <v>0.09</v>
      </c>
      <c r="V160" s="79">
        <f t="shared" si="47"/>
        <v>246291.69417033266</v>
      </c>
      <c r="W160" s="79">
        <f t="shared" si="47"/>
        <v>101365.06407445793</v>
      </c>
      <c r="X160" s="44">
        <f t="shared" si="48"/>
        <v>347656.7582447906</v>
      </c>
      <c r="Y160" s="44" t="s">
        <v>2765</v>
      </c>
      <c r="Z160" s="44" t="str">
        <f t="shared" si="49"/>
        <v>No</v>
      </c>
      <c r="AA160" s="44" t="str">
        <f t="shared" si="49"/>
        <v>Yes</v>
      </c>
      <c r="AB160" s="44" t="str">
        <f t="shared" si="50"/>
        <v>Yes</v>
      </c>
      <c r="AC160" s="80">
        <f t="shared" si="57"/>
        <v>0</v>
      </c>
      <c r="AD160" s="80">
        <f t="shared" si="58"/>
        <v>0.26</v>
      </c>
      <c r="AE160" s="44">
        <f t="shared" si="51"/>
        <v>0</v>
      </c>
      <c r="AF160" s="44">
        <f t="shared" si="51"/>
        <v>292832.4073262118</v>
      </c>
      <c r="AG160" s="44">
        <f t="shared" si="52"/>
        <v>292832.4073262118</v>
      </c>
      <c r="AH160" s="46">
        <f>IF(Y160="No",0,IFERROR(ROUNDDOWN(INDEX('90% of ACR'!K:K,MATCH(H:H,'90% of ACR'!A:A,0))*IF(I160&gt;0,IF(O160&gt;0,$R$4*MAX(O160-V160,0),0),0)/I160,2),0))</f>
        <v>0</v>
      </c>
      <c r="AI160" s="80">
        <f>IF(Y160="No",0,IFERROR(ROUNDDOWN(INDEX('90% of ACR'!R:R,MATCH(H:H,'90% of ACR'!A:A,0))*IF(J160&gt;0,IF(P160&gt;0,$R$4*MAX(P160-W160,0),0),0)/J160,2),0))</f>
        <v>0.26</v>
      </c>
      <c r="AJ160" s="44">
        <f t="shared" si="53"/>
        <v>0</v>
      </c>
      <c r="AK160" s="44">
        <f t="shared" si="53"/>
        <v>292832.4073262118</v>
      </c>
      <c r="AL160" s="46">
        <f t="shared" si="54"/>
        <v>0.11</v>
      </c>
      <c r="AM160" s="46">
        <f t="shared" si="54"/>
        <v>0.35</v>
      </c>
      <c r="AN160" s="81">
        <f>IFERROR(INDEX(FeeCalc!P:P,MATCH(C160,FeeCalc!F:F,0)),0)</f>
        <v>640489.16557100241</v>
      </c>
      <c r="AO160" s="81">
        <f>IFERROR(INDEX(FeeCalc!S:S,MATCH(C160,FeeCalc!F:F,0)),0)</f>
        <v>39564.207414112578</v>
      </c>
      <c r="AP160" s="81">
        <f t="shared" si="55"/>
        <v>680053.37298511504</v>
      </c>
      <c r="AQ160" s="68">
        <f t="shared" si="56"/>
        <v>267636.36504503805</v>
      </c>
      <c r="AR160" s="68">
        <f>INDEX('IGT Commitment Suggestions'!H:H,MATCH(G160,'IGT Commitment Suggestions'!A:A,0))*AQ160</f>
        <v>122266.1844113158</v>
      </c>
    </row>
    <row r="161" spans="1:44">
      <c r="A161" s="103" t="s">
        <v>569</v>
      </c>
      <c r="B161" s="123" t="s">
        <v>569</v>
      </c>
      <c r="C161" s="30" t="s">
        <v>570</v>
      </c>
      <c r="D161" s="124" t="s">
        <v>570</v>
      </c>
      <c r="E161" s="119" t="s">
        <v>2651</v>
      </c>
      <c r="F161" s="99" t="s">
        <v>2283</v>
      </c>
      <c r="G161" s="99" t="s">
        <v>300</v>
      </c>
      <c r="H161" s="42" t="str">
        <f t="shared" si="42"/>
        <v>Urban Harris</v>
      </c>
      <c r="I161" s="44">
        <f>INDEX(FeeCalc!M:M,MATCH(C:C,FeeCalc!F:F,0))</f>
        <v>9643433.8895049505</v>
      </c>
      <c r="J161" s="44">
        <f>INDEX(FeeCalc!L:L,MATCH(C:C,FeeCalc!F:F,0))</f>
        <v>8512014.402965581</v>
      </c>
      <c r="K161" s="44">
        <f t="shared" si="43"/>
        <v>18155448.29247053</v>
      </c>
      <c r="L161" s="44">
        <v>8150478.3300000001</v>
      </c>
      <c r="M161" s="44">
        <v>1395303.37</v>
      </c>
      <c r="N161" s="44">
        <f t="shared" si="44"/>
        <v>9545781.6999999993</v>
      </c>
      <c r="O161" s="44">
        <v>17962919.552386384</v>
      </c>
      <c r="P161" s="44">
        <v>2117355.8128463873</v>
      </c>
      <c r="Q161" s="44">
        <f t="shared" si="45"/>
        <v>20080275.365232773</v>
      </c>
      <c r="R161" s="44" t="str">
        <f t="shared" si="46"/>
        <v>Yes</v>
      </c>
      <c r="S161" s="45" t="str">
        <f t="shared" si="46"/>
        <v>Yes</v>
      </c>
      <c r="T161" s="46">
        <f>ROUND(INDEX(Summary!H:H,MATCH(H:H,Summary!A:A,0)),2)</f>
        <v>1.74</v>
      </c>
      <c r="U161" s="46">
        <f>ROUND(INDEX(Summary!I:I,MATCH(H:H,Summary!A:A,0)),2)</f>
        <v>0.33</v>
      </c>
      <c r="V161" s="79">
        <f t="shared" si="47"/>
        <v>16779574.967738613</v>
      </c>
      <c r="W161" s="79">
        <f t="shared" si="47"/>
        <v>2808964.752978642</v>
      </c>
      <c r="X161" s="44">
        <f t="shared" si="48"/>
        <v>19588539.720717255</v>
      </c>
      <c r="Y161" s="44" t="s">
        <v>2765</v>
      </c>
      <c r="Z161" s="44" t="str">
        <f t="shared" si="49"/>
        <v>No</v>
      </c>
      <c r="AA161" s="44" t="str">
        <f t="shared" si="49"/>
        <v>No</v>
      </c>
      <c r="AB161" s="44" t="str">
        <f t="shared" si="50"/>
        <v>Yes</v>
      </c>
      <c r="AC161" s="80">
        <f t="shared" si="57"/>
        <v>0.09</v>
      </c>
      <c r="AD161" s="80">
        <f t="shared" si="58"/>
        <v>0</v>
      </c>
      <c r="AE161" s="44">
        <f t="shared" si="51"/>
        <v>867909.05005544552</v>
      </c>
      <c r="AF161" s="44">
        <f t="shared" si="51"/>
        <v>0</v>
      </c>
      <c r="AG161" s="44">
        <f t="shared" si="52"/>
        <v>867909.05005544552</v>
      </c>
      <c r="AH161" s="46">
        <f>IF(Y161="No",0,IFERROR(ROUNDDOWN(INDEX('90% of ACR'!K:K,MATCH(H:H,'90% of ACR'!A:A,0))*IF(I161&gt;0,IF(O161&gt;0,$R$4*MAX(O161-V161,0),0),0)/I161,2),0))</f>
        <v>0</v>
      </c>
      <c r="AI161" s="80">
        <f>IF(Y161="No",0,IFERROR(ROUNDDOWN(INDEX('90% of ACR'!R:R,MATCH(H:H,'90% of ACR'!A:A,0))*IF(J161&gt;0,IF(P161&gt;0,$R$4*MAX(P161-W161,0),0),0)/J161,2),0))</f>
        <v>0</v>
      </c>
      <c r="AJ161" s="44">
        <f t="shared" si="53"/>
        <v>0</v>
      </c>
      <c r="AK161" s="44">
        <f t="shared" si="53"/>
        <v>0</v>
      </c>
      <c r="AL161" s="46">
        <f t="shared" si="54"/>
        <v>1.74</v>
      </c>
      <c r="AM161" s="46">
        <f t="shared" si="54"/>
        <v>0.33</v>
      </c>
      <c r="AN161" s="81">
        <f>IFERROR(INDEX(FeeCalc!P:P,MATCH(C161,FeeCalc!F:F,0)),0)</f>
        <v>19588539.720717255</v>
      </c>
      <c r="AO161" s="81">
        <f>IFERROR(INDEX(FeeCalc!S:S,MATCH(C161,FeeCalc!F:F,0)),0)</f>
        <v>1215458.6412696459</v>
      </c>
      <c r="AP161" s="81">
        <f t="shared" si="55"/>
        <v>20803998.361986902</v>
      </c>
      <c r="AQ161" s="68">
        <f t="shared" si="56"/>
        <v>8187455.1633566702</v>
      </c>
      <c r="AR161" s="68">
        <f>INDEX('IGT Commitment Suggestions'!H:H,MATCH(G161,'IGT Commitment Suggestions'!A:A,0))*AQ161</f>
        <v>3756353.8992332215</v>
      </c>
    </row>
    <row r="162" spans="1:44">
      <c r="A162" s="103" t="s">
        <v>935</v>
      </c>
      <c r="B162" s="123" t="s">
        <v>935</v>
      </c>
      <c r="C162" s="30" t="s">
        <v>936</v>
      </c>
      <c r="D162" s="124" t="s">
        <v>936</v>
      </c>
      <c r="E162" s="119" t="s">
        <v>2476</v>
      </c>
      <c r="F162" s="99" t="s">
        <v>2283</v>
      </c>
      <c r="G162" s="99" t="s">
        <v>1365</v>
      </c>
      <c r="H162" s="42" t="str">
        <f t="shared" si="42"/>
        <v>Urban Tarrant</v>
      </c>
      <c r="I162" s="44">
        <f>INDEX(FeeCalc!M:M,MATCH(C:C,FeeCalc!F:F,0))</f>
        <v>48335.894181234551</v>
      </c>
      <c r="J162" s="44">
        <f>INDEX(FeeCalc!L:L,MATCH(C:C,FeeCalc!F:F,0))</f>
        <v>115128.07253212953</v>
      </c>
      <c r="K162" s="44">
        <f t="shared" si="43"/>
        <v>163463.96671336409</v>
      </c>
      <c r="L162" s="44">
        <v>1019730.43</v>
      </c>
      <c r="M162" s="44">
        <v>551345.48</v>
      </c>
      <c r="N162" s="44">
        <f t="shared" si="44"/>
        <v>1571075.9100000001</v>
      </c>
      <c r="O162" s="44">
        <v>3541840.5325236795</v>
      </c>
      <c r="P162" s="44">
        <v>1001473.7100758083</v>
      </c>
      <c r="Q162" s="44">
        <f t="shared" si="45"/>
        <v>4543314.2425994882</v>
      </c>
      <c r="R162" s="44" t="str">
        <f t="shared" si="46"/>
        <v>Yes</v>
      </c>
      <c r="S162" s="45" t="str">
        <f t="shared" si="46"/>
        <v>Yes</v>
      </c>
      <c r="T162" s="46">
        <f>ROUND(INDEX(Summary!H:H,MATCH(H:H,Summary!A:A,0)),2)</f>
        <v>0.84</v>
      </c>
      <c r="U162" s="46">
        <f>ROUND(INDEX(Summary!I:I,MATCH(H:H,Summary!A:A,0)),2)</f>
        <v>0.55000000000000004</v>
      </c>
      <c r="V162" s="79">
        <f t="shared" si="47"/>
        <v>40602.151112237021</v>
      </c>
      <c r="W162" s="79">
        <f t="shared" si="47"/>
        <v>63320.439892671246</v>
      </c>
      <c r="X162" s="44">
        <f t="shared" si="48"/>
        <v>103922.59100490826</v>
      </c>
      <c r="Y162" s="44" t="s">
        <v>2765</v>
      </c>
      <c r="Z162" s="44" t="str">
        <f t="shared" si="49"/>
        <v>Yes</v>
      </c>
      <c r="AA162" s="44" t="str">
        <f t="shared" si="49"/>
        <v>Yes</v>
      </c>
      <c r="AB162" s="44" t="str">
        <f t="shared" si="50"/>
        <v>Yes</v>
      </c>
      <c r="AC162" s="80">
        <f t="shared" si="57"/>
        <v>50.46</v>
      </c>
      <c r="AD162" s="80">
        <f t="shared" si="58"/>
        <v>5.68</v>
      </c>
      <c r="AE162" s="44">
        <f t="shared" si="51"/>
        <v>2439029.2203850956</v>
      </c>
      <c r="AF162" s="44">
        <f t="shared" si="51"/>
        <v>653927.45198249572</v>
      </c>
      <c r="AG162" s="44">
        <f t="shared" si="52"/>
        <v>3092956.6723675914</v>
      </c>
      <c r="AH162" s="46">
        <f>IF(Y162="No",0,IFERROR(ROUNDDOWN(INDEX('90% of ACR'!K:K,MATCH(H:H,'90% of ACR'!A:A,0))*IF(I162&gt;0,IF(O162&gt;0,$R$4*MAX(O162-V162,0),0),0)/I162,2),0))</f>
        <v>50.46</v>
      </c>
      <c r="AI162" s="80">
        <f>IF(Y162="No",0,IFERROR(ROUNDDOWN(INDEX('90% of ACR'!R:R,MATCH(H:H,'90% of ACR'!A:A,0))*IF(J162&gt;0,IF(P162&gt;0,$R$4*MAX(P162-W162,0),0),0)/J162,2),0))</f>
        <v>5.45</v>
      </c>
      <c r="AJ162" s="44">
        <f t="shared" si="53"/>
        <v>2439029.2203850956</v>
      </c>
      <c r="AK162" s="44">
        <f t="shared" si="53"/>
        <v>627447.99530010601</v>
      </c>
      <c r="AL162" s="46">
        <f t="shared" si="54"/>
        <v>51.300000000000004</v>
      </c>
      <c r="AM162" s="46">
        <f t="shared" si="54"/>
        <v>6</v>
      </c>
      <c r="AN162" s="81">
        <f>IFERROR(INDEX(FeeCalc!P:P,MATCH(C162,FeeCalc!F:F,0)),0)</f>
        <v>3170399.8066901099</v>
      </c>
      <c r="AO162" s="81">
        <f>IFERROR(INDEX(FeeCalc!S:S,MATCH(C162,FeeCalc!F:F,0)),0)</f>
        <v>193419.61685377327</v>
      </c>
      <c r="AP162" s="81">
        <f t="shared" si="55"/>
        <v>3363819.423543883</v>
      </c>
      <c r="AQ162" s="68">
        <f t="shared" si="56"/>
        <v>1323837.8617745421</v>
      </c>
      <c r="AR162" s="68">
        <f>INDEX('IGT Commitment Suggestions'!H:H,MATCH(G162,'IGT Commitment Suggestions'!A:A,0))*AQ162</f>
        <v>603789.85097866913</v>
      </c>
    </row>
    <row r="163" spans="1:44">
      <c r="A163" s="103" t="s">
        <v>1490</v>
      </c>
      <c r="B163" s="123" t="s">
        <v>1490</v>
      </c>
      <c r="C163" s="30" t="s">
        <v>1491</v>
      </c>
      <c r="D163" s="124" t="s">
        <v>1491</v>
      </c>
      <c r="E163" s="119" t="s">
        <v>2568</v>
      </c>
      <c r="F163" s="99" t="s">
        <v>2283</v>
      </c>
      <c r="G163" s="99" t="s">
        <v>1486</v>
      </c>
      <c r="H163" s="42" t="str">
        <f t="shared" si="42"/>
        <v>Urban MRSA Central</v>
      </c>
      <c r="I163" s="44">
        <f>INDEX(FeeCalc!M:M,MATCH(C:C,FeeCalc!F:F,0))</f>
        <v>0</v>
      </c>
      <c r="J163" s="44">
        <f>INDEX(FeeCalc!L:L,MATCH(C:C,FeeCalc!F:F,0))</f>
        <v>924.09471361110707</v>
      </c>
      <c r="K163" s="44">
        <f t="shared" si="43"/>
        <v>924.09471361110707</v>
      </c>
      <c r="L163" s="44">
        <v>49259.98</v>
      </c>
      <c r="M163" s="44">
        <v>0</v>
      </c>
      <c r="N163" s="44">
        <f t="shared" si="44"/>
        <v>49259.98</v>
      </c>
      <c r="O163" s="44">
        <v>64537.12407127161</v>
      </c>
      <c r="P163" s="44">
        <v>0</v>
      </c>
      <c r="Q163" s="44">
        <f t="shared" si="45"/>
        <v>64537.12407127161</v>
      </c>
      <c r="R163" s="44" t="str">
        <f t="shared" si="46"/>
        <v>Yes</v>
      </c>
      <c r="S163" s="45" t="str">
        <f t="shared" si="46"/>
        <v>No</v>
      </c>
      <c r="T163" s="46">
        <f>ROUND(INDEX(Summary!H:H,MATCH(H:H,Summary!A:A,0)),2)</f>
        <v>0.48</v>
      </c>
      <c r="U163" s="46">
        <f>ROUND(INDEX(Summary!I:I,MATCH(H:H,Summary!A:A,0)),2)</f>
        <v>0.99</v>
      </c>
      <c r="V163" s="79">
        <f t="shared" si="47"/>
        <v>0</v>
      </c>
      <c r="W163" s="79">
        <f t="shared" si="47"/>
        <v>914.85376647499595</v>
      </c>
      <c r="X163" s="44">
        <f t="shared" si="48"/>
        <v>914.85376647499595</v>
      </c>
      <c r="Y163" s="44" t="s">
        <v>2765</v>
      </c>
      <c r="Z163" s="44" t="str">
        <f t="shared" si="49"/>
        <v>No</v>
      </c>
      <c r="AA163" s="44" t="str">
        <f t="shared" si="49"/>
        <v>No</v>
      </c>
      <c r="AB163" s="44" t="str">
        <f t="shared" si="50"/>
        <v>No</v>
      </c>
      <c r="AC163" s="80">
        <f t="shared" si="57"/>
        <v>0</v>
      </c>
      <c r="AD163" s="80">
        <f t="shared" si="58"/>
        <v>0</v>
      </c>
      <c r="AE163" s="44">
        <f t="shared" si="51"/>
        <v>0</v>
      </c>
      <c r="AF163" s="44">
        <f t="shared" si="51"/>
        <v>0</v>
      </c>
      <c r="AG163" s="44">
        <f t="shared" si="52"/>
        <v>0</v>
      </c>
      <c r="AH163" s="46">
        <f>IF(Y163="No",0,IFERROR(ROUNDDOWN(INDEX('90% of ACR'!K:K,MATCH(H:H,'90% of ACR'!A:A,0))*IF(I163&gt;0,IF(O163&gt;0,$R$4*MAX(O163-V163,0),0),0)/I163,2),0))</f>
        <v>0</v>
      </c>
      <c r="AI163" s="80">
        <f>IF(Y163="No",0,IFERROR(ROUNDDOWN(INDEX('90% of ACR'!R:R,MATCH(H:H,'90% of ACR'!A:A,0))*IF(J163&gt;0,IF(P163&gt;0,$R$4*MAX(P163-W163,0),0),0)/J163,2),0))</f>
        <v>0</v>
      </c>
      <c r="AJ163" s="44">
        <f t="shared" si="53"/>
        <v>0</v>
      </c>
      <c r="AK163" s="44">
        <f t="shared" si="53"/>
        <v>0</v>
      </c>
      <c r="AL163" s="46">
        <f t="shared" si="54"/>
        <v>0.48</v>
      </c>
      <c r="AM163" s="46">
        <f t="shared" si="54"/>
        <v>0.99</v>
      </c>
      <c r="AN163" s="81">
        <f>IFERROR(INDEX(FeeCalc!P:P,MATCH(C163,FeeCalc!F:F,0)),0)</f>
        <v>914.85376647499595</v>
      </c>
      <c r="AO163" s="81">
        <f>IFERROR(INDEX(FeeCalc!S:S,MATCH(C163,FeeCalc!F:F,0)),0)</f>
        <v>58.39492126436145</v>
      </c>
      <c r="AP163" s="81">
        <f t="shared" si="55"/>
        <v>973.24868773935736</v>
      </c>
      <c r="AQ163" s="68">
        <f t="shared" si="56"/>
        <v>383.02396755719963</v>
      </c>
      <c r="AR163" s="68">
        <f>INDEX('IGT Commitment Suggestions'!H:H,MATCH(G163,'IGT Commitment Suggestions'!A:A,0))*AQ163</f>
        <v>174.97950640385386</v>
      </c>
    </row>
    <row r="164" spans="1:44">
      <c r="A164" s="103" t="s">
        <v>1431</v>
      </c>
      <c r="B164" s="123" t="s">
        <v>1431</v>
      </c>
      <c r="C164" s="30" t="s">
        <v>1432</v>
      </c>
      <c r="D164" s="124" t="s">
        <v>1432</v>
      </c>
      <c r="E164" s="119" t="s">
        <v>2645</v>
      </c>
      <c r="F164" s="99" t="s">
        <v>2283</v>
      </c>
      <c r="G164" s="99" t="s">
        <v>227</v>
      </c>
      <c r="H164" s="42" t="str">
        <f t="shared" si="42"/>
        <v>Urban MRSA West</v>
      </c>
      <c r="I164" s="44">
        <f>INDEX(FeeCalc!M:M,MATCH(C:C,FeeCalc!F:F,0))</f>
        <v>778384.90782368532</v>
      </c>
      <c r="J164" s="44">
        <f>INDEX(FeeCalc!L:L,MATCH(C:C,FeeCalc!F:F,0))</f>
        <v>0</v>
      </c>
      <c r="K164" s="44">
        <f t="shared" si="43"/>
        <v>778384.90782368532</v>
      </c>
      <c r="L164" s="44">
        <v>505855.66</v>
      </c>
      <c r="M164" s="44">
        <v>0</v>
      </c>
      <c r="N164" s="44">
        <f t="shared" si="44"/>
        <v>505855.66</v>
      </c>
      <c r="O164" s="44">
        <v>170909.02688184904</v>
      </c>
      <c r="P164" s="44">
        <v>0</v>
      </c>
      <c r="Q164" s="44">
        <f t="shared" si="45"/>
        <v>170909.02688184904</v>
      </c>
      <c r="R164" s="44" t="str">
        <f t="shared" si="46"/>
        <v>Yes</v>
      </c>
      <c r="S164" s="45" t="str">
        <f t="shared" si="46"/>
        <v>No</v>
      </c>
      <c r="T164" s="46">
        <f>ROUND(INDEX(Summary!H:H,MATCH(H:H,Summary!A:A,0)),2)</f>
        <v>0.33</v>
      </c>
      <c r="U164" s="46">
        <f>ROUND(INDEX(Summary!I:I,MATCH(H:H,Summary!A:A,0)),2)</f>
        <v>0.85</v>
      </c>
      <c r="V164" s="79">
        <f t="shared" si="47"/>
        <v>256867.01958181616</v>
      </c>
      <c r="W164" s="79">
        <f t="shared" si="47"/>
        <v>0</v>
      </c>
      <c r="X164" s="44">
        <f t="shared" si="48"/>
        <v>256867.01958181616</v>
      </c>
      <c r="Y164" s="44" t="s">
        <v>2765</v>
      </c>
      <c r="Z164" s="44" t="str">
        <f t="shared" si="49"/>
        <v>No</v>
      </c>
      <c r="AA164" s="44" t="str">
        <f t="shared" si="49"/>
        <v>No</v>
      </c>
      <c r="AB164" s="44" t="str">
        <f t="shared" si="50"/>
        <v>No</v>
      </c>
      <c r="AC164" s="80">
        <f t="shared" si="57"/>
        <v>0</v>
      </c>
      <c r="AD164" s="80">
        <f t="shared" si="58"/>
        <v>0</v>
      </c>
      <c r="AE164" s="44">
        <f t="shared" si="51"/>
        <v>0</v>
      </c>
      <c r="AF164" s="44">
        <f t="shared" si="51"/>
        <v>0</v>
      </c>
      <c r="AG164" s="44">
        <f t="shared" si="52"/>
        <v>0</v>
      </c>
      <c r="AH164" s="46">
        <f>IF(Y164="No",0,IFERROR(ROUNDDOWN(INDEX('90% of ACR'!K:K,MATCH(H:H,'90% of ACR'!A:A,0))*IF(I164&gt;0,IF(O164&gt;0,$R$4*MAX(O164-V164,0),0),0)/I164,2),0))</f>
        <v>0</v>
      </c>
      <c r="AI164" s="80">
        <f>IF(Y164="No",0,IFERROR(ROUNDDOWN(INDEX('90% of ACR'!R:R,MATCH(H:H,'90% of ACR'!A:A,0))*IF(J164&gt;0,IF(P164&gt;0,$R$4*MAX(P164-W164,0),0),0)/J164,2),0))</f>
        <v>0</v>
      </c>
      <c r="AJ164" s="44">
        <f t="shared" si="53"/>
        <v>0</v>
      </c>
      <c r="AK164" s="44">
        <f t="shared" si="53"/>
        <v>0</v>
      </c>
      <c r="AL164" s="46">
        <f t="shared" si="54"/>
        <v>0.33</v>
      </c>
      <c r="AM164" s="46">
        <f t="shared" si="54"/>
        <v>0.85</v>
      </c>
      <c r="AN164" s="81">
        <f>IFERROR(INDEX(FeeCalc!P:P,MATCH(C164,FeeCalc!F:F,0)),0)</f>
        <v>256867.01958181616</v>
      </c>
      <c r="AO164" s="81">
        <f>IFERROR(INDEX(FeeCalc!S:S,MATCH(C164,FeeCalc!F:F,0)),0)</f>
        <v>16248.079792745273</v>
      </c>
      <c r="AP164" s="81">
        <f t="shared" si="55"/>
        <v>273115.09937456145</v>
      </c>
      <c r="AQ164" s="68">
        <f t="shared" si="56"/>
        <v>107484.99358905743</v>
      </c>
      <c r="AR164" s="68">
        <f>INDEX('IGT Commitment Suggestions'!H:H,MATCH(G164,'IGT Commitment Suggestions'!A:A,0))*AQ164</f>
        <v>52674.488353857305</v>
      </c>
    </row>
    <row r="165" spans="1:44">
      <c r="A165" s="103" t="s">
        <v>37</v>
      </c>
      <c r="B165" s="123" t="s">
        <v>1546</v>
      </c>
      <c r="C165" s="30" t="s">
        <v>38</v>
      </c>
      <c r="D165" s="124" t="s">
        <v>38</v>
      </c>
      <c r="E165" s="119" t="s">
        <v>2862</v>
      </c>
      <c r="F165" s="99" t="s">
        <v>2283</v>
      </c>
      <c r="G165" s="99" t="s">
        <v>223</v>
      </c>
      <c r="H165" s="42" t="str">
        <f t="shared" si="42"/>
        <v>Urban Dallas</v>
      </c>
      <c r="I165" s="44">
        <f>INDEX(FeeCalc!M:M,MATCH(C:C,FeeCalc!F:F,0))</f>
        <v>415743.19376511569</v>
      </c>
      <c r="J165" s="44">
        <f>INDEX(FeeCalc!L:L,MATCH(C:C,FeeCalc!F:F,0))</f>
        <v>279172.05350810126</v>
      </c>
      <c r="K165" s="44">
        <f t="shared" si="43"/>
        <v>694915.24727321696</v>
      </c>
      <c r="L165" s="44">
        <v>405752.2</v>
      </c>
      <c r="M165" s="44">
        <v>194638.16</v>
      </c>
      <c r="N165" s="44">
        <f t="shared" si="44"/>
        <v>600390.36</v>
      </c>
      <c r="O165" s="44">
        <v>1327356.3343097321</v>
      </c>
      <c r="P165" s="44">
        <v>467664.43741227768</v>
      </c>
      <c r="Q165" s="44">
        <f t="shared" si="45"/>
        <v>1795020.7717220099</v>
      </c>
      <c r="R165" s="44" t="str">
        <f t="shared" si="46"/>
        <v>Yes</v>
      </c>
      <c r="S165" s="45" t="str">
        <f t="shared" si="46"/>
        <v>Yes</v>
      </c>
      <c r="T165" s="46">
        <f>ROUND(INDEX(Summary!H:H,MATCH(H:H,Summary!A:A,0)),2)</f>
        <v>0.6</v>
      </c>
      <c r="U165" s="46">
        <f>ROUND(INDEX(Summary!I:I,MATCH(H:H,Summary!A:A,0)),2)</f>
        <v>0.3</v>
      </c>
      <c r="V165" s="79">
        <f t="shared" si="47"/>
        <v>249445.9162590694</v>
      </c>
      <c r="W165" s="79">
        <f t="shared" si="47"/>
        <v>83751.61605243037</v>
      </c>
      <c r="X165" s="44">
        <f t="shared" si="48"/>
        <v>333197.53231149976</v>
      </c>
      <c r="Y165" s="44" t="s">
        <v>2765</v>
      </c>
      <c r="Z165" s="44" t="str">
        <f t="shared" si="49"/>
        <v>Yes</v>
      </c>
      <c r="AA165" s="44" t="str">
        <f t="shared" si="49"/>
        <v>Yes</v>
      </c>
      <c r="AB165" s="44" t="str">
        <f t="shared" si="50"/>
        <v>Yes</v>
      </c>
      <c r="AC165" s="80">
        <f t="shared" si="57"/>
        <v>1.81</v>
      </c>
      <c r="AD165" s="80">
        <f t="shared" si="58"/>
        <v>0.96</v>
      </c>
      <c r="AE165" s="44">
        <f t="shared" si="51"/>
        <v>752495.18071485939</v>
      </c>
      <c r="AF165" s="44">
        <f t="shared" si="51"/>
        <v>268005.17136777722</v>
      </c>
      <c r="AG165" s="44">
        <f t="shared" si="52"/>
        <v>1020500.3520826367</v>
      </c>
      <c r="AH165" s="46">
        <f>IF(Y165="No",0,IFERROR(ROUNDDOWN(INDEX('90% of ACR'!K:K,MATCH(H:H,'90% of ACR'!A:A,0))*IF(I165&gt;0,IF(O165&gt;0,$R$4*MAX(O165-V165,0),0),0)/I165,2),0))</f>
        <v>1.8</v>
      </c>
      <c r="AI165" s="80">
        <f>IF(Y165="No",0,IFERROR(ROUNDDOWN(INDEX('90% of ACR'!R:R,MATCH(H:H,'90% of ACR'!A:A,0))*IF(J165&gt;0,IF(P165&gt;0,$R$4*MAX(P165-W165,0),0),0)/J165,2),0))</f>
        <v>0.95</v>
      </c>
      <c r="AJ165" s="44">
        <f t="shared" si="53"/>
        <v>748337.74877720827</v>
      </c>
      <c r="AK165" s="44">
        <f t="shared" si="53"/>
        <v>265213.45083269617</v>
      </c>
      <c r="AL165" s="46">
        <f t="shared" si="54"/>
        <v>2.4</v>
      </c>
      <c r="AM165" s="46">
        <f t="shared" si="54"/>
        <v>1.25</v>
      </c>
      <c r="AN165" s="81">
        <f>IFERROR(INDEX(FeeCalc!P:P,MATCH(C165,FeeCalc!F:F,0)),0)</f>
        <v>1346748.7319214041</v>
      </c>
      <c r="AO165" s="81">
        <f>IFERROR(INDEX(FeeCalc!S:S,MATCH(C165,FeeCalc!F:F,0)),0)</f>
        <v>83026.92994835625</v>
      </c>
      <c r="AP165" s="81">
        <f t="shared" si="55"/>
        <v>1429775.6618697604</v>
      </c>
      <c r="AQ165" s="68">
        <f t="shared" si="56"/>
        <v>562691.07128016802</v>
      </c>
      <c r="AR165" s="68">
        <f>INDEX('IGT Commitment Suggestions'!H:H,MATCH(G165,'IGT Commitment Suggestions'!A:A,0))*AQ165</f>
        <v>257337.60790835539</v>
      </c>
    </row>
    <row r="166" spans="1:44">
      <c r="A166" s="103" t="s">
        <v>1409</v>
      </c>
      <c r="B166" s="123" t="s">
        <v>1409</v>
      </c>
      <c r="C166" s="30" t="s">
        <v>1647</v>
      </c>
      <c r="D166" s="124" t="s">
        <v>1647</v>
      </c>
      <c r="E166" s="119" t="s">
        <v>2657</v>
      </c>
      <c r="F166" s="99" t="s">
        <v>2283</v>
      </c>
      <c r="G166" s="99" t="s">
        <v>300</v>
      </c>
      <c r="H166" s="42" t="str">
        <f t="shared" si="42"/>
        <v>Urban Harris</v>
      </c>
      <c r="I166" s="44">
        <f>INDEX(FeeCalc!M:M,MATCH(C:C,FeeCalc!F:F,0))</f>
        <v>4243596.8252837397</v>
      </c>
      <c r="J166" s="44">
        <f>INDEX(FeeCalc!L:L,MATCH(C:C,FeeCalc!F:F,0))</f>
        <v>3576849.5568325175</v>
      </c>
      <c r="K166" s="44">
        <f t="shared" si="43"/>
        <v>7820446.3821162572</v>
      </c>
      <c r="L166" s="44">
        <v>2311414.4300000002</v>
      </c>
      <c r="M166" s="44">
        <v>1241553.3700000001</v>
      </c>
      <c r="N166" s="44">
        <f t="shared" si="44"/>
        <v>3552967.8000000003</v>
      </c>
      <c r="O166" s="44">
        <v>7567500.5798988193</v>
      </c>
      <c r="P166" s="44">
        <v>1661991.4535789124</v>
      </c>
      <c r="Q166" s="44">
        <f t="shared" si="45"/>
        <v>9229492.033477731</v>
      </c>
      <c r="R166" s="44" t="str">
        <f t="shared" si="46"/>
        <v>Yes</v>
      </c>
      <c r="S166" s="45" t="str">
        <f t="shared" si="46"/>
        <v>Yes</v>
      </c>
      <c r="T166" s="46">
        <f>ROUND(INDEX(Summary!H:H,MATCH(H:H,Summary!A:A,0)),2)</f>
        <v>1.74</v>
      </c>
      <c r="U166" s="46">
        <f>ROUND(INDEX(Summary!I:I,MATCH(H:H,Summary!A:A,0)),2)</f>
        <v>0.33</v>
      </c>
      <c r="V166" s="79">
        <f t="shared" si="47"/>
        <v>7383858.4759937068</v>
      </c>
      <c r="W166" s="79">
        <f t="shared" si="47"/>
        <v>1180360.3537547309</v>
      </c>
      <c r="X166" s="44">
        <f t="shared" si="48"/>
        <v>8564218.8297484368</v>
      </c>
      <c r="Y166" s="44" t="s">
        <v>2765</v>
      </c>
      <c r="Z166" s="44" t="str">
        <f t="shared" si="49"/>
        <v>No</v>
      </c>
      <c r="AA166" s="44" t="str">
        <f t="shared" si="49"/>
        <v>Yes</v>
      </c>
      <c r="AB166" s="44" t="str">
        <f t="shared" si="50"/>
        <v>Yes</v>
      </c>
      <c r="AC166" s="80">
        <f t="shared" si="57"/>
        <v>0.03</v>
      </c>
      <c r="AD166" s="80">
        <f t="shared" si="58"/>
        <v>0.09</v>
      </c>
      <c r="AE166" s="44">
        <f t="shared" si="51"/>
        <v>127307.90475851219</v>
      </c>
      <c r="AF166" s="44">
        <f t="shared" si="51"/>
        <v>321916.46011492657</v>
      </c>
      <c r="AG166" s="44">
        <f t="shared" si="52"/>
        <v>449224.36487343872</v>
      </c>
      <c r="AH166" s="46">
        <f>IF(Y166="No",0,IFERROR(ROUNDDOWN(INDEX('90% of ACR'!K:K,MATCH(H:H,'90% of ACR'!A:A,0))*IF(I166&gt;0,IF(O166&gt;0,$R$4*MAX(O166-V166,0),0),0)/I166,2),0))</f>
        <v>0</v>
      </c>
      <c r="AI166" s="80">
        <f>IF(Y166="No",0,IFERROR(ROUNDDOWN(INDEX('90% of ACR'!R:R,MATCH(H:H,'90% of ACR'!A:A,0))*IF(J166&gt;0,IF(P166&gt;0,$R$4*MAX(P166-W166,0),0),0)/J166,2),0))</f>
        <v>0.08</v>
      </c>
      <c r="AJ166" s="44">
        <f t="shared" si="53"/>
        <v>0</v>
      </c>
      <c r="AK166" s="44">
        <f t="shared" si="53"/>
        <v>286147.9645466014</v>
      </c>
      <c r="AL166" s="46">
        <f t="shared" si="54"/>
        <v>1.74</v>
      </c>
      <c r="AM166" s="46">
        <f t="shared" si="54"/>
        <v>0.41000000000000003</v>
      </c>
      <c r="AN166" s="81">
        <f>IFERROR(INDEX(FeeCalc!P:P,MATCH(C166,FeeCalc!F:F,0)),0)</f>
        <v>8850366.794295039</v>
      </c>
      <c r="AO166" s="81">
        <f>IFERROR(INDEX(FeeCalc!S:S,MATCH(C166,FeeCalc!F:F,0)),0)</f>
        <v>547755.93228698347</v>
      </c>
      <c r="AP166" s="81">
        <f t="shared" si="55"/>
        <v>9398122.7265820224</v>
      </c>
      <c r="AQ166" s="68">
        <f t="shared" si="56"/>
        <v>3698649.9952918086</v>
      </c>
      <c r="AR166" s="68">
        <f>INDEX('IGT Commitment Suggestions'!H:H,MATCH(G166,'IGT Commitment Suggestions'!A:A,0))*AQ166</f>
        <v>1696917.7912441022</v>
      </c>
    </row>
    <row r="167" spans="1:44">
      <c r="A167" s="103" t="s">
        <v>1001</v>
      </c>
      <c r="B167" s="123" t="s">
        <v>1001</v>
      </c>
      <c r="C167" s="30" t="s">
        <v>1002</v>
      </c>
      <c r="D167" s="124" t="s">
        <v>1002</v>
      </c>
      <c r="E167" s="119" t="s">
        <v>2863</v>
      </c>
      <c r="F167" s="99" t="s">
        <v>2283</v>
      </c>
      <c r="G167" s="99" t="s">
        <v>1486</v>
      </c>
      <c r="H167" s="42" t="str">
        <f t="shared" si="42"/>
        <v>Urban MRSA Central</v>
      </c>
      <c r="I167" s="44">
        <f>INDEX(FeeCalc!M:M,MATCH(C:C,FeeCalc!F:F,0))</f>
        <v>4007112.270993066</v>
      </c>
      <c r="J167" s="44">
        <f>INDEX(FeeCalc!L:L,MATCH(C:C,FeeCalc!F:F,0))</f>
        <v>3838631.1549871583</v>
      </c>
      <c r="K167" s="44">
        <f t="shared" si="43"/>
        <v>7845743.4259802243</v>
      </c>
      <c r="L167" s="44">
        <v>1425155.26</v>
      </c>
      <c r="M167" s="44">
        <v>2165711.58</v>
      </c>
      <c r="N167" s="44">
        <f t="shared" si="44"/>
        <v>3590866.84</v>
      </c>
      <c r="O167" s="44">
        <v>5447552.3111925535</v>
      </c>
      <c r="P167" s="44">
        <v>1832592.2355062554</v>
      </c>
      <c r="Q167" s="44">
        <f t="shared" si="45"/>
        <v>7280144.5466988087</v>
      </c>
      <c r="R167" s="44" t="str">
        <f t="shared" si="46"/>
        <v>Yes</v>
      </c>
      <c r="S167" s="45" t="str">
        <f t="shared" si="46"/>
        <v>Yes</v>
      </c>
      <c r="T167" s="46">
        <f>ROUND(INDEX(Summary!H:H,MATCH(H:H,Summary!A:A,0)),2)</f>
        <v>0.48</v>
      </c>
      <c r="U167" s="46">
        <f>ROUND(INDEX(Summary!I:I,MATCH(H:H,Summary!A:A,0)),2)</f>
        <v>0.99</v>
      </c>
      <c r="V167" s="79">
        <f t="shared" si="47"/>
        <v>1923413.8900766717</v>
      </c>
      <c r="W167" s="79">
        <f t="shared" si="47"/>
        <v>3800244.8434372866</v>
      </c>
      <c r="X167" s="44">
        <f t="shared" si="48"/>
        <v>5723658.7335139588</v>
      </c>
      <c r="Y167" s="44" t="s">
        <v>2765</v>
      </c>
      <c r="Z167" s="44" t="str">
        <f t="shared" si="49"/>
        <v>Yes</v>
      </c>
      <c r="AA167" s="44" t="str">
        <f t="shared" si="49"/>
        <v>No</v>
      </c>
      <c r="AB167" s="44" t="str">
        <f t="shared" si="50"/>
        <v>Yes</v>
      </c>
      <c r="AC167" s="80">
        <f t="shared" si="57"/>
        <v>0.61</v>
      </c>
      <c r="AD167" s="80">
        <f t="shared" si="58"/>
        <v>0</v>
      </c>
      <c r="AE167" s="44">
        <f t="shared" si="51"/>
        <v>2444338.4853057703</v>
      </c>
      <c r="AF167" s="44">
        <f t="shared" si="51"/>
        <v>0</v>
      </c>
      <c r="AG167" s="44">
        <f t="shared" si="52"/>
        <v>2444338.4853057703</v>
      </c>
      <c r="AH167" s="46">
        <f>IF(Y167="No",0,IFERROR(ROUNDDOWN(INDEX('90% of ACR'!K:K,MATCH(H:H,'90% of ACR'!A:A,0))*IF(I167&gt;0,IF(O167&gt;0,$R$4*MAX(O167-V167,0),0),0)/I167,2),0))</f>
        <v>0.61</v>
      </c>
      <c r="AI167" s="80">
        <f>IF(Y167="No",0,IFERROR(ROUNDDOWN(INDEX('90% of ACR'!R:R,MATCH(H:H,'90% of ACR'!A:A,0))*IF(J167&gt;0,IF(P167&gt;0,$R$4*MAX(P167-W167,0),0),0)/J167,2),0))</f>
        <v>0</v>
      </c>
      <c r="AJ167" s="44">
        <f t="shared" si="53"/>
        <v>2444338.4853057703</v>
      </c>
      <c r="AK167" s="44">
        <f t="shared" si="53"/>
        <v>0</v>
      </c>
      <c r="AL167" s="46">
        <f t="shared" si="54"/>
        <v>1.0899999999999999</v>
      </c>
      <c r="AM167" s="46">
        <f t="shared" si="54"/>
        <v>0.99</v>
      </c>
      <c r="AN167" s="81">
        <f>IFERROR(INDEX(FeeCalc!P:P,MATCH(C167,FeeCalc!F:F,0)),0)</f>
        <v>8167997.2188197281</v>
      </c>
      <c r="AO167" s="81">
        <f>IFERROR(INDEX(FeeCalc!S:S,MATCH(C167,FeeCalc!F:F,0)),0)</f>
        <v>503673.37734796619</v>
      </c>
      <c r="AP167" s="81">
        <f t="shared" si="55"/>
        <v>8671670.5961676948</v>
      </c>
      <c r="AQ167" s="68">
        <f t="shared" si="56"/>
        <v>3412753.3064629887</v>
      </c>
      <c r="AR167" s="68">
        <f>INDEX('IGT Commitment Suggestions'!H:H,MATCH(G167,'IGT Commitment Suggestions'!A:A,0))*AQ167</f>
        <v>1559071.8587442851</v>
      </c>
    </row>
    <row r="168" spans="1:44">
      <c r="A168" s="103" t="s">
        <v>644</v>
      </c>
      <c r="B168" s="123" t="s">
        <v>644</v>
      </c>
      <c r="C168" s="30" t="s">
        <v>645</v>
      </c>
      <c r="D168" s="124" t="s">
        <v>645</v>
      </c>
      <c r="E168" s="119" t="s">
        <v>2664</v>
      </c>
      <c r="F168" s="99" t="s">
        <v>2283</v>
      </c>
      <c r="G168" s="99" t="s">
        <v>1514</v>
      </c>
      <c r="H168" s="42" t="str">
        <f t="shared" si="42"/>
        <v>Urban Hidalgo</v>
      </c>
      <c r="I168" s="44">
        <f>INDEX(FeeCalc!M:M,MATCH(C:C,FeeCalc!F:F,0))</f>
        <v>11742258.426077858</v>
      </c>
      <c r="J168" s="44">
        <f>INDEX(FeeCalc!L:L,MATCH(C:C,FeeCalc!F:F,0))</f>
        <v>4719747.3817971479</v>
      </c>
      <c r="K168" s="44">
        <f t="shared" si="43"/>
        <v>16462005.807875006</v>
      </c>
      <c r="L168" s="44">
        <v>3488942.99</v>
      </c>
      <c r="M168" s="44">
        <v>2943472.46</v>
      </c>
      <c r="N168" s="44">
        <f t="shared" si="44"/>
        <v>6432415.4500000002</v>
      </c>
      <c r="O168" s="44">
        <v>20206481.630338818</v>
      </c>
      <c r="P168" s="44">
        <v>4566947.1643940778</v>
      </c>
      <c r="Q168" s="44">
        <f t="shared" si="45"/>
        <v>24773428.794732895</v>
      </c>
      <c r="R168" s="44" t="str">
        <f t="shared" si="46"/>
        <v>Yes</v>
      </c>
      <c r="S168" s="45" t="str">
        <f t="shared" si="46"/>
        <v>Yes</v>
      </c>
      <c r="T168" s="46">
        <f>ROUND(INDEX(Summary!H:H,MATCH(H:H,Summary!A:A,0)),2)</f>
        <v>0.72</v>
      </c>
      <c r="U168" s="46">
        <f>ROUND(INDEX(Summary!I:I,MATCH(H:H,Summary!A:A,0)),2)</f>
        <v>0.53</v>
      </c>
      <c r="V168" s="79">
        <f t="shared" si="47"/>
        <v>8454426.0667760577</v>
      </c>
      <c r="W168" s="79">
        <f t="shared" si="47"/>
        <v>2501466.1123524886</v>
      </c>
      <c r="X168" s="44">
        <f t="shared" si="48"/>
        <v>10955892.179128546</v>
      </c>
      <c r="Y168" s="44" t="s">
        <v>2765</v>
      </c>
      <c r="Z168" s="44" t="str">
        <f t="shared" si="49"/>
        <v>Yes</v>
      </c>
      <c r="AA168" s="44" t="str">
        <f t="shared" si="49"/>
        <v>Yes</v>
      </c>
      <c r="AB168" s="44" t="str">
        <f t="shared" si="50"/>
        <v>Yes</v>
      </c>
      <c r="AC168" s="80">
        <f t="shared" si="57"/>
        <v>0.7</v>
      </c>
      <c r="AD168" s="80">
        <f t="shared" si="58"/>
        <v>0.3</v>
      </c>
      <c r="AE168" s="44">
        <f t="shared" si="51"/>
        <v>8219580.8982544998</v>
      </c>
      <c r="AF168" s="44">
        <f t="shared" si="51"/>
        <v>1415924.2145391444</v>
      </c>
      <c r="AG168" s="44">
        <f t="shared" si="52"/>
        <v>9635505.1127936449</v>
      </c>
      <c r="AH168" s="46">
        <f>IF(Y168="No",0,IFERROR(ROUNDDOWN(INDEX('90% of ACR'!K:K,MATCH(H:H,'90% of ACR'!A:A,0))*IF(I168&gt;0,IF(O168&gt;0,$R$4*MAX(O168-V168,0),0),0)/I168,2),0))</f>
        <v>0.69</v>
      </c>
      <c r="AI168" s="80">
        <f>IF(Y168="No",0,IFERROR(ROUNDDOWN(INDEX('90% of ACR'!R:R,MATCH(H:H,'90% of ACR'!A:A,0))*IF(J168&gt;0,IF(P168&gt;0,$R$4*MAX(P168-W168,0),0),0)/J168,2),0))</f>
        <v>0.28999999999999998</v>
      </c>
      <c r="AJ168" s="44">
        <f t="shared" si="53"/>
        <v>8102158.3139937213</v>
      </c>
      <c r="AK168" s="44">
        <f t="shared" si="53"/>
        <v>1368726.7407211729</v>
      </c>
      <c r="AL168" s="46">
        <f t="shared" si="54"/>
        <v>1.41</v>
      </c>
      <c r="AM168" s="46">
        <f t="shared" si="54"/>
        <v>0.82000000000000006</v>
      </c>
      <c r="AN168" s="81">
        <f>IFERROR(INDEX(FeeCalc!P:P,MATCH(C168,FeeCalc!F:F,0)),0)</f>
        <v>20426777.233843438</v>
      </c>
      <c r="AO168" s="81">
        <f>IFERROR(INDEX(FeeCalc!S:S,MATCH(C168,FeeCalc!F:F,0)),0)</f>
        <v>1256193.7309984188</v>
      </c>
      <c r="AP168" s="81">
        <f t="shared" si="55"/>
        <v>21682970.964841858</v>
      </c>
      <c r="AQ168" s="68">
        <f t="shared" si="56"/>
        <v>8533376.589155443</v>
      </c>
      <c r="AR168" s="68">
        <f>INDEX('IGT Commitment Suggestions'!H:H,MATCH(G168,'IGT Commitment Suggestions'!A:A,0))*AQ168</f>
        <v>3907028.2259600735</v>
      </c>
    </row>
    <row r="169" spans="1:44">
      <c r="A169" s="103" t="s">
        <v>641</v>
      </c>
      <c r="B169" s="123" t="s">
        <v>641</v>
      </c>
      <c r="C169" s="30" t="s">
        <v>642</v>
      </c>
      <c r="D169" s="124" t="s">
        <v>642</v>
      </c>
      <c r="E169" s="119" t="s">
        <v>2692</v>
      </c>
      <c r="F169" s="99" t="s">
        <v>2283</v>
      </c>
      <c r="G169" s="99" t="s">
        <v>1514</v>
      </c>
      <c r="H169" s="42" t="str">
        <f t="shared" si="42"/>
        <v>Urban Hidalgo</v>
      </c>
      <c r="I169" s="44">
        <f>INDEX(FeeCalc!M:M,MATCH(C:C,FeeCalc!F:F,0))</f>
        <v>18454396.792077471</v>
      </c>
      <c r="J169" s="44">
        <f>INDEX(FeeCalc!L:L,MATCH(C:C,FeeCalc!F:F,0))</f>
        <v>9411574.6557444297</v>
      </c>
      <c r="K169" s="44">
        <f t="shared" si="43"/>
        <v>27865971.4478219</v>
      </c>
      <c r="L169" s="44">
        <v>9048965.6799999997</v>
      </c>
      <c r="M169" s="44">
        <v>3209832.97</v>
      </c>
      <c r="N169" s="44">
        <f t="shared" si="44"/>
        <v>12258798.65</v>
      </c>
      <c r="O169" s="44">
        <v>23809823.115953866</v>
      </c>
      <c r="P169" s="44">
        <v>5721895.7639857791</v>
      </c>
      <c r="Q169" s="44">
        <f t="shared" si="45"/>
        <v>29531718.879939646</v>
      </c>
      <c r="R169" s="44" t="str">
        <f t="shared" si="46"/>
        <v>Yes</v>
      </c>
      <c r="S169" s="45" t="str">
        <f t="shared" si="46"/>
        <v>Yes</v>
      </c>
      <c r="T169" s="46">
        <f>ROUND(INDEX(Summary!H:H,MATCH(H:H,Summary!A:A,0)),2)</f>
        <v>0.72</v>
      </c>
      <c r="U169" s="46">
        <f>ROUND(INDEX(Summary!I:I,MATCH(H:H,Summary!A:A,0)),2)</f>
        <v>0.53</v>
      </c>
      <c r="V169" s="79">
        <f t="shared" si="47"/>
        <v>13287165.690295778</v>
      </c>
      <c r="W169" s="79">
        <f t="shared" si="47"/>
        <v>4988134.5675445478</v>
      </c>
      <c r="X169" s="44">
        <f t="shared" si="48"/>
        <v>18275300.257840328</v>
      </c>
      <c r="Y169" s="44" t="s">
        <v>2765</v>
      </c>
      <c r="Z169" s="44" t="str">
        <f t="shared" si="49"/>
        <v>Yes</v>
      </c>
      <c r="AA169" s="44" t="str">
        <f t="shared" si="49"/>
        <v>Yes</v>
      </c>
      <c r="AB169" s="44" t="str">
        <f t="shared" si="50"/>
        <v>Yes</v>
      </c>
      <c r="AC169" s="80">
        <f t="shared" si="57"/>
        <v>0.4</v>
      </c>
      <c r="AD169" s="80">
        <f t="shared" si="58"/>
        <v>0.05</v>
      </c>
      <c r="AE169" s="44">
        <f t="shared" si="51"/>
        <v>7381758.7168309884</v>
      </c>
      <c r="AF169" s="44">
        <f t="shared" si="51"/>
        <v>470578.7327872215</v>
      </c>
      <c r="AG169" s="44">
        <f t="shared" si="52"/>
        <v>7852337.4496182101</v>
      </c>
      <c r="AH169" s="46">
        <f>IF(Y169="No",0,IFERROR(ROUNDDOWN(INDEX('90% of ACR'!K:K,MATCH(H:H,'90% of ACR'!A:A,0))*IF(I169&gt;0,IF(O169&gt;0,$R$4*MAX(O169-V169,0),0),0)/I169,2),0))</f>
        <v>0.39</v>
      </c>
      <c r="AI169" s="80">
        <f>IF(Y169="No",0,IFERROR(ROUNDDOWN(INDEX('90% of ACR'!R:R,MATCH(H:H,'90% of ACR'!A:A,0))*IF(J169&gt;0,IF(P169&gt;0,$R$4*MAX(P169-W169,0),0),0)/J169,2),0))</f>
        <v>0.05</v>
      </c>
      <c r="AJ169" s="44">
        <f t="shared" si="53"/>
        <v>7197214.7489102138</v>
      </c>
      <c r="AK169" s="44">
        <f t="shared" si="53"/>
        <v>470578.7327872215</v>
      </c>
      <c r="AL169" s="46">
        <f t="shared" si="54"/>
        <v>1.1099999999999999</v>
      </c>
      <c r="AM169" s="46">
        <f t="shared" si="54"/>
        <v>0.58000000000000007</v>
      </c>
      <c r="AN169" s="81">
        <f>IFERROR(INDEX(FeeCalc!P:P,MATCH(C169,FeeCalc!F:F,0)),0)</f>
        <v>25943093.739537761</v>
      </c>
      <c r="AO169" s="81">
        <f>IFERROR(INDEX(FeeCalc!S:S,MATCH(C169,FeeCalc!F:F,0)),0)</f>
        <v>1596209.1256667827</v>
      </c>
      <c r="AP169" s="81">
        <f t="shared" si="55"/>
        <v>27539302.865204543</v>
      </c>
      <c r="AQ169" s="68">
        <f t="shared" si="56"/>
        <v>10838147.721206978</v>
      </c>
      <c r="AR169" s="68">
        <f>INDEX('IGT Commitment Suggestions'!H:H,MATCH(G169,'IGT Commitment Suggestions'!A:A,0))*AQ169</f>
        <v>4962273.5644521033</v>
      </c>
    </row>
    <row r="170" spans="1:44">
      <c r="A170" s="103" t="s">
        <v>756</v>
      </c>
      <c r="B170" s="123" t="s">
        <v>756</v>
      </c>
      <c r="C170" s="30" t="s">
        <v>757</v>
      </c>
      <c r="D170" s="124" t="s">
        <v>757</v>
      </c>
      <c r="E170" s="119" t="s">
        <v>2864</v>
      </c>
      <c r="F170" s="99" t="s">
        <v>2283</v>
      </c>
      <c r="G170" s="99" t="s">
        <v>1486</v>
      </c>
      <c r="H170" s="42" t="str">
        <f t="shared" si="42"/>
        <v>Urban MRSA Central</v>
      </c>
      <c r="I170" s="44">
        <f>INDEX(FeeCalc!M:M,MATCH(C:C,FeeCalc!F:F,0))</f>
        <v>12996130.801258706</v>
      </c>
      <c r="J170" s="44">
        <f>INDEX(FeeCalc!L:L,MATCH(C:C,FeeCalc!F:F,0))</f>
        <v>5307928.0387835233</v>
      </c>
      <c r="K170" s="44">
        <f t="shared" si="43"/>
        <v>18304058.84004223</v>
      </c>
      <c r="L170" s="44">
        <v>8290132.4900000002</v>
      </c>
      <c r="M170" s="44">
        <v>6209876.0300000003</v>
      </c>
      <c r="N170" s="44">
        <f t="shared" si="44"/>
        <v>14500008.52</v>
      </c>
      <c r="O170" s="44">
        <v>20078293.357218098</v>
      </c>
      <c r="P170" s="44">
        <v>7471415.6923749968</v>
      </c>
      <c r="Q170" s="44">
        <f t="shared" si="45"/>
        <v>27549709.049593095</v>
      </c>
      <c r="R170" s="44" t="str">
        <f t="shared" si="46"/>
        <v>Yes</v>
      </c>
      <c r="S170" s="45" t="str">
        <f t="shared" si="46"/>
        <v>Yes</v>
      </c>
      <c r="T170" s="46">
        <f>ROUND(INDEX(Summary!H:H,MATCH(H:H,Summary!A:A,0)),2)</f>
        <v>0.48</v>
      </c>
      <c r="U170" s="46">
        <f>ROUND(INDEX(Summary!I:I,MATCH(H:H,Summary!A:A,0)),2)</f>
        <v>0.99</v>
      </c>
      <c r="V170" s="79">
        <f t="shared" si="47"/>
        <v>6238142.7846041787</v>
      </c>
      <c r="W170" s="79">
        <f t="shared" si="47"/>
        <v>5254848.7583956877</v>
      </c>
      <c r="X170" s="44">
        <f t="shared" si="48"/>
        <v>11492991.542999867</v>
      </c>
      <c r="Y170" s="44" t="s">
        <v>2765</v>
      </c>
      <c r="Z170" s="44" t="str">
        <f t="shared" si="49"/>
        <v>Yes</v>
      </c>
      <c r="AA170" s="44" t="str">
        <f t="shared" si="49"/>
        <v>No</v>
      </c>
      <c r="AB170" s="44" t="str">
        <f t="shared" si="50"/>
        <v>Yes</v>
      </c>
      <c r="AC170" s="80">
        <f t="shared" si="57"/>
        <v>0.74</v>
      </c>
      <c r="AD170" s="80">
        <f t="shared" si="58"/>
        <v>0.28999999999999998</v>
      </c>
      <c r="AE170" s="44">
        <f t="shared" si="51"/>
        <v>9617136.7929314412</v>
      </c>
      <c r="AF170" s="44">
        <f t="shared" si="51"/>
        <v>1539299.1312472217</v>
      </c>
      <c r="AG170" s="44">
        <f t="shared" si="52"/>
        <v>11156435.924178664</v>
      </c>
      <c r="AH170" s="46">
        <f>IF(Y170="No",0,IFERROR(ROUNDDOWN(INDEX('90% of ACR'!K:K,MATCH(H:H,'90% of ACR'!A:A,0))*IF(I170&gt;0,IF(O170&gt;0,$R$4*MAX(O170-V170,0),0),0)/I170,2),0))</f>
        <v>0.74</v>
      </c>
      <c r="AI170" s="80">
        <f>IF(Y170="No",0,IFERROR(ROUNDDOWN(INDEX('90% of ACR'!R:R,MATCH(H:H,'90% of ACR'!A:A,0))*IF(J170&gt;0,IF(P170&gt;0,$R$4*MAX(P170-W170,0),0),0)/J170,2),0))</f>
        <v>0</v>
      </c>
      <c r="AJ170" s="44">
        <f t="shared" si="53"/>
        <v>9617136.7929314412</v>
      </c>
      <c r="AK170" s="44">
        <f t="shared" si="53"/>
        <v>0</v>
      </c>
      <c r="AL170" s="46">
        <f t="shared" si="54"/>
        <v>1.22</v>
      </c>
      <c r="AM170" s="46">
        <f t="shared" si="54"/>
        <v>0.99</v>
      </c>
      <c r="AN170" s="81">
        <f>IFERROR(INDEX(FeeCalc!P:P,MATCH(C170,FeeCalc!F:F,0)),0)</f>
        <v>21110128.335931309</v>
      </c>
      <c r="AO170" s="81">
        <f>IFERROR(INDEX(FeeCalc!S:S,MATCH(C170,FeeCalc!F:F,0)),0)</f>
        <v>1305832.6795508494</v>
      </c>
      <c r="AP170" s="81">
        <f t="shared" si="55"/>
        <v>22415961.015482157</v>
      </c>
      <c r="AQ170" s="68">
        <f t="shared" si="56"/>
        <v>8821846.2895650342</v>
      </c>
      <c r="AR170" s="68">
        <f>INDEX('IGT Commitment Suggestions'!H:H,MATCH(G170,'IGT Commitment Suggestions'!A:A,0))*AQ170</f>
        <v>4030145.4740903038</v>
      </c>
    </row>
    <row r="171" spans="1:44">
      <c r="A171" s="103" t="s">
        <v>783</v>
      </c>
      <c r="B171" s="123" t="s">
        <v>783</v>
      </c>
      <c r="C171" s="30" t="s">
        <v>784</v>
      </c>
      <c r="D171" s="124" t="s">
        <v>784</v>
      </c>
      <c r="E171" s="119" t="s">
        <v>2569</v>
      </c>
      <c r="F171" s="99" t="s">
        <v>2283</v>
      </c>
      <c r="G171" s="99" t="s">
        <v>223</v>
      </c>
      <c r="H171" s="42" t="str">
        <f t="shared" si="42"/>
        <v>Urban Dallas</v>
      </c>
      <c r="I171" s="44">
        <f>INDEX(FeeCalc!M:M,MATCH(C:C,FeeCalc!F:F,0))</f>
        <v>5460996.6007095464</v>
      </c>
      <c r="J171" s="44">
        <f>INDEX(FeeCalc!L:L,MATCH(C:C,FeeCalc!F:F,0))</f>
        <v>2303546.7280044798</v>
      </c>
      <c r="K171" s="44">
        <f t="shared" si="43"/>
        <v>7764543.3287140261</v>
      </c>
      <c r="L171" s="44">
        <v>3047306.94</v>
      </c>
      <c r="M171" s="44">
        <v>2135230.85</v>
      </c>
      <c r="N171" s="44">
        <f t="shared" si="44"/>
        <v>5182537.79</v>
      </c>
      <c r="O171" s="44">
        <v>11036312.777263459</v>
      </c>
      <c r="P171" s="44">
        <v>5226833.1797575084</v>
      </c>
      <c r="Q171" s="44">
        <f t="shared" si="45"/>
        <v>16263145.957020968</v>
      </c>
      <c r="R171" s="44" t="str">
        <f t="shared" si="46"/>
        <v>Yes</v>
      </c>
      <c r="S171" s="45" t="str">
        <f t="shared" si="46"/>
        <v>Yes</v>
      </c>
      <c r="T171" s="46">
        <f>ROUND(INDEX(Summary!H:H,MATCH(H:H,Summary!A:A,0)),2)</f>
        <v>0.6</v>
      </c>
      <c r="U171" s="46">
        <f>ROUND(INDEX(Summary!I:I,MATCH(H:H,Summary!A:A,0)),2)</f>
        <v>0.3</v>
      </c>
      <c r="V171" s="79">
        <f t="shared" si="47"/>
        <v>3276597.9604257275</v>
      </c>
      <c r="W171" s="79">
        <f t="shared" si="47"/>
        <v>691064.01840134396</v>
      </c>
      <c r="X171" s="44">
        <f t="shared" si="48"/>
        <v>3967661.9788270714</v>
      </c>
      <c r="Y171" s="44" t="s">
        <v>2765</v>
      </c>
      <c r="Z171" s="44" t="str">
        <f t="shared" si="49"/>
        <v>Yes</v>
      </c>
      <c r="AA171" s="44" t="str">
        <f t="shared" si="49"/>
        <v>Yes</v>
      </c>
      <c r="AB171" s="44" t="str">
        <f t="shared" si="50"/>
        <v>Yes</v>
      </c>
      <c r="AC171" s="80">
        <f t="shared" si="57"/>
        <v>0.99</v>
      </c>
      <c r="AD171" s="80">
        <f t="shared" si="58"/>
        <v>1.37</v>
      </c>
      <c r="AE171" s="44">
        <f t="shared" si="51"/>
        <v>5406386.6347024506</v>
      </c>
      <c r="AF171" s="44">
        <f t="shared" si="51"/>
        <v>3155859.0173661374</v>
      </c>
      <c r="AG171" s="44">
        <f t="shared" si="52"/>
        <v>8562245.6520685889</v>
      </c>
      <c r="AH171" s="46">
        <f>IF(Y171="No",0,IFERROR(ROUNDDOWN(INDEX('90% of ACR'!K:K,MATCH(H:H,'90% of ACR'!A:A,0))*IF(I171&gt;0,IF(O171&gt;0,$R$4*MAX(O171-V171,0),0),0)/I171,2),0))</f>
        <v>0.98</v>
      </c>
      <c r="AI171" s="80">
        <f>IF(Y171="No",0,IFERROR(ROUNDDOWN(INDEX('90% of ACR'!R:R,MATCH(H:H,'90% of ACR'!A:A,0))*IF(J171&gt;0,IF(P171&gt;0,$R$4*MAX(P171-W171,0),0),0)/J171,2),0))</f>
        <v>1.37</v>
      </c>
      <c r="AJ171" s="44">
        <f t="shared" si="53"/>
        <v>5351776.6686953558</v>
      </c>
      <c r="AK171" s="44">
        <f t="shared" si="53"/>
        <v>3155859.0173661374</v>
      </c>
      <c r="AL171" s="46">
        <f t="shared" si="54"/>
        <v>1.58</v>
      </c>
      <c r="AM171" s="46">
        <f t="shared" si="54"/>
        <v>1.6700000000000002</v>
      </c>
      <c r="AN171" s="81">
        <f>IFERROR(INDEX(FeeCalc!P:P,MATCH(C171,FeeCalc!F:F,0)),0)</f>
        <v>12475297.664888564</v>
      </c>
      <c r="AO171" s="81">
        <f>IFERROR(INDEX(FeeCalc!S:S,MATCH(C171,FeeCalc!F:F,0)),0)</f>
        <v>767837.14477070654</v>
      </c>
      <c r="AP171" s="81">
        <f t="shared" si="55"/>
        <v>13243134.809659271</v>
      </c>
      <c r="AQ171" s="68">
        <f t="shared" si="56"/>
        <v>5211862.1906110253</v>
      </c>
      <c r="AR171" s="68">
        <f>INDEX('IGT Commitment Suggestions'!H:H,MATCH(G171,'IGT Commitment Suggestions'!A:A,0))*AQ171</f>
        <v>2383560.3892354011</v>
      </c>
    </row>
    <row r="172" spans="1:44">
      <c r="A172" s="103" t="s">
        <v>506</v>
      </c>
      <c r="B172" s="123" t="s">
        <v>506</v>
      </c>
      <c r="C172" s="30" t="s">
        <v>507</v>
      </c>
      <c r="D172" s="124" t="s">
        <v>507</v>
      </c>
      <c r="E172" s="119" t="s">
        <v>2352</v>
      </c>
      <c r="F172" s="99" t="s">
        <v>2283</v>
      </c>
      <c r="G172" s="99" t="s">
        <v>1548</v>
      </c>
      <c r="H172" s="42" t="str">
        <f t="shared" si="42"/>
        <v>Urban Nueces</v>
      </c>
      <c r="I172" s="44">
        <f>INDEX(FeeCalc!M:M,MATCH(C:C,FeeCalc!F:F,0))</f>
        <v>28926922.713068817</v>
      </c>
      <c r="J172" s="44">
        <f>INDEX(FeeCalc!L:L,MATCH(C:C,FeeCalc!F:F,0))</f>
        <v>5601377.5684258984</v>
      </c>
      <c r="K172" s="44">
        <f t="shared" si="43"/>
        <v>34528300.281494714</v>
      </c>
      <c r="L172" s="44">
        <v>15045690.25</v>
      </c>
      <c r="M172" s="44">
        <v>4299718.62</v>
      </c>
      <c r="N172" s="44">
        <f t="shared" si="44"/>
        <v>19345408.870000001</v>
      </c>
      <c r="O172" s="44">
        <v>39242941.196416423</v>
      </c>
      <c r="P172" s="44">
        <v>6646217.430440574</v>
      </c>
      <c r="Q172" s="44">
        <f t="shared" si="45"/>
        <v>45889158.626856998</v>
      </c>
      <c r="R172" s="44" t="str">
        <f t="shared" si="46"/>
        <v>Yes</v>
      </c>
      <c r="S172" s="45" t="str">
        <f t="shared" si="46"/>
        <v>Yes</v>
      </c>
      <c r="T172" s="46">
        <f>ROUND(INDEX(Summary!H:H,MATCH(H:H,Summary!A:A,0)),2)</f>
        <v>0.33</v>
      </c>
      <c r="U172" s="46">
        <f>ROUND(INDEX(Summary!I:I,MATCH(H:H,Summary!A:A,0)),2)</f>
        <v>0.74</v>
      </c>
      <c r="V172" s="79">
        <f t="shared" si="47"/>
        <v>9545884.4953127094</v>
      </c>
      <c r="W172" s="79">
        <f t="shared" si="47"/>
        <v>4145019.4006351647</v>
      </c>
      <c r="X172" s="44">
        <f t="shared" si="48"/>
        <v>13690903.895947874</v>
      </c>
      <c r="Y172" s="44" t="s">
        <v>2765</v>
      </c>
      <c r="Z172" s="44" t="str">
        <f t="shared" si="49"/>
        <v>Yes</v>
      </c>
      <c r="AA172" s="44" t="str">
        <f t="shared" si="49"/>
        <v>Yes</v>
      </c>
      <c r="AB172" s="44" t="str">
        <f t="shared" si="50"/>
        <v>Yes</v>
      </c>
      <c r="AC172" s="80">
        <f t="shared" si="57"/>
        <v>0.72</v>
      </c>
      <c r="AD172" s="80">
        <f t="shared" si="58"/>
        <v>0.31</v>
      </c>
      <c r="AE172" s="44">
        <f t="shared" si="51"/>
        <v>20827384.353409547</v>
      </c>
      <c r="AF172" s="44">
        <f t="shared" si="51"/>
        <v>1736427.0462120285</v>
      </c>
      <c r="AG172" s="44">
        <f t="shared" si="52"/>
        <v>22563811.399621576</v>
      </c>
      <c r="AH172" s="46">
        <f>IF(Y172="No",0,IFERROR(ROUNDDOWN(INDEX('90% of ACR'!K:K,MATCH(H:H,'90% of ACR'!A:A,0))*IF(I172&gt;0,IF(O172&gt;0,$R$4*MAX(O172-V172,0),0),0)/I172,2),0))</f>
        <v>0.71</v>
      </c>
      <c r="AI172" s="80">
        <f>IF(Y172="No",0,IFERROR(ROUNDDOWN(INDEX('90% of ACR'!R:R,MATCH(H:H,'90% of ACR'!A:A,0))*IF(J172&gt;0,IF(P172&gt;0,$R$4*MAX(P172-W172,0),0),0)/J172,2),0))</f>
        <v>0.27</v>
      </c>
      <c r="AJ172" s="44">
        <f t="shared" si="53"/>
        <v>20538115.126278859</v>
      </c>
      <c r="AK172" s="44">
        <f t="shared" si="53"/>
        <v>1512371.9434749926</v>
      </c>
      <c r="AL172" s="46">
        <f t="shared" si="54"/>
        <v>1.04</v>
      </c>
      <c r="AM172" s="46">
        <f t="shared" si="54"/>
        <v>1.01</v>
      </c>
      <c r="AN172" s="81">
        <f>IFERROR(INDEX(FeeCalc!P:P,MATCH(C172,FeeCalc!F:F,0)),0)</f>
        <v>35741390.965701729</v>
      </c>
      <c r="AO172" s="81">
        <f>IFERROR(INDEX(FeeCalc!S:S,MATCH(C172,FeeCalc!F:F,0)),0)</f>
        <v>2204743.1123527829</v>
      </c>
      <c r="AP172" s="81">
        <f t="shared" si="55"/>
        <v>37946134.07805451</v>
      </c>
      <c r="AQ172" s="68">
        <f t="shared" si="56"/>
        <v>14933776.95868651</v>
      </c>
      <c r="AR172" s="68">
        <f>INDEX('IGT Commitment Suggestions'!H:H,MATCH(G172,'IGT Commitment Suggestions'!A:A,0))*AQ172</f>
        <v>6830757.4229492461</v>
      </c>
    </row>
    <row r="173" spans="1:44">
      <c r="A173" s="103" t="s">
        <v>374</v>
      </c>
      <c r="B173" s="123" t="s">
        <v>374</v>
      </c>
      <c r="C173" s="30" t="s">
        <v>375</v>
      </c>
      <c r="D173" s="124" t="s">
        <v>375</v>
      </c>
      <c r="E173" s="119" t="s">
        <v>2865</v>
      </c>
      <c r="F173" s="99" t="s">
        <v>2295</v>
      </c>
      <c r="G173" s="99" t="s">
        <v>1202</v>
      </c>
      <c r="H173" s="42" t="str">
        <f t="shared" si="42"/>
        <v>Rural Travis</v>
      </c>
      <c r="I173" s="44">
        <f>INDEX(FeeCalc!M:M,MATCH(C:C,FeeCalc!F:F,0))</f>
        <v>2367590.387544306</v>
      </c>
      <c r="J173" s="44">
        <f>INDEX(FeeCalc!L:L,MATCH(C:C,FeeCalc!F:F,0))</f>
        <v>2860716.7675678586</v>
      </c>
      <c r="K173" s="44">
        <f t="shared" si="43"/>
        <v>5228307.1551121641</v>
      </c>
      <c r="L173" s="44">
        <v>-99760.12</v>
      </c>
      <c r="M173" s="44">
        <v>744371.11</v>
      </c>
      <c r="N173" s="44">
        <f t="shared" si="44"/>
        <v>644610.99</v>
      </c>
      <c r="O173" s="44">
        <v>936979.6286955555</v>
      </c>
      <c r="P173" s="44">
        <v>1015436.5454982319</v>
      </c>
      <c r="Q173" s="44">
        <f t="shared" si="45"/>
        <v>1952416.1741937874</v>
      </c>
      <c r="R173" s="44" t="str">
        <f t="shared" si="46"/>
        <v>Yes</v>
      </c>
      <c r="S173" s="45" t="str">
        <f t="shared" si="46"/>
        <v>Yes</v>
      </c>
      <c r="T173" s="46">
        <f>ROUND(INDEX(Summary!H:H,MATCH(H:H,Summary!A:A,0)),2)</f>
        <v>0.05</v>
      </c>
      <c r="U173" s="46">
        <f>ROUND(INDEX(Summary!I:I,MATCH(H:H,Summary!A:A,0)),2)</f>
        <v>0.22</v>
      </c>
      <c r="V173" s="79">
        <f t="shared" si="47"/>
        <v>118379.5193772153</v>
      </c>
      <c r="W173" s="79">
        <f t="shared" si="47"/>
        <v>629357.6888649289</v>
      </c>
      <c r="X173" s="44">
        <f t="shared" si="48"/>
        <v>747737.2082421442</v>
      </c>
      <c r="Y173" s="44" t="s">
        <v>2765</v>
      </c>
      <c r="Z173" s="44" t="str">
        <f t="shared" si="49"/>
        <v>Yes</v>
      </c>
      <c r="AA173" s="44" t="str">
        <f t="shared" si="49"/>
        <v>Yes</v>
      </c>
      <c r="AB173" s="44" t="str">
        <f t="shared" si="50"/>
        <v>Yes</v>
      </c>
      <c r="AC173" s="80">
        <f t="shared" si="57"/>
        <v>0.24</v>
      </c>
      <c r="AD173" s="80">
        <f t="shared" si="58"/>
        <v>0.09</v>
      </c>
      <c r="AE173" s="44">
        <f t="shared" si="51"/>
        <v>568221.69301063346</v>
      </c>
      <c r="AF173" s="44">
        <f t="shared" si="51"/>
        <v>257464.50908110727</v>
      </c>
      <c r="AG173" s="44">
        <f t="shared" si="52"/>
        <v>825686.20209174068</v>
      </c>
      <c r="AH173" s="46">
        <f>IF(Y173="No",0,IFERROR(ROUNDDOWN(INDEX('90% of ACR'!K:K,MATCH(H:H,'90% of ACR'!A:A,0))*IF(I173&gt;0,IF(O173&gt;0,$R$4*MAX(O173-V173,0),0),0)/I173,2),0))</f>
        <v>0.24</v>
      </c>
      <c r="AI173" s="80">
        <f>IF(Y173="No",0,IFERROR(ROUNDDOWN(INDEX('90% of ACR'!R:R,MATCH(H:H,'90% of ACR'!A:A,0))*IF(J173&gt;0,IF(P173&gt;0,$R$4*MAX(P173-W173,0),0),0)/J173,2),0))</f>
        <v>7.0000000000000007E-2</v>
      </c>
      <c r="AJ173" s="44">
        <f t="shared" si="53"/>
        <v>568221.69301063346</v>
      </c>
      <c r="AK173" s="44">
        <f t="shared" si="53"/>
        <v>200250.17372975012</v>
      </c>
      <c r="AL173" s="46">
        <f t="shared" si="54"/>
        <v>0.28999999999999998</v>
      </c>
      <c r="AM173" s="46">
        <f t="shared" si="54"/>
        <v>0.29000000000000004</v>
      </c>
      <c r="AN173" s="81">
        <f>IFERROR(INDEX(FeeCalc!P:P,MATCH(C173,FeeCalc!F:F,0)),0)</f>
        <v>1516209.0749825276</v>
      </c>
      <c r="AO173" s="81">
        <f>IFERROR(INDEX(FeeCalc!S:S,MATCH(C173,FeeCalc!F:F,0)),0)</f>
        <v>93736.198060484967</v>
      </c>
      <c r="AP173" s="81">
        <f t="shared" si="55"/>
        <v>1609945.2730430127</v>
      </c>
      <c r="AQ173" s="68">
        <f t="shared" si="56"/>
        <v>633597.1820966237</v>
      </c>
      <c r="AR173" s="68">
        <f>INDEX('IGT Commitment Suggestions'!H:H,MATCH(G173,'IGT Commitment Suggestions'!A:A,0))*AQ173</f>
        <v>291121.50255320116</v>
      </c>
    </row>
    <row r="174" spans="1:44">
      <c r="A174" s="103" t="s">
        <v>560</v>
      </c>
      <c r="B174" s="123" t="s">
        <v>560</v>
      </c>
      <c r="C174" s="30" t="s">
        <v>561</v>
      </c>
      <c r="D174" s="124" t="s">
        <v>561</v>
      </c>
      <c r="E174" s="119" t="s">
        <v>2639</v>
      </c>
      <c r="F174" s="99" t="s">
        <v>2283</v>
      </c>
      <c r="G174" s="99" t="s">
        <v>300</v>
      </c>
      <c r="H174" s="42" t="str">
        <f t="shared" si="42"/>
        <v>Urban Harris</v>
      </c>
      <c r="I174" s="44">
        <f>INDEX(FeeCalc!M:M,MATCH(C:C,FeeCalc!F:F,0))</f>
        <v>26119784.751455445</v>
      </c>
      <c r="J174" s="44">
        <f>INDEX(FeeCalc!L:L,MATCH(C:C,FeeCalc!F:F,0))</f>
        <v>12194790.618460547</v>
      </c>
      <c r="K174" s="44">
        <f t="shared" si="43"/>
        <v>38314575.369915992</v>
      </c>
      <c r="L174" s="44">
        <v>13502926.01</v>
      </c>
      <c r="M174" s="44">
        <v>1399033.85</v>
      </c>
      <c r="N174" s="44">
        <f t="shared" si="44"/>
        <v>14901959.859999999</v>
      </c>
      <c r="O174" s="44">
        <v>43616950.240614355</v>
      </c>
      <c r="P174" s="44">
        <v>2850905.733055708</v>
      </c>
      <c r="Q174" s="44">
        <f t="shared" si="45"/>
        <v>46467855.973670065</v>
      </c>
      <c r="R174" s="44" t="str">
        <f t="shared" si="46"/>
        <v>Yes</v>
      </c>
      <c r="S174" s="45" t="str">
        <f t="shared" si="46"/>
        <v>Yes</v>
      </c>
      <c r="T174" s="46">
        <f>ROUND(INDEX(Summary!H:H,MATCH(H:H,Summary!A:A,0)),2)</f>
        <v>1.74</v>
      </c>
      <c r="U174" s="46">
        <f>ROUND(INDEX(Summary!I:I,MATCH(H:H,Summary!A:A,0)),2)</f>
        <v>0.33</v>
      </c>
      <c r="V174" s="79">
        <f t="shared" si="47"/>
        <v>45448425.467532471</v>
      </c>
      <c r="W174" s="79">
        <f t="shared" si="47"/>
        <v>4024280.9040919808</v>
      </c>
      <c r="X174" s="44">
        <f t="shared" si="48"/>
        <v>49472706.371624455</v>
      </c>
      <c r="Y174" s="44" t="s">
        <v>2765</v>
      </c>
      <c r="Z174" s="44" t="str">
        <f t="shared" si="49"/>
        <v>No</v>
      </c>
      <c r="AA174" s="44" t="str">
        <f t="shared" si="49"/>
        <v>No</v>
      </c>
      <c r="AB174" s="44" t="str">
        <f t="shared" si="50"/>
        <v>No</v>
      </c>
      <c r="AC174" s="80">
        <f t="shared" si="57"/>
        <v>0</v>
      </c>
      <c r="AD174" s="80">
        <f t="shared" si="58"/>
        <v>0</v>
      </c>
      <c r="AE174" s="44">
        <f t="shared" si="51"/>
        <v>0</v>
      </c>
      <c r="AF174" s="44">
        <f t="shared" si="51"/>
        <v>0</v>
      </c>
      <c r="AG174" s="44">
        <f t="shared" si="52"/>
        <v>0</v>
      </c>
      <c r="AH174" s="46">
        <f>IF(Y174="No",0,IFERROR(ROUNDDOWN(INDEX('90% of ACR'!K:K,MATCH(H:H,'90% of ACR'!A:A,0))*IF(I174&gt;0,IF(O174&gt;0,$R$4*MAX(O174-V174,0),0),0)/I174,2),0))</f>
        <v>0</v>
      </c>
      <c r="AI174" s="80">
        <f>IF(Y174="No",0,IFERROR(ROUNDDOWN(INDEX('90% of ACR'!R:R,MATCH(H:H,'90% of ACR'!A:A,0))*IF(J174&gt;0,IF(P174&gt;0,$R$4*MAX(P174-W174,0),0),0)/J174,2),0))</f>
        <v>0</v>
      </c>
      <c r="AJ174" s="44">
        <f t="shared" si="53"/>
        <v>0</v>
      </c>
      <c r="AK174" s="44">
        <f t="shared" si="53"/>
        <v>0</v>
      </c>
      <c r="AL174" s="46">
        <f t="shared" si="54"/>
        <v>1.74</v>
      </c>
      <c r="AM174" s="46">
        <f t="shared" si="54"/>
        <v>0.33</v>
      </c>
      <c r="AN174" s="81">
        <f>IFERROR(INDEX(FeeCalc!P:P,MATCH(C174,FeeCalc!F:F,0)),0)</f>
        <v>49472706.371624455</v>
      </c>
      <c r="AO174" s="81">
        <f>IFERROR(INDEX(FeeCalc!S:S,MATCH(C174,FeeCalc!F:F,0)),0)</f>
        <v>3046033.6935465615</v>
      </c>
      <c r="AP174" s="81">
        <f t="shared" si="55"/>
        <v>52518740.065171018</v>
      </c>
      <c r="AQ174" s="68">
        <f t="shared" si="56"/>
        <v>20668855.190128185</v>
      </c>
      <c r="AR174" s="68">
        <f>INDEX('IGT Commitment Suggestions'!H:H,MATCH(G174,'IGT Commitment Suggestions'!A:A,0))*AQ174</f>
        <v>9482743.2012823839</v>
      </c>
    </row>
    <row r="175" spans="1:44">
      <c r="A175" s="103" t="s">
        <v>1471</v>
      </c>
      <c r="B175" s="123" t="s">
        <v>1471</v>
      </c>
      <c r="C175" s="30" t="s">
        <v>1472</v>
      </c>
      <c r="D175" s="124" t="s">
        <v>1472</v>
      </c>
      <c r="E175" s="119" t="s">
        <v>2866</v>
      </c>
      <c r="F175" s="99" t="s">
        <v>2283</v>
      </c>
      <c r="G175" s="99" t="s">
        <v>1202</v>
      </c>
      <c r="H175" s="42" t="str">
        <f t="shared" si="42"/>
        <v>Urban Travis</v>
      </c>
      <c r="I175" s="44">
        <f>INDEX(FeeCalc!M:M,MATCH(C:C,FeeCalc!F:F,0))</f>
        <v>86248.175642552538</v>
      </c>
      <c r="J175" s="44">
        <f>INDEX(FeeCalc!L:L,MATCH(C:C,FeeCalc!F:F,0))</f>
        <v>283381.10400609631</v>
      </c>
      <c r="K175" s="44">
        <f t="shared" si="43"/>
        <v>369629.27964864887</v>
      </c>
      <c r="L175" s="44">
        <v>38623.29</v>
      </c>
      <c r="M175" s="44">
        <v>-1832.18</v>
      </c>
      <c r="N175" s="44">
        <f t="shared" si="44"/>
        <v>36791.11</v>
      </c>
      <c r="O175" s="44">
        <v>144808.93078939407</v>
      </c>
      <c r="P175" s="44">
        <v>87698.823058470036</v>
      </c>
      <c r="Q175" s="44">
        <f t="shared" si="45"/>
        <v>232507.75384786411</v>
      </c>
      <c r="R175" s="44" t="str">
        <f t="shared" si="46"/>
        <v>Yes</v>
      </c>
      <c r="S175" s="45" t="str">
        <f t="shared" si="46"/>
        <v>Yes</v>
      </c>
      <c r="T175" s="46">
        <f>ROUND(INDEX(Summary!H:H,MATCH(H:H,Summary!A:A,0)),2)</f>
        <v>0.4</v>
      </c>
      <c r="U175" s="46">
        <f>ROUND(INDEX(Summary!I:I,MATCH(H:H,Summary!A:A,0)),2)</f>
        <v>1.03</v>
      </c>
      <c r="V175" s="79">
        <f t="shared" si="47"/>
        <v>34499.270257021017</v>
      </c>
      <c r="W175" s="79">
        <f t="shared" si="47"/>
        <v>291882.5371262792</v>
      </c>
      <c r="X175" s="44">
        <f t="shared" si="48"/>
        <v>326381.80738330021</v>
      </c>
      <c r="Y175" s="44" t="s">
        <v>2765</v>
      </c>
      <c r="Z175" s="44" t="str">
        <f t="shared" si="49"/>
        <v>Yes</v>
      </c>
      <c r="AA175" s="44" t="str">
        <f t="shared" si="49"/>
        <v>No</v>
      </c>
      <c r="AB175" s="44" t="str">
        <f t="shared" si="50"/>
        <v>Yes</v>
      </c>
      <c r="AC175" s="80">
        <f t="shared" si="57"/>
        <v>0.89</v>
      </c>
      <c r="AD175" s="80">
        <f t="shared" si="58"/>
        <v>0</v>
      </c>
      <c r="AE175" s="44">
        <f t="shared" si="51"/>
        <v>76760.876321871765</v>
      </c>
      <c r="AF175" s="44">
        <f t="shared" si="51"/>
        <v>0</v>
      </c>
      <c r="AG175" s="44">
        <f t="shared" si="52"/>
        <v>76760.876321871765</v>
      </c>
      <c r="AH175" s="46">
        <f>IF(Y175="No",0,IFERROR(ROUNDDOWN(INDEX('90% of ACR'!K:K,MATCH(H:H,'90% of ACR'!A:A,0))*IF(I175&gt;0,IF(O175&gt;0,$R$4*MAX(O175-V175,0),0),0)/I175,2),0))</f>
        <v>0.89</v>
      </c>
      <c r="AI175" s="80">
        <f>IF(Y175="No",0,IFERROR(ROUNDDOWN(INDEX('90% of ACR'!R:R,MATCH(H:H,'90% of ACR'!A:A,0))*IF(J175&gt;0,IF(P175&gt;0,$R$4*MAX(P175-W175,0),0),0)/J175,2),0))</f>
        <v>0</v>
      </c>
      <c r="AJ175" s="44">
        <f t="shared" si="53"/>
        <v>76760.876321871765</v>
      </c>
      <c r="AK175" s="44">
        <f t="shared" si="53"/>
        <v>0</v>
      </c>
      <c r="AL175" s="46">
        <f t="shared" si="54"/>
        <v>1.29</v>
      </c>
      <c r="AM175" s="46">
        <f t="shared" si="54"/>
        <v>1.03</v>
      </c>
      <c r="AN175" s="81">
        <f>IFERROR(INDEX(FeeCalc!P:P,MATCH(C175,FeeCalc!F:F,0)),0)</f>
        <v>403142.68370517198</v>
      </c>
      <c r="AO175" s="81">
        <f>IFERROR(INDEX(FeeCalc!S:S,MATCH(C175,FeeCalc!F:F,0)),0)</f>
        <v>25050.211879822236</v>
      </c>
      <c r="AP175" s="81">
        <f t="shared" si="55"/>
        <v>428192.89558499423</v>
      </c>
      <c r="AQ175" s="68">
        <f t="shared" si="56"/>
        <v>168516.17044326567</v>
      </c>
      <c r="AR175" s="68">
        <f>INDEX('IGT Commitment Suggestions'!H:H,MATCH(G175,'IGT Commitment Suggestions'!A:A,0))*AQ175</f>
        <v>77428.817757073601</v>
      </c>
    </row>
    <row r="176" spans="1:44">
      <c r="A176" s="103" t="s">
        <v>186</v>
      </c>
      <c r="B176" s="123" t="s">
        <v>186</v>
      </c>
      <c r="C176" s="30" t="s">
        <v>187</v>
      </c>
      <c r="D176" s="124" t="s">
        <v>187</v>
      </c>
      <c r="E176" s="119" t="s">
        <v>2642</v>
      </c>
      <c r="F176" s="99" t="s">
        <v>2283</v>
      </c>
      <c r="G176" s="99" t="s">
        <v>300</v>
      </c>
      <c r="H176" s="42" t="str">
        <f t="shared" si="42"/>
        <v>Urban Harris</v>
      </c>
      <c r="I176" s="44">
        <f>INDEX(FeeCalc!M:M,MATCH(C:C,FeeCalc!F:F,0))</f>
        <v>3715054.7585926708</v>
      </c>
      <c r="J176" s="44">
        <f>INDEX(FeeCalc!L:L,MATCH(C:C,FeeCalc!F:F,0))</f>
        <v>1060863.9997087526</v>
      </c>
      <c r="K176" s="44">
        <f t="shared" si="43"/>
        <v>4775918.7583014239</v>
      </c>
      <c r="L176" s="44">
        <v>4527809.21</v>
      </c>
      <c r="M176" s="44">
        <v>1341565.06</v>
      </c>
      <c r="N176" s="44">
        <f t="shared" si="44"/>
        <v>5869374.2699999996</v>
      </c>
      <c r="O176" s="44">
        <v>9906193.8106230833</v>
      </c>
      <c r="P176" s="44">
        <v>1428388.509570692</v>
      </c>
      <c r="Q176" s="44">
        <f t="shared" si="45"/>
        <v>11334582.320193775</v>
      </c>
      <c r="R176" s="44" t="str">
        <f t="shared" si="46"/>
        <v>Yes</v>
      </c>
      <c r="S176" s="45" t="str">
        <f t="shared" si="46"/>
        <v>Yes</v>
      </c>
      <c r="T176" s="46">
        <f>ROUND(INDEX(Summary!H:H,MATCH(H:H,Summary!A:A,0)),2)</f>
        <v>1.74</v>
      </c>
      <c r="U176" s="46">
        <f>ROUND(INDEX(Summary!I:I,MATCH(H:H,Summary!A:A,0)),2)</f>
        <v>0.33</v>
      </c>
      <c r="V176" s="79">
        <f t="shared" si="47"/>
        <v>6464195.2799512474</v>
      </c>
      <c r="W176" s="79">
        <f t="shared" si="47"/>
        <v>350085.11990388838</v>
      </c>
      <c r="X176" s="44">
        <f t="shared" si="48"/>
        <v>6814280.3998551359</v>
      </c>
      <c r="Y176" s="44" t="s">
        <v>2765</v>
      </c>
      <c r="Z176" s="44" t="str">
        <f t="shared" si="49"/>
        <v>No</v>
      </c>
      <c r="AA176" s="44" t="str">
        <f t="shared" si="49"/>
        <v>Yes</v>
      </c>
      <c r="AB176" s="44" t="str">
        <f t="shared" si="50"/>
        <v>Yes</v>
      </c>
      <c r="AC176" s="80">
        <f t="shared" si="57"/>
        <v>0.65</v>
      </c>
      <c r="AD176" s="80">
        <f t="shared" si="58"/>
        <v>0.71</v>
      </c>
      <c r="AE176" s="44">
        <f t="shared" si="51"/>
        <v>2414785.5930852359</v>
      </c>
      <c r="AF176" s="44">
        <f t="shared" si="51"/>
        <v>753213.43979321432</v>
      </c>
      <c r="AG176" s="44">
        <f t="shared" si="52"/>
        <v>3167999.0328784501</v>
      </c>
      <c r="AH176" s="46">
        <f>IF(Y176="No",0,IFERROR(ROUNDDOWN(INDEX('90% of ACR'!K:K,MATCH(H:H,'90% of ACR'!A:A,0))*IF(I176&gt;0,IF(O176&gt;0,$R$4*MAX(O176-V176,0),0),0)/I176,2),0))</f>
        <v>0</v>
      </c>
      <c r="AI176" s="80">
        <f>IF(Y176="No",0,IFERROR(ROUNDDOWN(INDEX('90% of ACR'!R:R,MATCH(H:H,'90% of ACR'!A:A,0))*IF(J176&gt;0,IF(P176&gt;0,$R$4*MAX(P176-W176,0),0),0)/J176,2),0))</f>
        <v>0.65</v>
      </c>
      <c r="AJ176" s="44">
        <f t="shared" si="53"/>
        <v>0</v>
      </c>
      <c r="AK176" s="44">
        <f t="shared" si="53"/>
        <v>689561.59981068922</v>
      </c>
      <c r="AL176" s="46">
        <f t="shared" si="54"/>
        <v>1.74</v>
      </c>
      <c r="AM176" s="46">
        <f t="shared" si="54"/>
        <v>0.98</v>
      </c>
      <c r="AN176" s="81">
        <f>IFERROR(INDEX(FeeCalc!P:P,MATCH(C176,FeeCalc!F:F,0)),0)</f>
        <v>7503841.9996658247</v>
      </c>
      <c r="AO176" s="81">
        <f>IFERROR(INDEX(FeeCalc!S:S,MATCH(C176,FeeCalc!F:F,0)),0)</f>
        <v>474221.36325233721</v>
      </c>
      <c r="AP176" s="81">
        <f t="shared" si="55"/>
        <v>7978063.3629181618</v>
      </c>
      <c r="AQ176" s="68">
        <f t="shared" si="56"/>
        <v>3139782.7926031686</v>
      </c>
      <c r="AR176" s="68">
        <f>INDEX('IGT Commitment Suggestions'!H:H,MATCH(G176,'IGT Commitment Suggestions'!A:A,0))*AQ176</f>
        <v>1440512.9677565109</v>
      </c>
    </row>
    <row r="177" spans="1:44">
      <c r="A177" s="103" t="s">
        <v>1004</v>
      </c>
      <c r="B177" s="123" t="s">
        <v>1004</v>
      </c>
      <c r="C177" s="30" t="s">
        <v>1005</v>
      </c>
      <c r="D177" s="124" t="s">
        <v>1005</v>
      </c>
      <c r="E177" s="119" t="s">
        <v>2867</v>
      </c>
      <c r="F177" s="99" t="s">
        <v>2283</v>
      </c>
      <c r="G177" s="99" t="s">
        <v>1202</v>
      </c>
      <c r="H177" s="42" t="str">
        <f t="shared" si="42"/>
        <v>Urban Travis</v>
      </c>
      <c r="I177" s="44">
        <f>INDEX(FeeCalc!M:M,MATCH(C:C,FeeCalc!F:F,0))</f>
        <v>1371421.0255128511</v>
      </c>
      <c r="J177" s="44">
        <f>INDEX(FeeCalc!L:L,MATCH(C:C,FeeCalc!F:F,0))</f>
        <v>2580395.38114384</v>
      </c>
      <c r="K177" s="44">
        <f t="shared" si="43"/>
        <v>3951816.4066566909</v>
      </c>
      <c r="L177" s="44">
        <v>1291881.99</v>
      </c>
      <c r="M177" s="44">
        <v>2443376.5</v>
      </c>
      <c r="N177" s="44">
        <f t="shared" si="44"/>
        <v>3735258.49</v>
      </c>
      <c r="O177" s="44">
        <v>4312182.256789593</v>
      </c>
      <c r="P177" s="44">
        <v>2757694.3595368769</v>
      </c>
      <c r="Q177" s="44">
        <f t="shared" si="45"/>
        <v>7069876.6163264699</v>
      </c>
      <c r="R177" s="44" t="str">
        <f t="shared" si="46"/>
        <v>Yes</v>
      </c>
      <c r="S177" s="45" t="str">
        <f t="shared" si="46"/>
        <v>Yes</v>
      </c>
      <c r="T177" s="46">
        <f>ROUND(INDEX(Summary!H:H,MATCH(H:H,Summary!A:A,0)),2)</f>
        <v>0.4</v>
      </c>
      <c r="U177" s="46">
        <f>ROUND(INDEX(Summary!I:I,MATCH(H:H,Summary!A:A,0)),2)</f>
        <v>1.03</v>
      </c>
      <c r="V177" s="79">
        <f t="shared" si="47"/>
        <v>548568.41020514048</v>
      </c>
      <c r="W177" s="79">
        <f t="shared" si="47"/>
        <v>2657807.2425781554</v>
      </c>
      <c r="X177" s="44">
        <f t="shared" si="48"/>
        <v>3206375.6527832961</v>
      </c>
      <c r="Y177" s="44" t="s">
        <v>2765</v>
      </c>
      <c r="Z177" s="44" t="str">
        <f t="shared" si="49"/>
        <v>Yes</v>
      </c>
      <c r="AA177" s="44" t="str">
        <f t="shared" si="49"/>
        <v>Yes</v>
      </c>
      <c r="AB177" s="44" t="str">
        <f t="shared" si="50"/>
        <v>Yes</v>
      </c>
      <c r="AC177" s="80">
        <f t="shared" si="57"/>
        <v>1.91</v>
      </c>
      <c r="AD177" s="80">
        <f t="shared" si="58"/>
        <v>0.03</v>
      </c>
      <c r="AE177" s="44">
        <f t="shared" si="51"/>
        <v>2619414.1587295453</v>
      </c>
      <c r="AF177" s="44">
        <f t="shared" si="51"/>
        <v>77411.8614343152</v>
      </c>
      <c r="AG177" s="44">
        <f t="shared" si="52"/>
        <v>2696826.0201638606</v>
      </c>
      <c r="AH177" s="46">
        <f>IF(Y177="No",0,IFERROR(ROUNDDOWN(INDEX('90% of ACR'!K:K,MATCH(H:H,'90% of ACR'!A:A,0))*IF(I177&gt;0,IF(O177&gt;0,$R$4*MAX(O177-V177,0),0),0)/I177,2),0))</f>
        <v>1.91</v>
      </c>
      <c r="AI177" s="80">
        <f>IF(Y177="No",0,IFERROR(ROUNDDOWN(INDEX('90% of ACR'!R:R,MATCH(H:H,'90% of ACR'!A:A,0))*IF(J177&gt;0,IF(P177&gt;0,$R$4*MAX(P177-W177,0),0),0)/J177,2),0))</f>
        <v>0.01</v>
      </c>
      <c r="AJ177" s="44">
        <f t="shared" si="53"/>
        <v>2619414.1587295453</v>
      </c>
      <c r="AK177" s="44">
        <f t="shared" si="53"/>
        <v>25803.953811438401</v>
      </c>
      <c r="AL177" s="46">
        <f t="shared" si="54"/>
        <v>2.31</v>
      </c>
      <c r="AM177" s="46">
        <f t="shared" si="54"/>
        <v>1.04</v>
      </c>
      <c r="AN177" s="81">
        <f>IFERROR(INDEX(FeeCalc!P:P,MATCH(C177,FeeCalc!F:F,0)),0)</f>
        <v>5851593.7653242797</v>
      </c>
      <c r="AO177" s="81">
        <f>IFERROR(INDEX(FeeCalc!S:S,MATCH(C177,FeeCalc!F:F,0)),0)</f>
        <v>365668.90754073113</v>
      </c>
      <c r="AP177" s="81">
        <f t="shared" si="55"/>
        <v>6217262.6728650108</v>
      </c>
      <c r="AQ177" s="68">
        <f t="shared" si="56"/>
        <v>2446816.1594313709</v>
      </c>
      <c r="AR177" s="68">
        <f>INDEX('IGT Commitment Suggestions'!H:H,MATCH(G177,'IGT Commitment Suggestions'!A:A,0))*AQ177</f>
        <v>1124248.6818643785</v>
      </c>
    </row>
    <row r="178" spans="1:44">
      <c r="A178" s="103" t="s">
        <v>759</v>
      </c>
      <c r="B178" s="123" t="s">
        <v>759</v>
      </c>
      <c r="C178" s="30" t="s">
        <v>760</v>
      </c>
      <c r="D178" s="124" t="s">
        <v>760</v>
      </c>
      <c r="E178" s="119" t="s">
        <v>2643</v>
      </c>
      <c r="F178" s="99" t="s">
        <v>2283</v>
      </c>
      <c r="G178" s="99" t="s">
        <v>300</v>
      </c>
      <c r="H178" s="42" t="str">
        <f t="shared" si="42"/>
        <v>Urban Harris</v>
      </c>
      <c r="I178" s="44">
        <f>INDEX(FeeCalc!M:M,MATCH(C:C,FeeCalc!F:F,0))</f>
        <v>15818205.913706269</v>
      </c>
      <c r="J178" s="44">
        <f>INDEX(FeeCalc!L:L,MATCH(C:C,FeeCalc!F:F,0))</f>
        <v>5194306.5542943198</v>
      </c>
      <c r="K178" s="44">
        <f t="shared" si="43"/>
        <v>21012512.468000591</v>
      </c>
      <c r="L178" s="44">
        <v>13421999.15</v>
      </c>
      <c r="M178" s="44">
        <v>3657406.89</v>
      </c>
      <c r="N178" s="44">
        <f t="shared" si="44"/>
        <v>17079406.039999999</v>
      </c>
      <c r="O178" s="44">
        <v>23652493.544402309</v>
      </c>
      <c r="P178" s="44">
        <v>4086159.3593142582</v>
      </c>
      <c r="Q178" s="44">
        <f t="shared" si="45"/>
        <v>27738652.903716568</v>
      </c>
      <c r="R178" s="44" t="str">
        <f t="shared" si="46"/>
        <v>Yes</v>
      </c>
      <c r="S178" s="45" t="str">
        <f t="shared" si="46"/>
        <v>Yes</v>
      </c>
      <c r="T178" s="46">
        <f>ROUND(INDEX(Summary!H:H,MATCH(H:H,Summary!A:A,0)),2)</f>
        <v>1.74</v>
      </c>
      <c r="U178" s="46">
        <f>ROUND(INDEX(Summary!I:I,MATCH(H:H,Summary!A:A,0)),2)</f>
        <v>0.33</v>
      </c>
      <c r="V178" s="79">
        <f t="shared" si="47"/>
        <v>27523678.289848909</v>
      </c>
      <c r="W178" s="79">
        <f t="shared" si="47"/>
        <v>1714121.1629171257</v>
      </c>
      <c r="X178" s="44">
        <f t="shared" si="48"/>
        <v>29237799.452766035</v>
      </c>
      <c r="Y178" s="44" t="s">
        <v>2765</v>
      </c>
      <c r="Z178" s="44" t="str">
        <f t="shared" si="49"/>
        <v>No</v>
      </c>
      <c r="AA178" s="44" t="str">
        <f t="shared" si="49"/>
        <v>Yes</v>
      </c>
      <c r="AB178" s="44" t="str">
        <f t="shared" si="50"/>
        <v>Yes</v>
      </c>
      <c r="AC178" s="80">
        <f t="shared" si="57"/>
        <v>0</v>
      </c>
      <c r="AD178" s="80">
        <f t="shared" si="58"/>
        <v>0.32</v>
      </c>
      <c r="AE178" s="44">
        <f t="shared" si="51"/>
        <v>0</v>
      </c>
      <c r="AF178" s="44">
        <f t="shared" si="51"/>
        <v>1662178.0973741824</v>
      </c>
      <c r="AG178" s="44">
        <f t="shared" si="52"/>
        <v>1662178.0973741824</v>
      </c>
      <c r="AH178" s="46">
        <f>IF(Y178="No",0,IFERROR(ROUNDDOWN(INDEX('90% of ACR'!K:K,MATCH(H:H,'90% of ACR'!A:A,0))*IF(I178&gt;0,IF(O178&gt;0,$R$4*MAX(O178-V178,0),0),0)/I178,2),0))</f>
        <v>0</v>
      </c>
      <c r="AI178" s="80">
        <f>IF(Y178="No",0,IFERROR(ROUNDDOWN(INDEX('90% of ACR'!R:R,MATCH(H:H,'90% of ACR'!A:A,0))*IF(J178&gt;0,IF(P178&gt;0,$R$4*MAX(P178-W178,0),0),0)/J178,2),0))</f>
        <v>0.28999999999999998</v>
      </c>
      <c r="AJ178" s="44">
        <f t="shared" si="53"/>
        <v>0</v>
      </c>
      <c r="AK178" s="44">
        <f t="shared" si="53"/>
        <v>1506348.9007453527</v>
      </c>
      <c r="AL178" s="46">
        <f t="shared" si="54"/>
        <v>1.74</v>
      </c>
      <c r="AM178" s="46">
        <f t="shared" si="54"/>
        <v>0.62</v>
      </c>
      <c r="AN178" s="81">
        <f>IFERROR(INDEX(FeeCalc!P:P,MATCH(C178,FeeCalc!F:F,0)),0)</f>
        <v>30744148.353511386</v>
      </c>
      <c r="AO178" s="81">
        <f>IFERROR(INDEX(FeeCalc!S:S,MATCH(C178,FeeCalc!F:F,0)),0)</f>
        <v>1903347.330343022</v>
      </c>
      <c r="AP178" s="81">
        <f t="shared" si="55"/>
        <v>32647495.683854409</v>
      </c>
      <c r="AQ178" s="68">
        <f t="shared" si="56"/>
        <v>12848487.221372273</v>
      </c>
      <c r="AR178" s="68">
        <f>INDEX('IGT Commitment Suggestions'!H:H,MATCH(G178,'IGT Commitment Suggestions'!A:A,0))*AQ178</f>
        <v>5894806.6414159182</v>
      </c>
    </row>
    <row r="179" spans="1:44">
      <c r="A179" s="103" t="s">
        <v>1010</v>
      </c>
      <c r="B179" s="123" t="s">
        <v>1010</v>
      </c>
      <c r="C179" s="30" t="s">
        <v>1011</v>
      </c>
      <c r="D179" s="124" t="s">
        <v>1011</v>
      </c>
      <c r="E179" s="119" t="s">
        <v>2868</v>
      </c>
      <c r="F179" s="99" t="s">
        <v>2283</v>
      </c>
      <c r="G179" s="99" t="s">
        <v>1486</v>
      </c>
      <c r="H179" s="42" t="str">
        <f t="shared" si="42"/>
        <v>Urban MRSA Central</v>
      </c>
      <c r="I179" s="44">
        <f>INDEX(FeeCalc!M:M,MATCH(C:C,FeeCalc!F:F,0))</f>
        <v>49501607.009923123</v>
      </c>
      <c r="J179" s="44">
        <f>INDEX(FeeCalc!L:L,MATCH(C:C,FeeCalc!F:F,0))</f>
        <v>29682668.568194516</v>
      </c>
      <c r="K179" s="44">
        <f t="shared" si="43"/>
        <v>79184275.578117639</v>
      </c>
      <c r="L179" s="44">
        <v>18545032.09</v>
      </c>
      <c r="M179" s="44">
        <v>28970872.960000001</v>
      </c>
      <c r="N179" s="44">
        <f t="shared" si="44"/>
        <v>47515905.049999997</v>
      </c>
      <c r="O179" s="44">
        <v>57371662.180662319</v>
      </c>
      <c r="P179" s="44">
        <v>26288549.629341766</v>
      </c>
      <c r="Q179" s="44">
        <f t="shared" si="45"/>
        <v>83660211.810004085</v>
      </c>
      <c r="R179" s="44" t="str">
        <f t="shared" si="46"/>
        <v>Yes</v>
      </c>
      <c r="S179" s="45" t="str">
        <f t="shared" si="46"/>
        <v>Yes</v>
      </c>
      <c r="T179" s="46">
        <f>ROUND(INDEX(Summary!H:H,MATCH(H:H,Summary!A:A,0)),2)</f>
        <v>0.48</v>
      </c>
      <c r="U179" s="46">
        <f>ROUND(INDEX(Summary!I:I,MATCH(H:H,Summary!A:A,0)),2)</f>
        <v>0.99</v>
      </c>
      <c r="V179" s="79">
        <f t="shared" si="47"/>
        <v>23760771.3647631</v>
      </c>
      <c r="W179" s="79">
        <f t="shared" si="47"/>
        <v>29385841.882512569</v>
      </c>
      <c r="X179" s="44">
        <f t="shared" si="48"/>
        <v>53146613.247275665</v>
      </c>
      <c r="Y179" s="44" t="s">
        <v>2765</v>
      </c>
      <c r="Z179" s="44" t="str">
        <f t="shared" si="49"/>
        <v>Yes</v>
      </c>
      <c r="AA179" s="44" t="str">
        <f t="shared" si="49"/>
        <v>No</v>
      </c>
      <c r="AB179" s="44" t="str">
        <f t="shared" si="50"/>
        <v>Yes</v>
      </c>
      <c r="AC179" s="80">
        <f t="shared" si="57"/>
        <v>0.47</v>
      </c>
      <c r="AD179" s="80">
        <f t="shared" si="58"/>
        <v>0</v>
      </c>
      <c r="AE179" s="44">
        <f t="shared" si="51"/>
        <v>23265755.294663865</v>
      </c>
      <c r="AF179" s="44">
        <f t="shared" si="51"/>
        <v>0</v>
      </c>
      <c r="AG179" s="44">
        <f t="shared" si="52"/>
        <v>23265755.294663865</v>
      </c>
      <c r="AH179" s="46">
        <f>IF(Y179="No",0,IFERROR(ROUNDDOWN(INDEX('90% of ACR'!K:K,MATCH(H:H,'90% of ACR'!A:A,0))*IF(I179&gt;0,IF(O179&gt;0,$R$4*MAX(O179-V179,0),0),0)/I179,2),0))</f>
        <v>0.47</v>
      </c>
      <c r="AI179" s="80">
        <f>IF(Y179="No",0,IFERROR(ROUNDDOWN(INDEX('90% of ACR'!R:R,MATCH(H:H,'90% of ACR'!A:A,0))*IF(J179&gt;0,IF(P179&gt;0,$R$4*MAX(P179-W179,0),0),0)/J179,2),0))</f>
        <v>0</v>
      </c>
      <c r="AJ179" s="44">
        <f t="shared" si="53"/>
        <v>23265755.294663865</v>
      </c>
      <c r="AK179" s="44">
        <f t="shared" si="53"/>
        <v>0</v>
      </c>
      <c r="AL179" s="46">
        <f t="shared" si="54"/>
        <v>0.95</v>
      </c>
      <c r="AM179" s="46">
        <f t="shared" si="54"/>
        <v>0.99</v>
      </c>
      <c r="AN179" s="81">
        <f>IFERROR(INDEX(FeeCalc!P:P,MATCH(C179,FeeCalc!F:F,0)),0)</f>
        <v>76412368.541939527</v>
      </c>
      <c r="AO179" s="81">
        <f>IFERROR(INDEX(FeeCalc!S:S,MATCH(C179,FeeCalc!F:F,0)),0)</f>
        <v>4728701.6149194008</v>
      </c>
      <c r="AP179" s="81">
        <f t="shared" si="55"/>
        <v>81141070.156858921</v>
      </c>
      <c r="AQ179" s="68">
        <f t="shared" si="56"/>
        <v>31933230.442372143</v>
      </c>
      <c r="AR179" s="68">
        <f>INDEX('IGT Commitment Suggestions'!H:H,MATCH(G179,'IGT Commitment Suggestions'!A:A,0))*AQ179</f>
        <v>14588280.039818536</v>
      </c>
    </row>
    <row r="180" spans="1:44">
      <c r="A180" s="103" t="s">
        <v>1007</v>
      </c>
      <c r="B180" s="123" t="s">
        <v>1007</v>
      </c>
      <c r="C180" s="30" t="s">
        <v>1008</v>
      </c>
      <c r="D180" s="124" t="s">
        <v>1008</v>
      </c>
      <c r="E180" s="119" t="s">
        <v>2570</v>
      </c>
      <c r="F180" s="99" t="s">
        <v>2295</v>
      </c>
      <c r="G180" s="99" t="s">
        <v>1202</v>
      </c>
      <c r="H180" s="42" t="str">
        <f t="shared" si="42"/>
        <v>Rural Travis</v>
      </c>
      <c r="I180" s="44">
        <f>INDEX(FeeCalc!M:M,MATCH(C:C,FeeCalc!F:F,0))</f>
        <v>79055.76633482294</v>
      </c>
      <c r="J180" s="44">
        <f>INDEX(FeeCalc!L:L,MATCH(C:C,FeeCalc!F:F,0))</f>
        <v>721677.50326978695</v>
      </c>
      <c r="K180" s="44">
        <f t="shared" si="43"/>
        <v>800733.26960460993</v>
      </c>
      <c r="L180" s="44">
        <v>51206.239999999998</v>
      </c>
      <c r="M180" s="44">
        <v>-138154.60999999999</v>
      </c>
      <c r="N180" s="44">
        <f t="shared" si="44"/>
        <v>-86948.37</v>
      </c>
      <c r="O180" s="44">
        <v>64264.512032514271</v>
      </c>
      <c r="P180" s="44">
        <v>295173.42317668692</v>
      </c>
      <c r="Q180" s="44">
        <f t="shared" si="45"/>
        <v>359437.93520920118</v>
      </c>
      <c r="R180" s="44" t="str">
        <f t="shared" si="46"/>
        <v>Yes</v>
      </c>
      <c r="S180" s="45" t="str">
        <f t="shared" si="46"/>
        <v>Yes</v>
      </c>
      <c r="T180" s="46">
        <f>ROUND(INDEX(Summary!H:H,MATCH(H:H,Summary!A:A,0)),2)</f>
        <v>0.05</v>
      </c>
      <c r="U180" s="46">
        <f>ROUND(INDEX(Summary!I:I,MATCH(H:H,Summary!A:A,0)),2)</f>
        <v>0.22</v>
      </c>
      <c r="V180" s="79">
        <f t="shared" si="47"/>
        <v>3952.7883167411474</v>
      </c>
      <c r="W180" s="79">
        <f t="shared" si="47"/>
        <v>158769.05071935314</v>
      </c>
      <c r="X180" s="44">
        <f t="shared" si="48"/>
        <v>162721.83903609429</v>
      </c>
      <c r="Y180" s="44" t="s">
        <v>2765</v>
      </c>
      <c r="Z180" s="44" t="str">
        <f t="shared" si="49"/>
        <v>Yes</v>
      </c>
      <c r="AA180" s="44" t="str">
        <f t="shared" si="49"/>
        <v>Yes</v>
      </c>
      <c r="AB180" s="44" t="str">
        <f t="shared" si="50"/>
        <v>Yes</v>
      </c>
      <c r="AC180" s="80">
        <f t="shared" si="57"/>
        <v>0.53</v>
      </c>
      <c r="AD180" s="80">
        <f t="shared" si="58"/>
        <v>0.13</v>
      </c>
      <c r="AE180" s="44">
        <f t="shared" si="51"/>
        <v>41899.556157456158</v>
      </c>
      <c r="AF180" s="44">
        <f t="shared" si="51"/>
        <v>93818.075425072311</v>
      </c>
      <c r="AG180" s="44">
        <f t="shared" si="52"/>
        <v>135717.63158252847</v>
      </c>
      <c r="AH180" s="46">
        <f>IF(Y180="No",0,IFERROR(ROUNDDOWN(INDEX('90% of ACR'!K:K,MATCH(H:H,'90% of ACR'!A:A,0))*IF(I180&gt;0,IF(O180&gt;0,$R$4*MAX(O180-V180,0),0),0)/I180,2),0))</f>
        <v>0.53</v>
      </c>
      <c r="AI180" s="80">
        <f>IF(Y180="No",0,IFERROR(ROUNDDOWN(INDEX('90% of ACR'!R:R,MATCH(H:H,'90% of ACR'!A:A,0))*IF(J180&gt;0,IF(P180&gt;0,$R$4*MAX(P180-W180,0),0),0)/J180,2),0))</f>
        <v>0.1</v>
      </c>
      <c r="AJ180" s="44">
        <f t="shared" si="53"/>
        <v>41899.556157456158</v>
      </c>
      <c r="AK180" s="44">
        <f t="shared" si="53"/>
        <v>72167.750326978698</v>
      </c>
      <c r="AL180" s="46">
        <f t="shared" si="54"/>
        <v>0.58000000000000007</v>
      </c>
      <c r="AM180" s="46">
        <f t="shared" si="54"/>
        <v>0.32</v>
      </c>
      <c r="AN180" s="81">
        <f>IFERROR(INDEX(FeeCalc!P:P,MATCH(C180,FeeCalc!F:F,0)),0)</f>
        <v>276789.14552052913</v>
      </c>
      <c r="AO180" s="81">
        <f>IFERROR(INDEX(FeeCalc!S:S,MATCH(C180,FeeCalc!F:F,0)),0)</f>
        <v>17106.43420950773</v>
      </c>
      <c r="AP180" s="81">
        <f t="shared" si="55"/>
        <v>293895.57973003684</v>
      </c>
      <c r="AQ180" s="68">
        <f t="shared" si="56"/>
        <v>115663.19319391547</v>
      </c>
      <c r="AR180" s="68">
        <f>INDEX('IGT Commitment Suggestions'!H:H,MATCH(G180,'IGT Commitment Suggestions'!A:A,0))*AQ180</f>
        <v>53144.242973572553</v>
      </c>
    </row>
    <row r="181" spans="1:44">
      <c r="A181" s="103" t="s">
        <v>503</v>
      </c>
      <c r="B181" s="123" t="s">
        <v>503</v>
      </c>
      <c r="C181" s="30" t="s">
        <v>504</v>
      </c>
      <c r="D181" s="124" t="s">
        <v>504</v>
      </c>
      <c r="E181" s="119" t="s">
        <v>2427</v>
      </c>
      <c r="F181" s="99" t="s">
        <v>2283</v>
      </c>
      <c r="G181" s="99" t="s">
        <v>1550</v>
      </c>
      <c r="H181" s="42" t="str">
        <f t="shared" si="42"/>
        <v>Urban Jefferson</v>
      </c>
      <c r="I181" s="44">
        <f>INDEX(FeeCalc!M:M,MATCH(C:C,FeeCalc!F:F,0))</f>
        <v>8506640.6927268505</v>
      </c>
      <c r="J181" s="44">
        <f>INDEX(FeeCalc!L:L,MATCH(C:C,FeeCalc!F:F,0))</f>
        <v>5105064.4692631997</v>
      </c>
      <c r="K181" s="44">
        <f t="shared" si="43"/>
        <v>13611705.16199005</v>
      </c>
      <c r="L181" s="44">
        <v>7640565.3099999996</v>
      </c>
      <c r="M181" s="44">
        <v>7133270.6500000004</v>
      </c>
      <c r="N181" s="44">
        <f t="shared" si="44"/>
        <v>14773835.960000001</v>
      </c>
      <c r="O181" s="44">
        <v>41786980.627534963</v>
      </c>
      <c r="P181" s="44">
        <v>7643465.7780481158</v>
      </c>
      <c r="Q181" s="44">
        <f t="shared" si="45"/>
        <v>49430446.405583076</v>
      </c>
      <c r="R181" s="44" t="str">
        <f t="shared" si="46"/>
        <v>Yes</v>
      </c>
      <c r="S181" s="45" t="str">
        <f t="shared" si="46"/>
        <v>Yes</v>
      </c>
      <c r="T181" s="46">
        <f>ROUND(INDEX(Summary!H:H,MATCH(H:H,Summary!A:A,0)),2)</f>
        <v>0.84</v>
      </c>
      <c r="U181" s="46">
        <f>ROUND(INDEX(Summary!I:I,MATCH(H:H,Summary!A:A,0)),2)</f>
        <v>0.93</v>
      </c>
      <c r="V181" s="79">
        <f t="shared" si="47"/>
        <v>7145578.1818905538</v>
      </c>
      <c r="W181" s="79">
        <f t="shared" si="47"/>
        <v>4747709.9564147759</v>
      </c>
      <c r="X181" s="44">
        <f t="shared" si="48"/>
        <v>11893288.138305329</v>
      </c>
      <c r="Y181" s="44" t="s">
        <v>2765</v>
      </c>
      <c r="Z181" s="44" t="str">
        <f t="shared" si="49"/>
        <v>Yes</v>
      </c>
      <c r="AA181" s="44" t="str">
        <f t="shared" si="49"/>
        <v>Yes</v>
      </c>
      <c r="AB181" s="44" t="str">
        <f t="shared" si="50"/>
        <v>Yes</v>
      </c>
      <c r="AC181" s="80">
        <f t="shared" si="57"/>
        <v>2.84</v>
      </c>
      <c r="AD181" s="80">
        <f t="shared" si="58"/>
        <v>0.4</v>
      </c>
      <c r="AE181" s="44">
        <f t="shared" si="51"/>
        <v>24158859.567344256</v>
      </c>
      <c r="AF181" s="44">
        <f t="shared" si="51"/>
        <v>2042025.7877052799</v>
      </c>
      <c r="AG181" s="44">
        <f t="shared" si="52"/>
        <v>26200885.355049536</v>
      </c>
      <c r="AH181" s="46">
        <f>IF(Y181="No",0,IFERROR(ROUNDDOWN(INDEX('90% of ACR'!K:K,MATCH(H:H,'90% of ACR'!A:A,0))*IF(I181&gt;0,IF(O181&gt;0,$R$4*MAX(O181-V181,0),0),0)/I181,2),0))</f>
        <v>2.83</v>
      </c>
      <c r="AI181" s="80">
        <f>IF(Y181="No",0,IFERROR(ROUNDDOWN(INDEX('90% of ACR'!R:R,MATCH(H:H,'90% of ACR'!A:A,0))*IF(J181&gt;0,IF(P181&gt;0,$R$4*MAX(P181-W181,0),0),0)/J181,2),0))</f>
        <v>0.33</v>
      </c>
      <c r="AJ181" s="44">
        <f t="shared" si="53"/>
        <v>24073793.160416987</v>
      </c>
      <c r="AK181" s="44">
        <f t="shared" si="53"/>
        <v>1684671.2748568561</v>
      </c>
      <c r="AL181" s="46">
        <f t="shared" si="54"/>
        <v>3.67</v>
      </c>
      <c r="AM181" s="46">
        <f t="shared" si="54"/>
        <v>1.26</v>
      </c>
      <c r="AN181" s="81">
        <f>IFERROR(INDEX(FeeCalc!P:P,MATCH(C181,FeeCalc!F:F,0)),0)</f>
        <v>37651752.573579177</v>
      </c>
      <c r="AO181" s="81">
        <f>IFERROR(INDEX(FeeCalc!S:S,MATCH(C181,FeeCalc!F:F,0)),0)</f>
        <v>2333293.9243220901</v>
      </c>
      <c r="AP181" s="81">
        <f t="shared" si="55"/>
        <v>39985046.497901268</v>
      </c>
      <c r="AQ181" s="68">
        <f t="shared" si="56"/>
        <v>15736195.019342043</v>
      </c>
      <c r="AR181" s="68">
        <f>INDEX('IGT Commitment Suggestions'!H:H,MATCH(G181,'IGT Commitment Suggestions'!A:A,0))*AQ181</f>
        <v>7201531.4297346612</v>
      </c>
    </row>
    <row r="182" spans="1:44">
      <c r="A182" s="103" t="s">
        <v>443</v>
      </c>
      <c r="B182" s="123" t="s">
        <v>443</v>
      </c>
      <c r="C182" s="30" t="s">
        <v>444</v>
      </c>
      <c r="D182" s="124" t="s">
        <v>444</v>
      </c>
      <c r="E182" s="119" t="s">
        <v>2869</v>
      </c>
      <c r="F182" s="99" t="s">
        <v>2283</v>
      </c>
      <c r="G182" s="99" t="s">
        <v>1365</v>
      </c>
      <c r="H182" s="42" t="str">
        <f t="shared" si="42"/>
        <v>Urban Tarrant</v>
      </c>
      <c r="I182" s="44">
        <f>INDEX(FeeCalc!M:M,MATCH(C:C,FeeCalc!F:F,0))</f>
        <v>0</v>
      </c>
      <c r="J182" s="44">
        <f>INDEX(FeeCalc!L:L,MATCH(C:C,FeeCalc!F:F,0))</f>
        <v>0</v>
      </c>
      <c r="K182" s="44">
        <f t="shared" si="43"/>
        <v>0</v>
      </c>
      <c r="L182" s="44">
        <v>52973.279999999999</v>
      </c>
      <c r="M182" s="44">
        <v>60282.239999999998</v>
      </c>
      <c r="N182" s="44">
        <f t="shared" si="44"/>
        <v>113255.51999999999</v>
      </c>
      <c r="O182" s="44">
        <v>204036.63852852717</v>
      </c>
      <c r="P182" s="44">
        <v>118753.45894367591</v>
      </c>
      <c r="Q182" s="44">
        <f t="shared" si="45"/>
        <v>322790.09747220308</v>
      </c>
      <c r="R182" s="44" t="str">
        <f t="shared" si="46"/>
        <v>Yes</v>
      </c>
      <c r="S182" s="45" t="str">
        <f t="shared" si="46"/>
        <v>Yes</v>
      </c>
      <c r="T182" s="46">
        <f>ROUND(INDEX(Summary!H:H,MATCH(H:H,Summary!A:A,0)),2)</f>
        <v>0.84</v>
      </c>
      <c r="U182" s="46">
        <f>ROUND(INDEX(Summary!I:I,MATCH(H:H,Summary!A:A,0)),2)</f>
        <v>0.55000000000000004</v>
      </c>
      <c r="V182" s="79">
        <f t="shared" si="47"/>
        <v>0</v>
      </c>
      <c r="W182" s="79">
        <f t="shared" si="47"/>
        <v>0</v>
      </c>
      <c r="X182" s="44">
        <f t="shared" si="48"/>
        <v>0</v>
      </c>
      <c r="Y182" s="44" t="s">
        <v>2765</v>
      </c>
      <c r="Z182" s="44" t="str">
        <f t="shared" si="49"/>
        <v>No</v>
      </c>
      <c r="AA182" s="44" t="str">
        <f t="shared" si="49"/>
        <v>No</v>
      </c>
      <c r="AB182" s="44" t="str">
        <f t="shared" si="50"/>
        <v>No</v>
      </c>
      <c r="AC182" s="80">
        <f t="shared" si="57"/>
        <v>0</v>
      </c>
      <c r="AD182" s="80">
        <f t="shared" si="58"/>
        <v>0</v>
      </c>
      <c r="AE182" s="44">
        <f t="shared" si="51"/>
        <v>0</v>
      </c>
      <c r="AF182" s="44">
        <f t="shared" si="51"/>
        <v>0</v>
      </c>
      <c r="AG182" s="44">
        <f t="shared" si="52"/>
        <v>0</v>
      </c>
      <c r="AH182" s="46">
        <f>IF(Y182="No",0,IFERROR(ROUNDDOWN(INDEX('90% of ACR'!K:K,MATCH(H:H,'90% of ACR'!A:A,0))*IF(I182&gt;0,IF(O182&gt;0,$R$4*MAX(O182-V182,0),0),0)/I182,2),0))</f>
        <v>0</v>
      </c>
      <c r="AI182" s="80">
        <f>IF(Y182="No",0,IFERROR(ROUNDDOWN(INDEX('90% of ACR'!R:R,MATCH(H:H,'90% of ACR'!A:A,0))*IF(J182&gt;0,IF(P182&gt;0,$R$4*MAX(P182-W182,0),0),0)/J182,2),0))</f>
        <v>0</v>
      </c>
      <c r="AJ182" s="44">
        <f t="shared" si="53"/>
        <v>0</v>
      </c>
      <c r="AK182" s="44">
        <f t="shared" si="53"/>
        <v>0</v>
      </c>
      <c r="AL182" s="46">
        <f t="shared" si="54"/>
        <v>0.84</v>
      </c>
      <c r="AM182" s="46">
        <f t="shared" si="54"/>
        <v>0.55000000000000004</v>
      </c>
      <c r="AN182" s="81">
        <f>IFERROR(INDEX(FeeCalc!P:P,MATCH(C182,FeeCalc!F:F,0)),0)</f>
        <v>0</v>
      </c>
      <c r="AO182" s="81">
        <f>IFERROR(INDEX(FeeCalc!S:S,MATCH(C182,FeeCalc!F:F,0)),0)</f>
        <v>0</v>
      </c>
      <c r="AP182" s="81">
        <f t="shared" si="55"/>
        <v>0</v>
      </c>
      <c r="AQ182" s="68">
        <f t="shared" si="56"/>
        <v>0</v>
      </c>
      <c r="AR182" s="68">
        <f>INDEX('IGT Commitment Suggestions'!H:H,MATCH(G182,'IGT Commitment Suggestions'!A:A,0))*AQ182</f>
        <v>0</v>
      </c>
    </row>
    <row r="183" spans="1:44">
      <c r="A183" s="103" t="s">
        <v>431</v>
      </c>
      <c r="B183" s="123" t="s">
        <v>431</v>
      </c>
      <c r="C183" s="30" t="s">
        <v>432</v>
      </c>
      <c r="D183" s="124" t="s">
        <v>432</v>
      </c>
      <c r="E183" s="119" t="s">
        <v>2870</v>
      </c>
      <c r="F183" s="99" t="s">
        <v>2283</v>
      </c>
      <c r="G183" s="99" t="s">
        <v>223</v>
      </c>
      <c r="H183" s="42" t="str">
        <f t="shared" si="42"/>
        <v>Urban Dallas</v>
      </c>
      <c r="I183" s="44">
        <f>INDEX(FeeCalc!M:M,MATCH(C:C,FeeCalc!F:F,0))</f>
        <v>112760.4720613081</v>
      </c>
      <c r="J183" s="44">
        <f>INDEX(FeeCalc!L:L,MATCH(C:C,FeeCalc!F:F,0))</f>
        <v>27184.602311693678</v>
      </c>
      <c r="K183" s="44">
        <f t="shared" si="43"/>
        <v>139945.07437300179</v>
      </c>
      <c r="L183" s="44">
        <v>519732.71</v>
      </c>
      <c r="M183" s="44">
        <v>271553.55</v>
      </c>
      <c r="N183" s="44">
        <f t="shared" si="44"/>
        <v>791286.26</v>
      </c>
      <c r="O183" s="44">
        <v>2225729.0265708901</v>
      </c>
      <c r="P183" s="44">
        <v>511988.02808698197</v>
      </c>
      <c r="Q183" s="44">
        <f t="shared" si="45"/>
        <v>2737717.0546578718</v>
      </c>
      <c r="R183" s="44" t="str">
        <f t="shared" si="46"/>
        <v>Yes</v>
      </c>
      <c r="S183" s="45" t="str">
        <f t="shared" si="46"/>
        <v>Yes</v>
      </c>
      <c r="T183" s="46">
        <f>ROUND(INDEX(Summary!H:H,MATCH(H:H,Summary!A:A,0)),2)</f>
        <v>0.6</v>
      </c>
      <c r="U183" s="46">
        <f>ROUND(INDEX(Summary!I:I,MATCH(H:H,Summary!A:A,0)),2)</f>
        <v>0.3</v>
      </c>
      <c r="V183" s="79">
        <f t="shared" si="47"/>
        <v>67656.28323678486</v>
      </c>
      <c r="W183" s="79">
        <f t="shared" si="47"/>
        <v>8155.3806935081029</v>
      </c>
      <c r="X183" s="44">
        <f t="shared" si="48"/>
        <v>75811.663930292969</v>
      </c>
      <c r="Y183" s="44" t="s">
        <v>2765</v>
      </c>
      <c r="Z183" s="44" t="str">
        <f t="shared" si="49"/>
        <v>Yes</v>
      </c>
      <c r="AA183" s="44" t="str">
        <f t="shared" si="49"/>
        <v>Yes</v>
      </c>
      <c r="AB183" s="44" t="str">
        <f t="shared" si="50"/>
        <v>Yes</v>
      </c>
      <c r="AC183" s="80">
        <f t="shared" si="57"/>
        <v>13.33</v>
      </c>
      <c r="AD183" s="80">
        <f t="shared" si="58"/>
        <v>12.91</v>
      </c>
      <c r="AE183" s="44">
        <f t="shared" si="51"/>
        <v>1503097.0925772369</v>
      </c>
      <c r="AF183" s="44">
        <f t="shared" si="51"/>
        <v>350953.21584396536</v>
      </c>
      <c r="AG183" s="44">
        <f t="shared" si="52"/>
        <v>1854050.3084212022</v>
      </c>
      <c r="AH183" s="46">
        <f>IF(Y183="No",0,IFERROR(ROUNDDOWN(INDEX('90% of ACR'!K:K,MATCH(H:H,'90% of ACR'!A:A,0))*IF(I183&gt;0,IF(O183&gt;0,$R$4*MAX(O183-V183,0),0),0)/I183,2),0))</f>
        <v>13.33</v>
      </c>
      <c r="AI183" s="80">
        <f>IF(Y183="No",0,IFERROR(ROUNDDOWN(INDEX('90% of ACR'!R:R,MATCH(H:H,'90% of ACR'!A:A,0))*IF(J183&gt;0,IF(P183&gt;0,$R$4*MAX(P183-W183,0),0),0)/J183,2),0))</f>
        <v>12.91</v>
      </c>
      <c r="AJ183" s="44">
        <f t="shared" si="53"/>
        <v>1503097.0925772369</v>
      </c>
      <c r="AK183" s="44">
        <f t="shared" si="53"/>
        <v>350953.21584396536</v>
      </c>
      <c r="AL183" s="46">
        <f t="shared" si="54"/>
        <v>13.93</v>
      </c>
      <c r="AM183" s="46">
        <f t="shared" si="54"/>
        <v>13.21</v>
      </c>
      <c r="AN183" s="81">
        <f>IFERROR(INDEX(FeeCalc!P:P,MATCH(C183,FeeCalc!F:F,0)),0)</f>
        <v>1929861.9723514952</v>
      </c>
      <c r="AO183" s="81">
        <f>IFERROR(INDEX(FeeCalc!S:S,MATCH(C183,FeeCalc!F:F,0)),0)</f>
        <v>123182.67908626568</v>
      </c>
      <c r="AP183" s="81">
        <f t="shared" si="55"/>
        <v>2053044.6514377608</v>
      </c>
      <c r="AQ183" s="68">
        <f t="shared" si="56"/>
        <v>807979.82866263366</v>
      </c>
      <c r="AR183" s="68">
        <f>INDEX('IGT Commitment Suggestions'!H:H,MATCH(G183,'IGT Commitment Suggestions'!A:A,0))*AQ183</f>
        <v>369516.43087778497</v>
      </c>
    </row>
    <row r="184" spans="1:44">
      <c r="A184" s="103" t="s">
        <v>2286</v>
      </c>
      <c r="B184" s="123" t="s">
        <v>2286</v>
      </c>
      <c r="C184" s="30" t="s">
        <v>2287</v>
      </c>
      <c r="D184" s="124" t="s">
        <v>2287</v>
      </c>
      <c r="E184" s="119" t="s">
        <v>2559</v>
      </c>
      <c r="F184" s="99" t="s">
        <v>2283</v>
      </c>
      <c r="G184" s="99" t="s">
        <v>1202</v>
      </c>
      <c r="H184" s="42" t="str">
        <f t="shared" si="42"/>
        <v>Urban Travis</v>
      </c>
      <c r="I184" s="44">
        <f>INDEX(FeeCalc!M:M,MATCH(C:C,FeeCalc!F:F,0))</f>
        <v>6482.5525830797505</v>
      </c>
      <c r="J184" s="44">
        <f>INDEX(FeeCalc!L:L,MATCH(C:C,FeeCalc!F:F,0))</f>
        <v>71113.828938860388</v>
      </c>
      <c r="K184" s="44">
        <f t="shared" si="43"/>
        <v>77596.381521940144</v>
      </c>
      <c r="L184" s="44">
        <v>0</v>
      </c>
      <c r="M184" s="44">
        <v>-2503.04</v>
      </c>
      <c r="N184" s="44">
        <f t="shared" si="44"/>
        <v>-2503.04</v>
      </c>
      <c r="O184" s="44">
        <v>0</v>
      </c>
      <c r="P184" s="44">
        <v>24670.907856529746</v>
      </c>
      <c r="Q184" s="44">
        <f t="shared" si="45"/>
        <v>24670.907856529746</v>
      </c>
      <c r="R184" s="44" t="str">
        <f t="shared" si="46"/>
        <v>No</v>
      </c>
      <c r="S184" s="45" t="str">
        <f t="shared" si="46"/>
        <v>Yes</v>
      </c>
      <c r="T184" s="46">
        <f>ROUND(INDEX(Summary!H:H,MATCH(H:H,Summary!A:A,0)),2)</f>
        <v>0.4</v>
      </c>
      <c r="U184" s="46">
        <f>ROUND(INDEX(Summary!I:I,MATCH(H:H,Summary!A:A,0)),2)</f>
        <v>1.03</v>
      </c>
      <c r="V184" s="79">
        <f t="shared" si="47"/>
        <v>2593.0210332319002</v>
      </c>
      <c r="W184" s="79">
        <f t="shared" si="47"/>
        <v>73247.2438070262</v>
      </c>
      <c r="X184" s="44">
        <f t="shared" si="48"/>
        <v>75840.264840258096</v>
      </c>
      <c r="Y184" s="44" t="s">
        <v>2765</v>
      </c>
      <c r="Z184" s="44" t="str">
        <f t="shared" si="49"/>
        <v>No</v>
      </c>
      <c r="AA184" s="44" t="str">
        <f t="shared" si="49"/>
        <v>No</v>
      </c>
      <c r="AB184" s="44" t="str">
        <f t="shared" si="50"/>
        <v>No</v>
      </c>
      <c r="AC184" s="80">
        <f t="shared" si="57"/>
        <v>0</v>
      </c>
      <c r="AD184" s="80">
        <f t="shared" si="58"/>
        <v>0</v>
      </c>
      <c r="AE184" s="44">
        <f t="shared" si="51"/>
        <v>0</v>
      </c>
      <c r="AF184" s="44">
        <f t="shared" si="51"/>
        <v>0</v>
      </c>
      <c r="AG184" s="44">
        <f t="shared" si="52"/>
        <v>0</v>
      </c>
      <c r="AH184" s="46">
        <f>IF(Y184="No",0,IFERROR(ROUNDDOWN(INDEX('90% of ACR'!K:K,MATCH(H:H,'90% of ACR'!A:A,0))*IF(I184&gt;0,IF(O184&gt;0,$R$4*MAX(O184-V184,0),0),0)/I184,2),0))</f>
        <v>0</v>
      </c>
      <c r="AI184" s="80">
        <f>IF(Y184="No",0,IFERROR(ROUNDDOWN(INDEX('90% of ACR'!R:R,MATCH(H:H,'90% of ACR'!A:A,0))*IF(J184&gt;0,IF(P184&gt;0,$R$4*MAX(P184-W184,0),0),0)/J184,2),0))</f>
        <v>0</v>
      </c>
      <c r="AJ184" s="44">
        <f t="shared" si="53"/>
        <v>0</v>
      </c>
      <c r="AK184" s="44">
        <f t="shared" si="53"/>
        <v>0</v>
      </c>
      <c r="AL184" s="46">
        <f t="shared" si="54"/>
        <v>0.4</v>
      </c>
      <c r="AM184" s="46">
        <f t="shared" si="54"/>
        <v>1.03</v>
      </c>
      <c r="AN184" s="81">
        <f>IFERROR(INDEX(FeeCalc!P:P,MATCH(C184,FeeCalc!F:F,0)),0)</f>
        <v>75840.264840258096</v>
      </c>
      <c r="AO184" s="81">
        <f>IFERROR(INDEX(FeeCalc!S:S,MATCH(C184,FeeCalc!F:F,0)),0)</f>
        <v>4681.3496967823967</v>
      </c>
      <c r="AP184" s="81">
        <f t="shared" si="55"/>
        <v>80521.614537040499</v>
      </c>
      <c r="AQ184" s="68">
        <f t="shared" si="56"/>
        <v>31689.442444281365</v>
      </c>
      <c r="AR184" s="68">
        <f>INDEX('IGT Commitment Suggestions'!H:H,MATCH(G184,'IGT Commitment Suggestions'!A:A,0))*AQ184</f>
        <v>14560.478424043073</v>
      </c>
    </row>
    <row r="185" spans="1:44">
      <c r="A185" s="103" t="s">
        <v>2284</v>
      </c>
      <c r="B185" s="123" t="s">
        <v>2284</v>
      </c>
      <c r="C185" s="30" t="s">
        <v>2285</v>
      </c>
      <c r="D185" s="124" t="s">
        <v>2285</v>
      </c>
      <c r="E185" s="119" t="s">
        <v>2559</v>
      </c>
      <c r="F185" s="99" t="s">
        <v>2283</v>
      </c>
      <c r="G185" s="99" t="s">
        <v>1202</v>
      </c>
      <c r="H185" s="42" t="str">
        <f t="shared" si="42"/>
        <v>Urban Travis</v>
      </c>
      <c r="I185" s="44">
        <f>INDEX(FeeCalc!M:M,MATCH(C:C,FeeCalc!F:F,0))</f>
        <v>0</v>
      </c>
      <c r="J185" s="44">
        <f>INDEX(FeeCalc!L:L,MATCH(C:C,FeeCalc!F:F,0))</f>
        <v>109.23331776576805</v>
      </c>
      <c r="K185" s="44">
        <f t="shared" si="43"/>
        <v>109.23331776576805</v>
      </c>
      <c r="L185" s="44">
        <v>0</v>
      </c>
      <c r="M185" s="44">
        <v>412.84</v>
      </c>
      <c r="N185" s="44">
        <f t="shared" si="44"/>
        <v>412.84</v>
      </c>
      <c r="O185" s="44">
        <v>0</v>
      </c>
      <c r="P185" s="44">
        <v>652.81927241289191</v>
      </c>
      <c r="Q185" s="44">
        <f t="shared" si="45"/>
        <v>652.81927241289191</v>
      </c>
      <c r="R185" s="44" t="str">
        <f t="shared" si="46"/>
        <v>No</v>
      </c>
      <c r="S185" s="45" t="str">
        <f t="shared" si="46"/>
        <v>Yes</v>
      </c>
      <c r="T185" s="46">
        <f>ROUND(INDEX(Summary!H:H,MATCH(H:H,Summary!A:A,0)),2)</f>
        <v>0.4</v>
      </c>
      <c r="U185" s="46">
        <f>ROUND(INDEX(Summary!I:I,MATCH(H:H,Summary!A:A,0)),2)</f>
        <v>1.03</v>
      </c>
      <c r="V185" s="79">
        <f t="shared" si="47"/>
        <v>0</v>
      </c>
      <c r="W185" s="79">
        <f t="shared" si="47"/>
        <v>112.5103172987411</v>
      </c>
      <c r="X185" s="44">
        <f t="shared" si="48"/>
        <v>112.5103172987411</v>
      </c>
      <c r="Y185" s="44" t="s">
        <v>2765</v>
      </c>
      <c r="Z185" s="44" t="str">
        <f t="shared" si="49"/>
        <v>No</v>
      </c>
      <c r="AA185" s="44" t="str">
        <f t="shared" si="49"/>
        <v>Yes</v>
      </c>
      <c r="AB185" s="44" t="str">
        <f t="shared" si="50"/>
        <v>Yes</v>
      </c>
      <c r="AC185" s="80">
        <f t="shared" si="57"/>
        <v>0</v>
      </c>
      <c r="AD185" s="80">
        <f t="shared" si="58"/>
        <v>3.45</v>
      </c>
      <c r="AE185" s="44">
        <f t="shared" si="51"/>
        <v>0</v>
      </c>
      <c r="AF185" s="44">
        <f t="shared" si="51"/>
        <v>376.85494629189981</v>
      </c>
      <c r="AG185" s="44">
        <f t="shared" si="52"/>
        <v>376.85494629189981</v>
      </c>
      <c r="AH185" s="46">
        <f>IF(Y185="No",0,IFERROR(ROUNDDOWN(INDEX('90% of ACR'!K:K,MATCH(H:H,'90% of ACR'!A:A,0))*IF(I185&gt;0,IF(O185&gt;0,$R$4*MAX(O185-V185,0),0),0)/I185,2),0))</f>
        <v>0</v>
      </c>
      <c r="AI185" s="80">
        <f>IF(Y185="No",0,IFERROR(ROUNDDOWN(INDEX('90% of ACR'!R:R,MATCH(H:H,'90% of ACR'!A:A,0))*IF(J185&gt;0,IF(P185&gt;0,$R$4*MAX(P185-W185,0),0),0)/J185,2),0))</f>
        <v>1.53</v>
      </c>
      <c r="AJ185" s="44">
        <f t="shared" si="53"/>
        <v>0</v>
      </c>
      <c r="AK185" s="44">
        <f t="shared" si="53"/>
        <v>167.12697618162511</v>
      </c>
      <c r="AL185" s="46">
        <f t="shared" si="54"/>
        <v>0.4</v>
      </c>
      <c r="AM185" s="46">
        <f t="shared" si="54"/>
        <v>2.56</v>
      </c>
      <c r="AN185" s="81">
        <f>IFERROR(INDEX(FeeCalc!P:P,MATCH(C185,FeeCalc!F:F,0)),0)</f>
        <v>279.63729348036622</v>
      </c>
      <c r="AO185" s="81">
        <f>IFERROR(INDEX(FeeCalc!S:S,MATCH(C185,FeeCalc!F:F,0)),0)</f>
        <v>17.849188945555294</v>
      </c>
      <c r="AP185" s="81">
        <f t="shared" si="55"/>
        <v>297.48648242592151</v>
      </c>
      <c r="AQ185" s="68">
        <f t="shared" si="56"/>
        <v>117.07640013168627</v>
      </c>
      <c r="AR185" s="68">
        <f>INDEX('IGT Commitment Suggestions'!H:H,MATCH(G185,'IGT Commitment Suggestions'!A:A,0))*AQ185</f>
        <v>53.79357497625135</v>
      </c>
    </row>
    <row r="186" spans="1:44">
      <c r="A186" s="103" t="s">
        <v>771</v>
      </c>
      <c r="B186" s="123" t="s">
        <v>771</v>
      </c>
      <c r="C186" s="30" t="s">
        <v>772</v>
      </c>
      <c r="D186" s="124" t="s">
        <v>772</v>
      </c>
      <c r="E186" s="119" t="s">
        <v>2660</v>
      </c>
      <c r="F186" s="99" t="s">
        <v>2283</v>
      </c>
      <c r="G186" s="99" t="s">
        <v>300</v>
      </c>
      <c r="H186" s="42" t="str">
        <f t="shared" si="42"/>
        <v>Urban Harris</v>
      </c>
      <c r="I186" s="44">
        <f>INDEX(FeeCalc!M:M,MATCH(C:C,FeeCalc!F:F,0))</f>
        <v>17079573.3018138</v>
      </c>
      <c r="J186" s="44">
        <f>INDEX(FeeCalc!L:L,MATCH(C:C,FeeCalc!F:F,0))</f>
        <v>14280278.57428956</v>
      </c>
      <c r="K186" s="44">
        <f t="shared" si="43"/>
        <v>31359851.87610336</v>
      </c>
      <c r="L186" s="44">
        <v>9559068.8900000006</v>
      </c>
      <c r="M186" s="44">
        <v>1790431.46</v>
      </c>
      <c r="N186" s="44">
        <f t="shared" si="44"/>
        <v>11349500.350000001</v>
      </c>
      <c r="O186" s="44">
        <v>31413110.128751688</v>
      </c>
      <c r="P186" s="44">
        <v>3778734.9923860691</v>
      </c>
      <c r="Q186" s="44">
        <f t="shared" si="45"/>
        <v>35191845.121137753</v>
      </c>
      <c r="R186" s="44" t="str">
        <f t="shared" si="46"/>
        <v>Yes</v>
      </c>
      <c r="S186" s="45" t="str">
        <f t="shared" si="46"/>
        <v>Yes</v>
      </c>
      <c r="T186" s="46">
        <f>ROUND(INDEX(Summary!H:H,MATCH(H:H,Summary!A:A,0)),2)</f>
        <v>1.74</v>
      </c>
      <c r="U186" s="46">
        <f>ROUND(INDEX(Summary!I:I,MATCH(H:H,Summary!A:A,0)),2)</f>
        <v>0.33</v>
      </c>
      <c r="V186" s="79">
        <f t="shared" si="47"/>
        <v>29718457.545156013</v>
      </c>
      <c r="W186" s="79">
        <f t="shared" si="47"/>
        <v>4712491.9295155555</v>
      </c>
      <c r="X186" s="44">
        <f t="shared" si="48"/>
        <v>34430949.474671572</v>
      </c>
      <c r="Y186" s="44" t="s">
        <v>2765</v>
      </c>
      <c r="Z186" s="44" t="str">
        <f t="shared" si="49"/>
        <v>No</v>
      </c>
      <c r="AA186" s="44" t="str">
        <f t="shared" si="49"/>
        <v>No</v>
      </c>
      <c r="AB186" s="44" t="str">
        <f t="shared" si="50"/>
        <v>Yes</v>
      </c>
      <c r="AC186" s="80">
        <f t="shared" si="57"/>
        <v>7.0000000000000007E-2</v>
      </c>
      <c r="AD186" s="80">
        <f t="shared" si="58"/>
        <v>0</v>
      </c>
      <c r="AE186" s="44">
        <f t="shared" si="51"/>
        <v>1195570.1311269661</v>
      </c>
      <c r="AF186" s="44">
        <f t="shared" si="51"/>
        <v>0</v>
      </c>
      <c r="AG186" s="44">
        <f t="shared" si="52"/>
        <v>1195570.1311269661</v>
      </c>
      <c r="AH186" s="46">
        <f>IF(Y186="No",0,IFERROR(ROUNDDOWN(INDEX('90% of ACR'!K:K,MATCH(H:H,'90% of ACR'!A:A,0))*IF(I186&gt;0,IF(O186&gt;0,$R$4*MAX(O186-V186,0),0),0)/I186,2),0))</f>
        <v>0</v>
      </c>
      <c r="AI186" s="80">
        <f>IF(Y186="No",0,IFERROR(ROUNDDOWN(INDEX('90% of ACR'!R:R,MATCH(H:H,'90% of ACR'!A:A,0))*IF(J186&gt;0,IF(P186&gt;0,$R$4*MAX(P186-W186,0),0),0)/J186,2),0))</f>
        <v>0</v>
      </c>
      <c r="AJ186" s="44">
        <f t="shared" si="53"/>
        <v>0</v>
      </c>
      <c r="AK186" s="44">
        <f t="shared" si="53"/>
        <v>0</v>
      </c>
      <c r="AL186" s="46">
        <f t="shared" si="54"/>
        <v>1.74</v>
      </c>
      <c r="AM186" s="46">
        <f t="shared" si="54"/>
        <v>0.33</v>
      </c>
      <c r="AN186" s="81">
        <f>IFERROR(INDEX(FeeCalc!P:P,MATCH(C186,FeeCalc!F:F,0)),0)</f>
        <v>34430949.474671572</v>
      </c>
      <c r="AO186" s="81">
        <f>IFERROR(INDEX(FeeCalc!S:S,MATCH(C186,FeeCalc!F:F,0)),0)</f>
        <v>2141110.3634348116</v>
      </c>
      <c r="AP186" s="81">
        <f t="shared" si="55"/>
        <v>36572059.838106386</v>
      </c>
      <c r="AQ186" s="68">
        <f t="shared" si="56"/>
        <v>14393007.293406446</v>
      </c>
      <c r="AR186" s="68">
        <f>INDEX('IGT Commitment Suggestions'!H:H,MATCH(G186,'IGT Commitment Suggestions'!A:A,0))*AQ186</f>
        <v>6603422.9183020014</v>
      </c>
    </row>
    <row r="187" spans="1:44">
      <c r="A187" s="103" t="s">
        <v>566</v>
      </c>
      <c r="B187" s="123" t="s">
        <v>566</v>
      </c>
      <c r="C187" s="30" t="s">
        <v>567</v>
      </c>
      <c r="D187" s="124" t="s">
        <v>567</v>
      </c>
      <c r="E187" s="119" t="s">
        <v>2871</v>
      </c>
      <c r="F187" s="99" t="s">
        <v>2283</v>
      </c>
      <c r="G187" s="99" t="s">
        <v>300</v>
      </c>
      <c r="H187" s="42" t="str">
        <f t="shared" si="42"/>
        <v>Urban Harris</v>
      </c>
      <c r="I187" s="44">
        <f>INDEX(FeeCalc!M:M,MATCH(C:C,FeeCalc!F:F,0))</f>
        <v>1215302.0907361603</v>
      </c>
      <c r="J187" s="44">
        <f>INDEX(FeeCalc!L:L,MATCH(C:C,FeeCalc!F:F,0))</f>
        <v>1364680.4191583209</v>
      </c>
      <c r="K187" s="44">
        <f t="shared" si="43"/>
        <v>2579982.5098944809</v>
      </c>
      <c r="L187" s="44">
        <v>1659605.47</v>
      </c>
      <c r="M187" s="44">
        <v>711664.57</v>
      </c>
      <c r="N187" s="44">
        <f t="shared" si="44"/>
        <v>2371270.04</v>
      </c>
      <c r="O187" s="44">
        <v>3446372.2868905305</v>
      </c>
      <c r="P187" s="44">
        <v>956824.15877256647</v>
      </c>
      <c r="Q187" s="44">
        <f t="shared" si="45"/>
        <v>4403196.4456630973</v>
      </c>
      <c r="R187" s="44" t="str">
        <f t="shared" si="46"/>
        <v>Yes</v>
      </c>
      <c r="S187" s="45" t="str">
        <f t="shared" si="46"/>
        <v>Yes</v>
      </c>
      <c r="T187" s="46">
        <f>ROUND(INDEX(Summary!H:H,MATCH(H:H,Summary!A:A,0)),2)</f>
        <v>1.74</v>
      </c>
      <c r="U187" s="46">
        <f>ROUND(INDEX(Summary!I:I,MATCH(H:H,Summary!A:A,0)),2)</f>
        <v>0.33</v>
      </c>
      <c r="V187" s="79">
        <f t="shared" si="47"/>
        <v>2114625.637880919</v>
      </c>
      <c r="W187" s="79">
        <f t="shared" si="47"/>
        <v>450344.53832224593</v>
      </c>
      <c r="X187" s="44">
        <f t="shared" si="48"/>
        <v>2564970.1762031652</v>
      </c>
      <c r="Y187" s="44" t="s">
        <v>2765</v>
      </c>
      <c r="Z187" s="44" t="str">
        <f t="shared" si="49"/>
        <v>No</v>
      </c>
      <c r="AA187" s="44" t="str">
        <f t="shared" si="49"/>
        <v>Yes</v>
      </c>
      <c r="AB187" s="44" t="str">
        <f t="shared" si="50"/>
        <v>Yes</v>
      </c>
      <c r="AC187" s="80">
        <f t="shared" si="57"/>
        <v>0.76</v>
      </c>
      <c r="AD187" s="80">
        <f t="shared" si="58"/>
        <v>0.26</v>
      </c>
      <c r="AE187" s="44">
        <f t="shared" si="51"/>
        <v>923629.5889594818</v>
      </c>
      <c r="AF187" s="44">
        <f t="shared" si="51"/>
        <v>354816.90898116346</v>
      </c>
      <c r="AG187" s="44">
        <f t="shared" si="52"/>
        <v>1278446.4979406453</v>
      </c>
      <c r="AH187" s="46">
        <f>IF(Y187="No",0,IFERROR(ROUNDDOWN(INDEX('90% of ACR'!K:K,MATCH(H:H,'90% of ACR'!A:A,0))*IF(I187&gt;0,IF(O187&gt;0,$R$4*MAX(O187-V187,0),0),0)/I187,2),0))</f>
        <v>0</v>
      </c>
      <c r="AI187" s="80">
        <f>IF(Y187="No",0,IFERROR(ROUNDDOWN(INDEX('90% of ACR'!R:R,MATCH(H:H,'90% of ACR'!A:A,0))*IF(J187&gt;0,IF(P187&gt;0,$R$4*MAX(P187-W187,0),0),0)/J187,2),0))</f>
        <v>0.24</v>
      </c>
      <c r="AJ187" s="44">
        <f t="shared" si="53"/>
        <v>0</v>
      </c>
      <c r="AK187" s="44">
        <f t="shared" si="53"/>
        <v>327523.30059799697</v>
      </c>
      <c r="AL187" s="46">
        <f t="shared" si="54"/>
        <v>1.74</v>
      </c>
      <c r="AM187" s="46">
        <f t="shared" si="54"/>
        <v>0.57000000000000006</v>
      </c>
      <c r="AN187" s="81">
        <f>IFERROR(INDEX(FeeCalc!P:P,MATCH(C187,FeeCalc!F:F,0)),0)</f>
        <v>2892493.4768011621</v>
      </c>
      <c r="AO187" s="81">
        <f>IFERROR(INDEX(FeeCalc!S:S,MATCH(C187,FeeCalc!F:F,0)),0)</f>
        <v>182282.39628892022</v>
      </c>
      <c r="AP187" s="81">
        <f t="shared" si="55"/>
        <v>3074775.8730900823</v>
      </c>
      <c r="AQ187" s="68">
        <f t="shared" si="56"/>
        <v>1210084.1944063483</v>
      </c>
      <c r="AR187" s="68">
        <f>INDEX('IGT Commitment Suggestions'!H:H,MATCH(G187,'IGT Commitment Suggestions'!A:A,0))*AQ187</f>
        <v>555179.16023557493</v>
      </c>
    </row>
    <row r="188" spans="1:44">
      <c r="A188" s="103" t="s">
        <v>950</v>
      </c>
      <c r="B188" s="123" t="s">
        <v>950</v>
      </c>
      <c r="C188" s="30" t="s">
        <v>951</v>
      </c>
      <c r="D188" s="124" t="s">
        <v>951</v>
      </c>
      <c r="E188" s="119" t="s">
        <v>2644</v>
      </c>
      <c r="F188" s="99" t="s">
        <v>2283</v>
      </c>
      <c r="G188" s="99" t="s">
        <v>300</v>
      </c>
      <c r="H188" s="42" t="str">
        <f t="shared" si="42"/>
        <v>Urban Harris</v>
      </c>
      <c r="I188" s="44">
        <f>INDEX(FeeCalc!M:M,MATCH(C:C,FeeCalc!F:F,0))</f>
        <v>637353.87665342493</v>
      </c>
      <c r="J188" s="44">
        <f>INDEX(FeeCalc!L:L,MATCH(C:C,FeeCalc!F:F,0))</f>
        <v>2100316.2039067298</v>
      </c>
      <c r="K188" s="44">
        <f t="shared" si="43"/>
        <v>2737670.0805601547</v>
      </c>
      <c r="L188" s="44">
        <v>463899.98</v>
      </c>
      <c r="M188" s="44">
        <v>8413.64</v>
      </c>
      <c r="N188" s="44">
        <f t="shared" si="44"/>
        <v>472313.62</v>
      </c>
      <c r="O188" s="44">
        <v>2056855.3857753891</v>
      </c>
      <c r="P188" s="44">
        <v>333637.13297480531</v>
      </c>
      <c r="Q188" s="44">
        <f t="shared" si="45"/>
        <v>2390492.5187501945</v>
      </c>
      <c r="R188" s="44" t="str">
        <f t="shared" si="46"/>
        <v>Yes</v>
      </c>
      <c r="S188" s="45" t="str">
        <f t="shared" si="46"/>
        <v>Yes</v>
      </c>
      <c r="T188" s="46">
        <f>ROUND(INDEX(Summary!H:H,MATCH(H:H,Summary!A:A,0)),2)</f>
        <v>1.74</v>
      </c>
      <c r="U188" s="46">
        <f>ROUND(INDEX(Summary!I:I,MATCH(H:H,Summary!A:A,0)),2)</f>
        <v>0.33</v>
      </c>
      <c r="V188" s="79">
        <f t="shared" si="47"/>
        <v>1108995.7453769594</v>
      </c>
      <c r="W188" s="79">
        <f t="shared" si="47"/>
        <v>693104.3472892209</v>
      </c>
      <c r="X188" s="44">
        <f t="shared" si="48"/>
        <v>1802100.0926661803</v>
      </c>
      <c r="Y188" s="44" t="s">
        <v>2765</v>
      </c>
      <c r="Z188" s="44" t="str">
        <f t="shared" si="49"/>
        <v>No</v>
      </c>
      <c r="AA188" s="44" t="str">
        <f t="shared" si="49"/>
        <v>No</v>
      </c>
      <c r="AB188" s="44" t="str">
        <f t="shared" si="50"/>
        <v>Yes</v>
      </c>
      <c r="AC188" s="80">
        <f t="shared" si="57"/>
        <v>1.04</v>
      </c>
      <c r="AD188" s="80">
        <f t="shared" si="58"/>
        <v>0</v>
      </c>
      <c r="AE188" s="44">
        <f t="shared" si="51"/>
        <v>662848.0317195619</v>
      </c>
      <c r="AF188" s="44">
        <f t="shared" si="51"/>
        <v>0</v>
      </c>
      <c r="AG188" s="44">
        <f t="shared" si="52"/>
        <v>662848.0317195619</v>
      </c>
      <c r="AH188" s="46">
        <f>IF(Y188="No",0,IFERROR(ROUNDDOWN(INDEX('90% of ACR'!K:K,MATCH(H:H,'90% of ACR'!A:A,0))*IF(I188&gt;0,IF(O188&gt;0,$R$4*MAX(O188-V188,0),0),0)/I188,2),0))</f>
        <v>0</v>
      </c>
      <c r="AI188" s="80">
        <f>IF(Y188="No",0,IFERROR(ROUNDDOWN(INDEX('90% of ACR'!R:R,MATCH(H:H,'90% of ACR'!A:A,0))*IF(J188&gt;0,IF(P188&gt;0,$R$4*MAX(P188-W188,0),0),0)/J188,2),0))</f>
        <v>0</v>
      </c>
      <c r="AJ188" s="44">
        <f t="shared" si="53"/>
        <v>0</v>
      </c>
      <c r="AK188" s="44">
        <f t="shared" si="53"/>
        <v>0</v>
      </c>
      <c r="AL188" s="46">
        <f t="shared" si="54"/>
        <v>1.74</v>
      </c>
      <c r="AM188" s="46">
        <f t="shared" si="54"/>
        <v>0.33</v>
      </c>
      <c r="AN188" s="81">
        <f>IFERROR(INDEX(FeeCalc!P:P,MATCH(C188,FeeCalc!F:F,0)),0)</f>
        <v>1802100.0926661803</v>
      </c>
      <c r="AO188" s="81">
        <f>IFERROR(INDEX(FeeCalc!S:S,MATCH(C188,FeeCalc!F:F,0)),0)</f>
        <v>112183.86608916247</v>
      </c>
      <c r="AP188" s="81">
        <f t="shared" si="55"/>
        <v>1914283.9587553428</v>
      </c>
      <c r="AQ188" s="68">
        <f t="shared" si="56"/>
        <v>753370.28053608269</v>
      </c>
      <c r="AR188" s="68">
        <f>INDEX('IGT Commitment Suggestions'!H:H,MATCH(G188,'IGT Commitment Suggestions'!A:A,0))*AQ188</f>
        <v>345641.63520841009</v>
      </c>
    </row>
    <row r="189" spans="1:44">
      <c r="A189" s="103" t="s">
        <v>572</v>
      </c>
      <c r="B189" s="123" t="s">
        <v>572</v>
      </c>
      <c r="C189" s="30" t="s">
        <v>573</v>
      </c>
      <c r="D189" s="124" t="s">
        <v>573</v>
      </c>
      <c r="E189" s="119" t="s">
        <v>2693</v>
      </c>
      <c r="F189" s="99" t="s">
        <v>2283</v>
      </c>
      <c r="G189" s="99" t="s">
        <v>300</v>
      </c>
      <c r="H189" s="42" t="str">
        <f t="shared" si="42"/>
        <v>Urban Harris</v>
      </c>
      <c r="I189" s="44">
        <f>INDEX(FeeCalc!M:M,MATCH(C:C,FeeCalc!F:F,0))</f>
        <v>36974074.541763164</v>
      </c>
      <c r="J189" s="44">
        <f>INDEX(FeeCalc!L:L,MATCH(C:C,FeeCalc!F:F,0))</f>
        <v>4837715.4806424016</v>
      </c>
      <c r="K189" s="44">
        <f t="shared" si="43"/>
        <v>41811790.022405565</v>
      </c>
      <c r="L189" s="44">
        <v>453437705.91000003</v>
      </c>
      <c r="M189" s="44">
        <v>2057352.62</v>
      </c>
      <c r="N189" s="44">
        <f t="shared" si="44"/>
        <v>455495058.53000003</v>
      </c>
      <c r="O189" s="44">
        <v>125424096.71898788</v>
      </c>
      <c r="P189" s="44">
        <v>1435494.4740157002</v>
      </c>
      <c r="Q189" s="44">
        <f t="shared" si="45"/>
        <v>126859591.19300358</v>
      </c>
      <c r="R189" s="44" t="str">
        <f t="shared" si="46"/>
        <v>Yes</v>
      </c>
      <c r="S189" s="45" t="str">
        <f t="shared" si="46"/>
        <v>Yes</v>
      </c>
      <c r="T189" s="46">
        <f>ROUND(INDEX(Summary!H:H,MATCH(H:H,Summary!A:A,0)),2)</f>
        <v>1.74</v>
      </c>
      <c r="U189" s="46">
        <f>ROUND(INDEX(Summary!I:I,MATCH(H:H,Summary!A:A,0)),2)</f>
        <v>0.33</v>
      </c>
      <c r="V189" s="79">
        <f t="shared" si="47"/>
        <v>64334889.702667907</v>
      </c>
      <c r="W189" s="79">
        <f t="shared" si="47"/>
        <v>1596446.1086119926</v>
      </c>
      <c r="X189" s="44">
        <f t="shared" si="48"/>
        <v>65931335.8112799</v>
      </c>
      <c r="Y189" s="44" t="s">
        <v>2765</v>
      </c>
      <c r="Z189" s="44" t="str">
        <f t="shared" si="49"/>
        <v>No</v>
      </c>
      <c r="AA189" s="44" t="str">
        <f t="shared" si="49"/>
        <v>No</v>
      </c>
      <c r="AB189" s="44" t="str">
        <f t="shared" si="50"/>
        <v>Yes</v>
      </c>
      <c r="AC189" s="80">
        <f t="shared" si="57"/>
        <v>1.1499999999999999</v>
      </c>
      <c r="AD189" s="80">
        <f t="shared" si="58"/>
        <v>0</v>
      </c>
      <c r="AE189" s="44">
        <f t="shared" si="51"/>
        <v>42520185.723027639</v>
      </c>
      <c r="AF189" s="44">
        <f t="shared" si="51"/>
        <v>0</v>
      </c>
      <c r="AG189" s="44">
        <f t="shared" si="52"/>
        <v>42520185.723027639</v>
      </c>
      <c r="AH189" s="46">
        <f>IF(Y189="No",0,IFERROR(ROUNDDOWN(INDEX('90% of ACR'!K:K,MATCH(H:H,'90% of ACR'!A:A,0))*IF(I189&gt;0,IF(O189&gt;0,$R$4*MAX(O189-V189,0),0),0)/I189,2),0))</f>
        <v>0</v>
      </c>
      <c r="AI189" s="80">
        <f>IF(Y189="No",0,IFERROR(ROUNDDOWN(INDEX('90% of ACR'!R:R,MATCH(H:H,'90% of ACR'!A:A,0))*IF(J189&gt;0,IF(P189&gt;0,$R$4*MAX(P189-W189,0),0),0)/J189,2),0))</f>
        <v>0</v>
      </c>
      <c r="AJ189" s="44">
        <f t="shared" si="53"/>
        <v>0</v>
      </c>
      <c r="AK189" s="44">
        <f t="shared" si="53"/>
        <v>0</v>
      </c>
      <c r="AL189" s="46">
        <f t="shared" si="54"/>
        <v>1.74</v>
      </c>
      <c r="AM189" s="46">
        <f t="shared" si="54"/>
        <v>0.33</v>
      </c>
      <c r="AN189" s="81">
        <f>IFERROR(INDEX(FeeCalc!P:P,MATCH(C189,FeeCalc!F:F,0)),0)</f>
        <v>65931335.8112799</v>
      </c>
      <c r="AO189" s="81">
        <f>IFERROR(INDEX(FeeCalc!S:S,MATCH(C189,FeeCalc!F:F,0)),0)</f>
        <v>4023236.1051878654</v>
      </c>
      <c r="AP189" s="81">
        <f t="shared" si="55"/>
        <v>69954571.916467771</v>
      </c>
      <c r="AQ189" s="68">
        <f t="shared" si="56"/>
        <v>27530761.686869726</v>
      </c>
      <c r="AR189" s="68">
        <f>INDEX('IGT Commitment Suggestions'!H:H,MATCH(G189,'IGT Commitment Suggestions'!A:A,0))*AQ189</f>
        <v>12630943.553031411</v>
      </c>
    </row>
    <row r="190" spans="1:44">
      <c r="A190" s="103" t="s">
        <v>874</v>
      </c>
      <c r="B190" s="123" t="s">
        <v>874</v>
      </c>
      <c r="C190" s="30" t="s">
        <v>875</v>
      </c>
      <c r="D190" s="124" t="s">
        <v>875</v>
      </c>
      <c r="E190" s="119" t="s">
        <v>2872</v>
      </c>
      <c r="F190" s="99" t="s">
        <v>2283</v>
      </c>
      <c r="G190" s="99" t="s">
        <v>223</v>
      </c>
      <c r="H190" s="42" t="str">
        <f t="shared" si="42"/>
        <v>Urban Dallas</v>
      </c>
      <c r="I190" s="44">
        <f>INDEX(FeeCalc!M:M,MATCH(C:C,FeeCalc!F:F,0))</f>
        <v>10975276.000685982</v>
      </c>
      <c r="J190" s="44">
        <f>INDEX(FeeCalc!L:L,MATCH(C:C,FeeCalc!F:F,0))</f>
        <v>3823830.5301641431</v>
      </c>
      <c r="K190" s="44">
        <f t="shared" si="43"/>
        <v>14799106.530850125</v>
      </c>
      <c r="L190" s="44">
        <v>9349464.1300000008</v>
      </c>
      <c r="M190" s="44">
        <v>2269516.79</v>
      </c>
      <c r="N190" s="44">
        <f t="shared" si="44"/>
        <v>11618980.920000002</v>
      </c>
      <c r="O190" s="44">
        <v>25148065.997533202</v>
      </c>
      <c r="P190" s="44">
        <v>4812489.5380218336</v>
      </c>
      <c r="Q190" s="44">
        <f t="shared" si="45"/>
        <v>29960555.535555035</v>
      </c>
      <c r="R190" s="44" t="str">
        <f t="shared" si="46"/>
        <v>Yes</v>
      </c>
      <c r="S190" s="45" t="str">
        <f t="shared" si="46"/>
        <v>Yes</v>
      </c>
      <c r="T190" s="46">
        <f>ROUND(INDEX(Summary!H:H,MATCH(H:H,Summary!A:A,0)),2)</f>
        <v>0.6</v>
      </c>
      <c r="U190" s="46">
        <f>ROUND(INDEX(Summary!I:I,MATCH(H:H,Summary!A:A,0)),2)</f>
        <v>0.3</v>
      </c>
      <c r="V190" s="79">
        <f t="shared" si="47"/>
        <v>6585165.6004115893</v>
      </c>
      <c r="W190" s="79">
        <f t="shared" si="47"/>
        <v>1147149.159049243</v>
      </c>
      <c r="X190" s="44">
        <f t="shared" si="48"/>
        <v>7732314.759460832</v>
      </c>
      <c r="Y190" s="44" t="s">
        <v>2765</v>
      </c>
      <c r="Z190" s="44" t="str">
        <f t="shared" si="49"/>
        <v>Yes</v>
      </c>
      <c r="AA190" s="44" t="str">
        <f t="shared" si="49"/>
        <v>Yes</v>
      </c>
      <c r="AB190" s="44" t="str">
        <f t="shared" si="50"/>
        <v>Yes</v>
      </c>
      <c r="AC190" s="80">
        <f t="shared" si="57"/>
        <v>1.18</v>
      </c>
      <c r="AD190" s="80">
        <f t="shared" si="58"/>
        <v>0.67</v>
      </c>
      <c r="AE190" s="44">
        <f t="shared" si="51"/>
        <v>12950825.680809459</v>
      </c>
      <c r="AF190" s="44">
        <f t="shared" si="51"/>
        <v>2561966.4552099761</v>
      </c>
      <c r="AG190" s="44">
        <f t="shared" si="52"/>
        <v>15512792.136019435</v>
      </c>
      <c r="AH190" s="46">
        <f>IF(Y190="No",0,IFERROR(ROUNDDOWN(INDEX('90% of ACR'!K:K,MATCH(H:H,'90% of ACR'!A:A,0))*IF(I190&gt;0,IF(O190&gt;0,$R$4*MAX(O190-V190,0),0),0)/I190,2),0))</f>
        <v>1.17</v>
      </c>
      <c r="AI190" s="80">
        <f>IF(Y190="No",0,IFERROR(ROUNDDOWN(INDEX('90% of ACR'!R:R,MATCH(H:H,'90% of ACR'!A:A,0))*IF(J190&gt;0,IF(P190&gt;0,$R$4*MAX(P190-W190,0),0),0)/J190,2),0))</f>
        <v>0.66</v>
      </c>
      <c r="AJ190" s="44">
        <f t="shared" si="53"/>
        <v>12841072.920802599</v>
      </c>
      <c r="AK190" s="44">
        <f t="shared" si="53"/>
        <v>2523728.1499083345</v>
      </c>
      <c r="AL190" s="46">
        <f t="shared" si="54"/>
        <v>1.77</v>
      </c>
      <c r="AM190" s="46">
        <f t="shared" si="54"/>
        <v>0.96</v>
      </c>
      <c r="AN190" s="81">
        <f>IFERROR(INDEX(FeeCalc!P:P,MATCH(C190,FeeCalc!F:F,0)),0)</f>
        <v>23097115.830171768</v>
      </c>
      <c r="AO190" s="81">
        <f>IFERROR(INDEX(FeeCalc!S:S,MATCH(C190,FeeCalc!F:F,0)),0)</f>
        <v>1441991.227113659</v>
      </c>
      <c r="AP190" s="81">
        <f t="shared" si="55"/>
        <v>24539107.057285428</v>
      </c>
      <c r="AQ190" s="68">
        <f t="shared" si="56"/>
        <v>9657414.6606087945</v>
      </c>
      <c r="AR190" s="68">
        <f>INDEX('IGT Commitment Suggestions'!H:H,MATCH(G190,'IGT Commitment Suggestions'!A:A,0))*AQ190</f>
        <v>4416661.4936435372</v>
      </c>
    </row>
    <row r="191" spans="1:44">
      <c r="A191" s="103" t="s">
        <v>880</v>
      </c>
      <c r="B191" s="123" t="s">
        <v>880</v>
      </c>
      <c r="C191" s="30" t="s">
        <v>881</v>
      </c>
      <c r="D191" s="124" t="s">
        <v>881</v>
      </c>
      <c r="E191" s="119" t="s">
        <v>2873</v>
      </c>
      <c r="F191" s="99" t="s">
        <v>2283</v>
      </c>
      <c r="G191" s="99" t="s">
        <v>223</v>
      </c>
      <c r="H191" s="42" t="str">
        <f t="shared" si="42"/>
        <v>Urban Dallas</v>
      </c>
      <c r="I191" s="44">
        <f>INDEX(FeeCalc!M:M,MATCH(C:C,FeeCalc!F:F,0))</f>
        <v>21592208.845857497</v>
      </c>
      <c r="J191" s="44">
        <f>INDEX(FeeCalc!L:L,MATCH(C:C,FeeCalc!F:F,0))</f>
        <v>4437466.8207737319</v>
      </c>
      <c r="K191" s="44">
        <f t="shared" si="43"/>
        <v>26029675.666631229</v>
      </c>
      <c r="L191" s="44">
        <v>17277809.390000001</v>
      </c>
      <c r="M191" s="44">
        <v>4791843.9000000004</v>
      </c>
      <c r="N191" s="44">
        <f t="shared" si="44"/>
        <v>22069653.289999999</v>
      </c>
      <c r="O191" s="44">
        <v>36769859.660057321</v>
      </c>
      <c r="P191" s="44">
        <v>7424692.8130317098</v>
      </c>
      <c r="Q191" s="44">
        <f t="shared" si="45"/>
        <v>44194552.473089032</v>
      </c>
      <c r="R191" s="44" t="str">
        <f t="shared" si="46"/>
        <v>Yes</v>
      </c>
      <c r="S191" s="45" t="str">
        <f t="shared" si="46"/>
        <v>Yes</v>
      </c>
      <c r="T191" s="46">
        <f>ROUND(INDEX(Summary!H:H,MATCH(H:H,Summary!A:A,0)),2)</f>
        <v>0.6</v>
      </c>
      <c r="U191" s="46">
        <f>ROUND(INDEX(Summary!I:I,MATCH(H:H,Summary!A:A,0)),2)</f>
        <v>0.3</v>
      </c>
      <c r="V191" s="79">
        <f t="shared" si="47"/>
        <v>12955325.307514498</v>
      </c>
      <c r="W191" s="79">
        <f t="shared" si="47"/>
        <v>1331240.0462321194</v>
      </c>
      <c r="X191" s="44">
        <f t="shared" si="48"/>
        <v>14286565.353746617</v>
      </c>
      <c r="Y191" s="44" t="s">
        <v>2765</v>
      </c>
      <c r="Z191" s="44" t="str">
        <f t="shared" si="49"/>
        <v>Yes</v>
      </c>
      <c r="AA191" s="44" t="str">
        <f t="shared" si="49"/>
        <v>Yes</v>
      </c>
      <c r="AB191" s="44" t="str">
        <f t="shared" si="50"/>
        <v>Yes</v>
      </c>
      <c r="AC191" s="80">
        <f t="shared" si="57"/>
        <v>0.77</v>
      </c>
      <c r="AD191" s="80">
        <f t="shared" si="58"/>
        <v>0.96</v>
      </c>
      <c r="AE191" s="44">
        <f t="shared" si="51"/>
        <v>16626000.811310273</v>
      </c>
      <c r="AF191" s="44">
        <f t="shared" si="51"/>
        <v>4259968.1479427824</v>
      </c>
      <c r="AG191" s="44">
        <f t="shared" si="52"/>
        <v>20885968.959253054</v>
      </c>
      <c r="AH191" s="46">
        <f>IF(Y191="No",0,IFERROR(ROUNDDOWN(INDEX('90% of ACR'!K:K,MATCH(H:H,'90% of ACR'!A:A,0))*IF(I191&gt;0,IF(O191&gt;0,$R$4*MAX(O191-V191,0),0),0)/I191,2),0))</f>
        <v>0.76</v>
      </c>
      <c r="AI191" s="80">
        <f>IF(Y191="No",0,IFERROR(ROUNDDOWN(INDEX('90% of ACR'!R:R,MATCH(H:H,'90% of ACR'!A:A,0))*IF(J191&gt;0,IF(P191&gt;0,$R$4*MAX(P191-W191,0),0),0)/J191,2),0))</f>
        <v>0.95</v>
      </c>
      <c r="AJ191" s="44">
        <f t="shared" si="53"/>
        <v>16410078.722851697</v>
      </c>
      <c r="AK191" s="44">
        <f t="shared" si="53"/>
        <v>4215593.4797350448</v>
      </c>
      <c r="AL191" s="46">
        <f t="shared" si="54"/>
        <v>1.3599999999999999</v>
      </c>
      <c r="AM191" s="46">
        <f t="shared" si="54"/>
        <v>1.25</v>
      </c>
      <c r="AN191" s="81">
        <f>IFERROR(INDEX(FeeCalc!P:P,MATCH(C191,FeeCalc!F:F,0)),0)</f>
        <v>34912237.556333356</v>
      </c>
      <c r="AO191" s="81">
        <f>IFERROR(INDEX(FeeCalc!S:S,MATCH(C191,FeeCalc!F:F,0)),0)</f>
        <v>2170410.6351053426</v>
      </c>
      <c r="AP191" s="81">
        <f t="shared" si="55"/>
        <v>37082648.191438697</v>
      </c>
      <c r="AQ191" s="68">
        <f t="shared" si="56"/>
        <v>14593950.361037083</v>
      </c>
      <c r="AR191" s="68">
        <f>INDEX('IGT Commitment Suggestions'!H:H,MATCH(G191,'IGT Commitment Suggestions'!A:A,0))*AQ191</f>
        <v>6674305.7914502351</v>
      </c>
    </row>
    <row r="192" spans="1:44">
      <c r="A192" s="103" t="s">
        <v>264</v>
      </c>
      <c r="B192" s="123" t="s">
        <v>264</v>
      </c>
      <c r="C192" s="30" t="s">
        <v>265</v>
      </c>
      <c r="D192" s="124" t="s">
        <v>265</v>
      </c>
      <c r="E192" s="119" t="s">
        <v>2874</v>
      </c>
      <c r="F192" s="99" t="s">
        <v>2283</v>
      </c>
      <c r="G192" s="99" t="s">
        <v>1365</v>
      </c>
      <c r="H192" s="42" t="str">
        <f t="shared" si="42"/>
        <v>Urban Tarrant</v>
      </c>
      <c r="I192" s="44">
        <f>INDEX(FeeCalc!M:M,MATCH(C:C,FeeCalc!F:F,0))</f>
        <v>2919124.2146978583</v>
      </c>
      <c r="J192" s="44">
        <f>INDEX(FeeCalc!L:L,MATCH(C:C,FeeCalc!F:F,0))</f>
        <v>1263023.7488228218</v>
      </c>
      <c r="K192" s="44">
        <f t="shared" si="43"/>
        <v>4182147.9635206801</v>
      </c>
      <c r="L192" s="44">
        <v>1592240.71</v>
      </c>
      <c r="M192" s="44">
        <v>852969.2</v>
      </c>
      <c r="N192" s="44">
        <f t="shared" si="44"/>
        <v>2445209.91</v>
      </c>
      <c r="O192" s="44">
        <v>8037141.424306456</v>
      </c>
      <c r="P192" s="44">
        <v>1754510.0209341282</v>
      </c>
      <c r="Q192" s="44">
        <f t="shared" si="45"/>
        <v>9791651.4452405833</v>
      </c>
      <c r="R192" s="44" t="str">
        <f t="shared" si="46"/>
        <v>Yes</v>
      </c>
      <c r="S192" s="45" t="str">
        <f t="shared" si="46"/>
        <v>Yes</v>
      </c>
      <c r="T192" s="46">
        <f>ROUND(INDEX(Summary!H:H,MATCH(H:H,Summary!A:A,0)),2)</f>
        <v>0.84</v>
      </c>
      <c r="U192" s="46">
        <f>ROUND(INDEX(Summary!I:I,MATCH(H:H,Summary!A:A,0)),2)</f>
        <v>0.55000000000000004</v>
      </c>
      <c r="V192" s="79">
        <f t="shared" si="47"/>
        <v>2452064.3403462009</v>
      </c>
      <c r="W192" s="79">
        <f t="shared" si="47"/>
        <v>694663.061852552</v>
      </c>
      <c r="X192" s="44">
        <f t="shared" si="48"/>
        <v>3146727.4021987529</v>
      </c>
      <c r="Y192" s="44" t="s">
        <v>2765</v>
      </c>
      <c r="Z192" s="44" t="str">
        <f t="shared" si="49"/>
        <v>Yes</v>
      </c>
      <c r="AA192" s="44" t="str">
        <f t="shared" si="49"/>
        <v>Yes</v>
      </c>
      <c r="AB192" s="44" t="str">
        <f t="shared" si="50"/>
        <v>Yes</v>
      </c>
      <c r="AC192" s="80">
        <f t="shared" si="57"/>
        <v>1.33</v>
      </c>
      <c r="AD192" s="80">
        <f t="shared" si="58"/>
        <v>0.57999999999999996</v>
      </c>
      <c r="AE192" s="44">
        <f t="shared" si="51"/>
        <v>3882435.2055481519</v>
      </c>
      <c r="AF192" s="44">
        <f t="shared" si="51"/>
        <v>732553.77431723662</v>
      </c>
      <c r="AG192" s="44">
        <f t="shared" si="52"/>
        <v>4614988.9798653889</v>
      </c>
      <c r="AH192" s="46">
        <f>IF(Y192="No",0,IFERROR(ROUNDDOWN(INDEX('90% of ACR'!K:K,MATCH(H:H,'90% of ACR'!A:A,0))*IF(I192&gt;0,IF(O192&gt;0,$R$4*MAX(O192-V192,0),0),0)/I192,2),0))</f>
        <v>1.33</v>
      </c>
      <c r="AI192" s="80">
        <f>IF(Y192="No",0,IFERROR(ROUNDDOWN(INDEX('90% of ACR'!R:R,MATCH(H:H,'90% of ACR'!A:A,0))*IF(J192&gt;0,IF(P192&gt;0,$R$4*MAX(P192-W192,0),0),0)/J192,2),0))</f>
        <v>0.56000000000000005</v>
      </c>
      <c r="AJ192" s="44">
        <f t="shared" si="53"/>
        <v>3882435.2055481519</v>
      </c>
      <c r="AK192" s="44">
        <f t="shared" si="53"/>
        <v>707293.29934078024</v>
      </c>
      <c r="AL192" s="46">
        <f t="shared" si="54"/>
        <v>2.17</v>
      </c>
      <c r="AM192" s="46">
        <f t="shared" si="54"/>
        <v>1.1100000000000001</v>
      </c>
      <c r="AN192" s="81">
        <f>IFERROR(INDEX(FeeCalc!P:P,MATCH(C192,FeeCalc!F:F,0)),0)</f>
        <v>7736455.9070876855</v>
      </c>
      <c r="AO192" s="81">
        <f>IFERROR(INDEX(FeeCalc!S:S,MATCH(C192,FeeCalc!F:F,0)),0)</f>
        <v>477796.7985357276</v>
      </c>
      <c r="AP192" s="81">
        <f t="shared" si="55"/>
        <v>8214252.7056234134</v>
      </c>
      <c r="AQ192" s="68">
        <f t="shared" si="56"/>
        <v>3232735.5808035056</v>
      </c>
      <c r="AR192" s="68">
        <f>INDEX('IGT Commitment Suggestions'!H:H,MATCH(G192,'IGT Commitment Suggestions'!A:A,0))*AQ192</f>
        <v>1474419.9353615479</v>
      </c>
    </row>
    <row r="193" spans="1:44">
      <c r="A193" s="103" t="s">
        <v>267</v>
      </c>
      <c r="B193" s="123" t="s">
        <v>267</v>
      </c>
      <c r="C193" s="30" t="s">
        <v>268</v>
      </c>
      <c r="D193" s="124" t="s">
        <v>268</v>
      </c>
      <c r="E193" s="119" t="s">
        <v>2875</v>
      </c>
      <c r="F193" s="99" t="s">
        <v>2283</v>
      </c>
      <c r="G193" s="99" t="s">
        <v>223</v>
      </c>
      <c r="H193" s="42" t="str">
        <f t="shared" si="42"/>
        <v>Urban Dallas</v>
      </c>
      <c r="I193" s="44">
        <f>INDEX(FeeCalc!M:M,MATCH(C:C,FeeCalc!F:F,0))</f>
        <v>5493655.5940597393</v>
      </c>
      <c r="J193" s="44">
        <f>INDEX(FeeCalc!L:L,MATCH(C:C,FeeCalc!F:F,0))</f>
        <v>1623068.6796948363</v>
      </c>
      <c r="K193" s="44">
        <f t="shared" si="43"/>
        <v>7116724.2737545753</v>
      </c>
      <c r="L193" s="44">
        <v>2684742.61</v>
      </c>
      <c r="M193" s="44">
        <v>1041140.45</v>
      </c>
      <c r="N193" s="44">
        <f t="shared" si="44"/>
        <v>3725883.0599999996</v>
      </c>
      <c r="O193" s="44">
        <v>13030173.103443114</v>
      </c>
      <c r="P193" s="44">
        <v>1731444.954709867</v>
      </c>
      <c r="Q193" s="44">
        <f t="shared" si="45"/>
        <v>14761618.058152981</v>
      </c>
      <c r="R193" s="44" t="str">
        <f t="shared" si="46"/>
        <v>Yes</v>
      </c>
      <c r="S193" s="45" t="str">
        <f t="shared" si="46"/>
        <v>Yes</v>
      </c>
      <c r="T193" s="46">
        <f>ROUND(INDEX(Summary!H:H,MATCH(H:H,Summary!A:A,0)),2)</f>
        <v>0.6</v>
      </c>
      <c r="U193" s="46">
        <f>ROUND(INDEX(Summary!I:I,MATCH(H:H,Summary!A:A,0)),2)</f>
        <v>0.3</v>
      </c>
      <c r="V193" s="79">
        <f t="shared" si="47"/>
        <v>3296193.3564358433</v>
      </c>
      <c r="W193" s="79">
        <f t="shared" si="47"/>
        <v>486920.60390845087</v>
      </c>
      <c r="X193" s="44">
        <f t="shared" si="48"/>
        <v>3783113.9603442941</v>
      </c>
      <c r="Y193" s="44" t="s">
        <v>2765</v>
      </c>
      <c r="Z193" s="44" t="str">
        <f t="shared" si="49"/>
        <v>Yes</v>
      </c>
      <c r="AA193" s="44" t="str">
        <f t="shared" si="49"/>
        <v>Yes</v>
      </c>
      <c r="AB193" s="44" t="str">
        <f t="shared" si="50"/>
        <v>Yes</v>
      </c>
      <c r="AC193" s="80">
        <f t="shared" si="57"/>
        <v>1.23</v>
      </c>
      <c r="AD193" s="80">
        <f t="shared" si="58"/>
        <v>0.53</v>
      </c>
      <c r="AE193" s="44">
        <f t="shared" si="51"/>
        <v>6757196.3806934794</v>
      </c>
      <c r="AF193" s="44">
        <f t="shared" si="51"/>
        <v>860226.4002382633</v>
      </c>
      <c r="AG193" s="44">
        <f t="shared" si="52"/>
        <v>7617422.7809317429</v>
      </c>
      <c r="AH193" s="46">
        <f>IF(Y193="No",0,IFERROR(ROUNDDOWN(INDEX('90% of ACR'!K:K,MATCH(H:H,'90% of ACR'!A:A,0))*IF(I193&gt;0,IF(O193&gt;0,$R$4*MAX(O193-V193,0),0),0)/I193,2),0))</f>
        <v>1.23</v>
      </c>
      <c r="AI193" s="80">
        <f>IF(Y193="No",0,IFERROR(ROUNDDOWN(INDEX('90% of ACR'!R:R,MATCH(H:H,'90% of ACR'!A:A,0))*IF(J193&gt;0,IF(P193&gt;0,$R$4*MAX(P193-W193,0),0),0)/J193,2),0))</f>
        <v>0.53</v>
      </c>
      <c r="AJ193" s="44">
        <f t="shared" si="53"/>
        <v>6757196.3806934794</v>
      </c>
      <c r="AK193" s="44">
        <f t="shared" si="53"/>
        <v>860226.4002382633</v>
      </c>
      <c r="AL193" s="46">
        <f t="shared" si="54"/>
        <v>1.83</v>
      </c>
      <c r="AM193" s="46">
        <f t="shared" si="54"/>
        <v>0.83000000000000007</v>
      </c>
      <c r="AN193" s="81">
        <f>IFERROR(INDEX(FeeCalc!P:P,MATCH(C193,FeeCalc!F:F,0)),0)</f>
        <v>11400536.741276037</v>
      </c>
      <c r="AO193" s="81">
        <f>IFERROR(INDEX(FeeCalc!S:S,MATCH(C193,FeeCalc!F:F,0)),0)</f>
        <v>703976.24212008168</v>
      </c>
      <c r="AP193" s="81">
        <f t="shared" si="55"/>
        <v>12104512.983396119</v>
      </c>
      <c r="AQ193" s="68">
        <f t="shared" si="56"/>
        <v>4763755.2936415095</v>
      </c>
      <c r="AR193" s="68">
        <f>INDEX('IGT Commitment Suggestions'!H:H,MATCH(G193,'IGT Commitment Suggestions'!A:A,0))*AQ193</f>
        <v>2178625.98945717</v>
      </c>
    </row>
    <row r="194" spans="1:44">
      <c r="A194" s="103" t="s">
        <v>237</v>
      </c>
      <c r="B194" s="123" t="s">
        <v>2695</v>
      </c>
      <c r="C194" s="30" t="s">
        <v>238</v>
      </c>
      <c r="D194" s="124" t="s">
        <v>238</v>
      </c>
      <c r="E194" s="119" t="s">
        <v>2696</v>
      </c>
      <c r="F194" s="99" t="s">
        <v>2283</v>
      </c>
      <c r="G194" s="99" t="s">
        <v>1526</v>
      </c>
      <c r="H194" s="42" t="str">
        <f t="shared" si="42"/>
        <v>Urban Lubbock</v>
      </c>
      <c r="I194" s="44">
        <f>INDEX(FeeCalc!M:M,MATCH(C:C,FeeCalc!F:F,0))</f>
        <v>34392.485335725985</v>
      </c>
      <c r="J194" s="44">
        <f>INDEX(FeeCalc!L:L,MATCH(C:C,FeeCalc!F:F,0))</f>
        <v>21435.362282638245</v>
      </c>
      <c r="K194" s="44">
        <f t="shared" si="43"/>
        <v>55827.847618364234</v>
      </c>
      <c r="L194" s="44">
        <v>38722.36</v>
      </c>
      <c r="M194" s="44">
        <v>111576.06</v>
      </c>
      <c r="N194" s="44">
        <f t="shared" si="44"/>
        <v>150298.41999999998</v>
      </c>
      <c r="O194" s="44">
        <v>63024.893887591912</v>
      </c>
      <c r="P194" s="44">
        <v>102721.42419352072</v>
      </c>
      <c r="Q194" s="44">
        <f t="shared" si="45"/>
        <v>165746.31808111264</v>
      </c>
      <c r="R194" s="44" t="str">
        <f t="shared" si="46"/>
        <v>Yes</v>
      </c>
      <c r="S194" s="45" t="str">
        <f t="shared" si="46"/>
        <v>Yes</v>
      </c>
      <c r="T194" s="46">
        <f>ROUND(INDEX(Summary!H:H,MATCH(H:H,Summary!A:A,0)),2)</f>
        <v>0</v>
      </c>
      <c r="U194" s="46">
        <f>ROUND(INDEX(Summary!I:I,MATCH(H:H,Summary!A:A,0)),2)</f>
        <v>0.66</v>
      </c>
      <c r="V194" s="79">
        <f t="shared" si="47"/>
        <v>0</v>
      </c>
      <c r="W194" s="79">
        <f t="shared" si="47"/>
        <v>14147.339106541243</v>
      </c>
      <c r="X194" s="44">
        <f t="shared" si="48"/>
        <v>14147.339106541243</v>
      </c>
      <c r="Y194" s="44" t="s">
        <v>2765</v>
      </c>
      <c r="Z194" s="44" t="str">
        <f t="shared" si="49"/>
        <v>Yes</v>
      </c>
      <c r="AA194" s="44" t="str">
        <f t="shared" si="49"/>
        <v>Yes</v>
      </c>
      <c r="AB194" s="44" t="str">
        <f t="shared" si="50"/>
        <v>Yes</v>
      </c>
      <c r="AC194" s="80">
        <f t="shared" si="57"/>
        <v>1.28</v>
      </c>
      <c r="AD194" s="80">
        <f t="shared" si="58"/>
        <v>2.88</v>
      </c>
      <c r="AE194" s="44">
        <f t="shared" si="51"/>
        <v>44022.381229729261</v>
      </c>
      <c r="AF194" s="44">
        <f t="shared" si="51"/>
        <v>61733.843373998141</v>
      </c>
      <c r="AG194" s="44">
        <f t="shared" si="52"/>
        <v>105756.2246037274</v>
      </c>
      <c r="AH194" s="46">
        <f>IF(Y194="No",0,IFERROR(ROUNDDOWN(INDEX('90% of ACR'!K:K,MATCH(H:H,'90% of ACR'!A:A,0))*IF(I194&gt;0,IF(O194&gt;0,$R$4*MAX(O194-V194,0),0),0)/I194,2),0))</f>
        <v>0.47</v>
      </c>
      <c r="AI194" s="80">
        <f>IF(Y194="No",0,IFERROR(ROUNDDOWN(INDEX('90% of ACR'!R:R,MATCH(H:H,'90% of ACR'!A:A,0))*IF(J194&gt;0,IF(P194&gt;0,$R$4*MAX(P194-W194,0),0),0)/J194,2),0))</f>
        <v>2.61</v>
      </c>
      <c r="AJ194" s="44">
        <f t="shared" si="53"/>
        <v>16164.468107791212</v>
      </c>
      <c r="AK194" s="44">
        <f t="shared" si="53"/>
        <v>55946.295557685815</v>
      </c>
      <c r="AL194" s="46">
        <f t="shared" si="54"/>
        <v>0.47</v>
      </c>
      <c r="AM194" s="46">
        <f t="shared" si="54"/>
        <v>3.27</v>
      </c>
      <c r="AN194" s="81">
        <f>IFERROR(INDEX(FeeCalc!P:P,MATCH(C194,FeeCalc!F:F,0)),0)</f>
        <v>86258.102772018276</v>
      </c>
      <c r="AO194" s="81">
        <f>IFERROR(INDEX(FeeCalc!S:S,MATCH(C194,FeeCalc!F:F,0)),0)</f>
        <v>5390.3924820042457</v>
      </c>
      <c r="AP194" s="81">
        <f t="shared" si="55"/>
        <v>91648.49525402252</v>
      </c>
      <c r="AQ194" s="68">
        <f t="shared" si="56"/>
        <v>36068.448604211073</v>
      </c>
      <c r="AR194" s="68">
        <f>INDEX('IGT Commitment Suggestions'!H:H,MATCH(G194,'IGT Commitment Suggestions'!A:A,0))*AQ194</f>
        <v>16517.785114172199</v>
      </c>
    </row>
    <row r="195" spans="1:44">
      <c r="A195" s="103" t="s">
        <v>926</v>
      </c>
      <c r="B195" s="123" t="s">
        <v>926</v>
      </c>
      <c r="C195" s="30" t="s">
        <v>927</v>
      </c>
      <c r="D195" s="124" t="s">
        <v>927</v>
      </c>
      <c r="E195" s="119" t="s">
        <v>2876</v>
      </c>
      <c r="F195" s="99" t="s">
        <v>2295</v>
      </c>
      <c r="G195" s="99" t="s">
        <v>227</v>
      </c>
      <c r="H195" s="42" t="str">
        <f t="shared" si="42"/>
        <v>Rural MRSA West</v>
      </c>
      <c r="I195" s="44">
        <f>INDEX(FeeCalc!M:M,MATCH(C:C,FeeCalc!F:F,0))</f>
        <v>8295.3860407376087</v>
      </c>
      <c r="J195" s="44">
        <f>INDEX(FeeCalc!L:L,MATCH(C:C,FeeCalc!F:F,0))</f>
        <v>69220.147571840032</v>
      </c>
      <c r="K195" s="44">
        <f t="shared" si="43"/>
        <v>77515.533612577638</v>
      </c>
      <c r="L195" s="44">
        <v>16263.6</v>
      </c>
      <c r="M195" s="44">
        <v>4554.5600000000004</v>
      </c>
      <c r="N195" s="44">
        <f t="shared" si="44"/>
        <v>20818.16</v>
      </c>
      <c r="O195" s="44">
        <v>-4151.8835150594778</v>
      </c>
      <c r="P195" s="44">
        <v>-3971.1775533014807</v>
      </c>
      <c r="Q195" s="44">
        <f t="shared" si="45"/>
        <v>-8123.0610683609584</v>
      </c>
      <c r="R195" s="44" t="str">
        <f t="shared" si="46"/>
        <v>No</v>
      </c>
      <c r="S195" s="45" t="str">
        <f t="shared" si="46"/>
        <v>No</v>
      </c>
      <c r="T195" s="46">
        <f>ROUND(INDEX(Summary!H:H,MATCH(H:H,Summary!A:A,0)),2)</f>
        <v>0</v>
      </c>
      <c r="U195" s="46">
        <f>ROUND(INDEX(Summary!I:I,MATCH(H:H,Summary!A:A,0)),2)</f>
        <v>0.18</v>
      </c>
      <c r="V195" s="79">
        <f t="shared" si="47"/>
        <v>0</v>
      </c>
      <c r="W195" s="79">
        <f t="shared" si="47"/>
        <v>12459.626562931206</v>
      </c>
      <c r="X195" s="44">
        <f t="shared" si="48"/>
        <v>12459.626562931206</v>
      </c>
      <c r="Y195" s="44" t="s">
        <v>2765</v>
      </c>
      <c r="Z195" s="44" t="str">
        <f t="shared" si="49"/>
        <v>No</v>
      </c>
      <c r="AA195" s="44" t="str">
        <f t="shared" si="49"/>
        <v>No</v>
      </c>
      <c r="AB195" s="44" t="str">
        <f t="shared" si="50"/>
        <v>No</v>
      </c>
      <c r="AC195" s="80">
        <f t="shared" si="57"/>
        <v>0</v>
      </c>
      <c r="AD195" s="80">
        <f t="shared" si="58"/>
        <v>0</v>
      </c>
      <c r="AE195" s="44">
        <f t="shared" si="51"/>
        <v>0</v>
      </c>
      <c r="AF195" s="44">
        <f t="shared" si="51"/>
        <v>0</v>
      </c>
      <c r="AG195" s="44">
        <f t="shared" si="52"/>
        <v>0</v>
      </c>
      <c r="AH195" s="46">
        <f>IF(Y195="No",0,IFERROR(ROUNDDOWN(INDEX('90% of ACR'!K:K,MATCH(H:H,'90% of ACR'!A:A,0))*IF(I195&gt;0,IF(O195&gt;0,$R$4*MAX(O195-V195,0),0),0)/I195,2),0))</f>
        <v>0</v>
      </c>
      <c r="AI195" s="80">
        <f>IF(Y195="No",0,IFERROR(ROUNDDOWN(INDEX('90% of ACR'!R:R,MATCH(H:H,'90% of ACR'!A:A,0))*IF(J195&gt;0,IF(P195&gt;0,$R$4*MAX(P195-W195,0),0),0)/J195,2),0))</f>
        <v>0</v>
      </c>
      <c r="AJ195" s="44">
        <f t="shared" si="53"/>
        <v>0</v>
      </c>
      <c r="AK195" s="44">
        <f t="shared" si="53"/>
        <v>0</v>
      </c>
      <c r="AL195" s="46">
        <f t="shared" si="54"/>
        <v>0</v>
      </c>
      <c r="AM195" s="46">
        <f t="shared" si="54"/>
        <v>0.18</v>
      </c>
      <c r="AN195" s="81">
        <f>IFERROR(INDEX(FeeCalc!P:P,MATCH(C195,FeeCalc!F:F,0)),0)</f>
        <v>12459.626562931206</v>
      </c>
      <c r="AO195" s="81">
        <f>IFERROR(INDEX(FeeCalc!S:S,MATCH(C195,FeeCalc!F:F,0)),0)</f>
        <v>763.94864081181072</v>
      </c>
      <c r="AP195" s="81">
        <f t="shared" si="55"/>
        <v>13223.575203743016</v>
      </c>
      <c r="AQ195" s="68">
        <f t="shared" si="56"/>
        <v>5204.1644685834717</v>
      </c>
      <c r="AR195" s="68">
        <f>INDEX('IGT Commitment Suggestions'!H:H,MATCH(G195,'IGT Commitment Suggestions'!A:A,0))*AQ195</f>
        <v>2550.3718383239097</v>
      </c>
    </row>
    <row r="196" spans="1:44">
      <c r="A196" s="103" t="s">
        <v>1025</v>
      </c>
      <c r="B196" s="123" t="s">
        <v>1025</v>
      </c>
      <c r="C196" s="30" t="s">
        <v>1026</v>
      </c>
      <c r="D196" s="124" t="s">
        <v>1026</v>
      </c>
      <c r="E196" s="119" t="s">
        <v>2463</v>
      </c>
      <c r="F196" s="99" t="s">
        <v>2295</v>
      </c>
      <c r="G196" s="99" t="s">
        <v>1202</v>
      </c>
      <c r="H196" s="42" t="str">
        <f t="shared" ref="H196:H259" si="59">CONCATENATE(F196," ",G196)</f>
        <v>Rural Travis</v>
      </c>
      <c r="I196" s="44">
        <f>INDEX(FeeCalc!M:M,MATCH(C:C,FeeCalc!F:F,0))</f>
        <v>1006947.5002211537</v>
      </c>
      <c r="J196" s="44">
        <f>INDEX(FeeCalc!L:L,MATCH(C:C,FeeCalc!F:F,0))</f>
        <v>1053.7070129492765</v>
      </c>
      <c r="K196" s="44">
        <f t="shared" ref="K196:K259" si="60">I196+J196</f>
        <v>1008001.207234103</v>
      </c>
      <c r="L196" s="44">
        <v>98169.61</v>
      </c>
      <c r="M196" s="44">
        <v>-3.91</v>
      </c>
      <c r="N196" s="44">
        <f t="shared" ref="N196:N259" si="61">+L196+M196</f>
        <v>98165.7</v>
      </c>
      <c r="O196" s="44">
        <v>376589.07671579078</v>
      </c>
      <c r="P196" s="44">
        <v>9.0014064352838243</v>
      </c>
      <c r="Q196" s="44">
        <f t="shared" ref="Q196:Q259" si="62">O196+P196</f>
        <v>376598.07812222606</v>
      </c>
      <c r="R196" s="44" t="str">
        <f t="shared" ref="R196:S259" si="63">IF(O196&gt;0,"Yes","No")</f>
        <v>Yes</v>
      </c>
      <c r="S196" s="45" t="str">
        <f t="shared" si="63"/>
        <v>Yes</v>
      </c>
      <c r="T196" s="46">
        <f>ROUND(INDEX(Summary!H:H,MATCH(H:H,Summary!A:A,0)),2)</f>
        <v>0.05</v>
      </c>
      <c r="U196" s="46">
        <f>ROUND(INDEX(Summary!I:I,MATCH(H:H,Summary!A:A,0)),2)</f>
        <v>0.22</v>
      </c>
      <c r="V196" s="79">
        <f t="shared" ref="V196:W259" si="64">+T196*I196</f>
        <v>50347.375011057688</v>
      </c>
      <c r="W196" s="79">
        <f t="shared" si="64"/>
        <v>231.81554284884083</v>
      </c>
      <c r="X196" s="44">
        <f t="shared" ref="X196:X259" si="65">+V196+W196</f>
        <v>50579.190553906526</v>
      </c>
      <c r="Y196" s="44" t="s">
        <v>2765</v>
      </c>
      <c r="Z196" s="44" t="str">
        <f t="shared" ref="Z196:AA259" si="66">IF(AJ196&gt;0,"Yes","No")</f>
        <v>Yes</v>
      </c>
      <c r="AA196" s="44" t="str">
        <f t="shared" si="66"/>
        <v>No</v>
      </c>
      <c r="AB196" s="44" t="str">
        <f t="shared" ref="AB196:AB259" si="67">IF(AG196&gt;0,"Yes","No")</f>
        <v>Yes</v>
      </c>
      <c r="AC196" s="80">
        <f t="shared" si="57"/>
        <v>0.23</v>
      </c>
      <c r="AD196" s="80">
        <f t="shared" si="58"/>
        <v>0</v>
      </c>
      <c r="AE196" s="44">
        <f t="shared" ref="AE196:AF259" si="68">AC196*I196</f>
        <v>231597.92505086536</v>
      </c>
      <c r="AF196" s="44">
        <f t="shared" si="68"/>
        <v>0</v>
      </c>
      <c r="AG196" s="44">
        <f t="shared" ref="AG196:AG259" si="69">AE196+AF196</f>
        <v>231597.92505086536</v>
      </c>
      <c r="AH196" s="46">
        <f>IF(Y196="No",0,IFERROR(ROUNDDOWN(INDEX('90% of ACR'!K:K,MATCH(H:H,'90% of ACR'!A:A,0))*IF(I196&gt;0,IF(O196&gt;0,$R$4*MAX(O196-V196,0),0),0)/I196,2),0))</f>
        <v>0.22</v>
      </c>
      <c r="AI196" s="80">
        <f>IF(Y196="No",0,IFERROR(ROUNDDOWN(INDEX('90% of ACR'!R:R,MATCH(H:H,'90% of ACR'!A:A,0))*IF(J196&gt;0,IF(P196&gt;0,$R$4*MAX(P196-W196,0),0),0)/J196,2),0))</f>
        <v>0</v>
      </c>
      <c r="AJ196" s="44">
        <f t="shared" ref="AJ196:AK259" si="70">I196*AH196</f>
        <v>221528.45004865382</v>
      </c>
      <c r="AK196" s="44">
        <f t="shared" si="70"/>
        <v>0</v>
      </c>
      <c r="AL196" s="46">
        <f t="shared" ref="AL196:AM259" si="71">T196+AH196</f>
        <v>0.27</v>
      </c>
      <c r="AM196" s="46">
        <f t="shared" si="71"/>
        <v>0.22</v>
      </c>
      <c r="AN196" s="81">
        <f>IFERROR(INDEX(FeeCalc!P:P,MATCH(C196,FeeCalc!F:F,0)),0)</f>
        <v>272107.64060256036</v>
      </c>
      <c r="AO196" s="81">
        <f>IFERROR(INDEX(FeeCalc!S:S,MATCH(C196,FeeCalc!F:F,0)),0)</f>
        <v>16947.276882737373</v>
      </c>
      <c r="AP196" s="81">
        <f t="shared" ref="AP196:AP259" si="72">AN196+AO196</f>
        <v>289054.91748529772</v>
      </c>
      <c r="AQ196" s="68">
        <f t="shared" ref="AQ196:AQ259" si="73">$AQ$3*AP196*1.08</f>
        <v>113758.14088617389</v>
      </c>
      <c r="AR196" s="68">
        <f>INDEX('IGT Commitment Suggestions'!H:H,MATCH(G196,'IGT Commitment Suggestions'!A:A,0))*AQ196</f>
        <v>52268.920756328858</v>
      </c>
    </row>
    <row r="197" spans="1:44">
      <c r="A197" s="103" t="s">
        <v>1019</v>
      </c>
      <c r="B197" s="123" t="s">
        <v>1019</v>
      </c>
      <c r="C197" s="30" t="s">
        <v>1020</v>
      </c>
      <c r="D197" s="124" t="s">
        <v>1020</v>
      </c>
      <c r="E197" s="119" t="s">
        <v>2691</v>
      </c>
      <c r="F197" s="99" t="s">
        <v>2295</v>
      </c>
      <c r="G197" s="99" t="s">
        <v>1202</v>
      </c>
      <c r="H197" s="42" t="str">
        <f t="shared" si="59"/>
        <v>Rural Travis</v>
      </c>
      <c r="I197" s="44">
        <f>INDEX(FeeCalc!M:M,MATCH(C:C,FeeCalc!F:F,0))</f>
        <v>1108465.2623187075</v>
      </c>
      <c r="J197" s="44">
        <f>INDEX(FeeCalc!L:L,MATCH(C:C,FeeCalc!F:F,0))</f>
        <v>2932.9116713238591</v>
      </c>
      <c r="K197" s="44">
        <f t="shared" si="60"/>
        <v>1111398.1739900315</v>
      </c>
      <c r="L197" s="44">
        <v>209547.51</v>
      </c>
      <c r="M197" s="44">
        <v>-204.35</v>
      </c>
      <c r="N197" s="44">
        <f t="shared" si="61"/>
        <v>209343.16</v>
      </c>
      <c r="O197" s="44">
        <v>663215.02856211062</v>
      </c>
      <c r="P197" s="44">
        <v>8967.6383034223909</v>
      </c>
      <c r="Q197" s="44">
        <f t="shared" si="62"/>
        <v>672182.66686553298</v>
      </c>
      <c r="R197" s="44" t="str">
        <f t="shared" si="63"/>
        <v>Yes</v>
      </c>
      <c r="S197" s="45" t="str">
        <f t="shared" si="63"/>
        <v>Yes</v>
      </c>
      <c r="T197" s="46">
        <f>ROUND(INDEX(Summary!H:H,MATCH(H:H,Summary!A:A,0)),2)</f>
        <v>0.05</v>
      </c>
      <c r="U197" s="46">
        <f>ROUND(INDEX(Summary!I:I,MATCH(H:H,Summary!A:A,0)),2)</f>
        <v>0.22</v>
      </c>
      <c r="V197" s="79">
        <f t="shared" si="64"/>
        <v>55423.263115935377</v>
      </c>
      <c r="W197" s="79">
        <f t="shared" si="64"/>
        <v>645.240567691249</v>
      </c>
      <c r="X197" s="44">
        <f t="shared" si="65"/>
        <v>56068.503683626623</v>
      </c>
      <c r="Y197" s="44" t="s">
        <v>2765</v>
      </c>
      <c r="Z197" s="44" t="str">
        <f t="shared" si="66"/>
        <v>Yes</v>
      </c>
      <c r="AA197" s="44" t="str">
        <f t="shared" si="66"/>
        <v>Yes</v>
      </c>
      <c r="AB197" s="44" t="str">
        <f t="shared" si="67"/>
        <v>Yes</v>
      </c>
      <c r="AC197" s="80">
        <f t="shared" si="57"/>
        <v>0.38</v>
      </c>
      <c r="AD197" s="80">
        <f t="shared" si="58"/>
        <v>1.98</v>
      </c>
      <c r="AE197" s="44">
        <f t="shared" si="68"/>
        <v>421216.79968110885</v>
      </c>
      <c r="AF197" s="44">
        <f t="shared" si="68"/>
        <v>5807.1651092212405</v>
      </c>
      <c r="AG197" s="44">
        <f t="shared" si="69"/>
        <v>427023.96479033009</v>
      </c>
      <c r="AH197" s="46">
        <f>IF(Y197="No",0,IFERROR(ROUNDDOWN(INDEX('90% of ACR'!K:K,MATCH(H:H,'90% of ACR'!A:A,0))*IF(I197&gt;0,IF(O197&gt;0,$R$4*MAX(O197-V197,0),0),0)/I197,2),0))</f>
        <v>0.38</v>
      </c>
      <c r="AI197" s="80">
        <f>IF(Y197="No",0,IFERROR(ROUNDDOWN(INDEX('90% of ACR'!R:R,MATCH(H:H,'90% of ACR'!A:A,0))*IF(J197&gt;0,IF(P197&gt;0,$R$4*MAX(P197-W197,0),0),0)/J197,2),0))</f>
        <v>1.61</v>
      </c>
      <c r="AJ197" s="44">
        <f t="shared" si="70"/>
        <v>421216.79968110885</v>
      </c>
      <c r="AK197" s="44">
        <f t="shared" si="70"/>
        <v>4721.9877908314138</v>
      </c>
      <c r="AL197" s="46">
        <f t="shared" si="71"/>
        <v>0.43</v>
      </c>
      <c r="AM197" s="46">
        <f t="shared" si="71"/>
        <v>1.83</v>
      </c>
      <c r="AN197" s="81">
        <f>IFERROR(INDEX(FeeCalc!P:P,MATCH(C197,FeeCalc!F:F,0)),0)</f>
        <v>482007.29115556687</v>
      </c>
      <c r="AO197" s="81">
        <f>IFERROR(INDEX(FeeCalc!S:S,MATCH(C197,FeeCalc!F:F,0)),0)</f>
        <v>29722.013835771952</v>
      </c>
      <c r="AP197" s="81">
        <f t="shared" si="72"/>
        <v>511729.30499133881</v>
      </c>
      <c r="AQ197" s="68">
        <f t="shared" si="73"/>
        <v>201392.0914379514</v>
      </c>
      <c r="AR197" s="68">
        <f>INDEX('IGT Commitment Suggestions'!H:H,MATCH(G197,'IGT Commitment Suggestions'!A:A,0))*AQ197</f>
        <v>92534.452359365241</v>
      </c>
    </row>
    <row r="198" spans="1:44" ht="25.5">
      <c r="A198" s="103" t="s">
        <v>1309</v>
      </c>
      <c r="B198" s="123" t="s">
        <v>1309</v>
      </c>
      <c r="C198" s="30" t="s">
        <v>1310</v>
      </c>
      <c r="D198" s="124" t="s">
        <v>1310</v>
      </c>
      <c r="E198" s="119" t="s">
        <v>2464</v>
      </c>
      <c r="F198" s="99" t="s">
        <v>2544</v>
      </c>
      <c r="G198" s="99" t="s">
        <v>1202</v>
      </c>
      <c r="H198" s="42" t="str">
        <f t="shared" si="59"/>
        <v>Non-state-owned IMD Travis</v>
      </c>
      <c r="I198" s="44">
        <f>INDEX(FeeCalc!M:M,MATCH(C:C,FeeCalc!F:F,0))</f>
        <v>65460.243001008625</v>
      </c>
      <c r="J198" s="44">
        <f>INDEX(FeeCalc!L:L,MATCH(C:C,FeeCalc!F:F,0))</f>
        <v>0</v>
      </c>
      <c r="K198" s="44">
        <f t="shared" si="60"/>
        <v>65460.243001008625</v>
      </c>
      <c r="L198" s="44">
        <v>47401.2</v>
      </c>
      <c r="M198" s="44">
        <v>0</v>
      </c>
      <c r="N198" s="44">
        <f t="shared" si="61"/>
        <v>47401.2</v>
      </c>
      <c r="O198" s="44">
        <v>6977.4097971016308</v>
      </c>
      <c r="P198" s="44">
        <v>0</v>
      </c>
      <c r="Q198" s="44">
        <f t="shared" si="62"/>
        <v>6977.4097971016308</v>
      </c>
      <c r="R198" s="44" t="str">
        <f t="shared" si="63"/>
        <v>Yes</v>
      </c>
      <c r="S198" s="45" t="str">
        <f t="shared" si="63"/>
        <v>No</v>
      </c>
      <c r="T198" s="46">
        <f>ROUND(INDEX(Summary!H:H,MATCH(H:H,Summary!A:A,0)),2)</f>
        <v>0.28999999999999998</v>
      </c>
      <c r="U198" s="46">
        <f>ROUND(INDEX(Summary!I:I,MATCH(H:H,Summary!A:A,0)),2)</f>
        <v>0</v>
      </c>
      <c r="V198" s="79">
        <f t="shared" si="64"/>
        <v>18983.470470292501</v>
      </c>
      <c r="W198" s="79">
        <f t="shared" si="64"/>
        <v>0</v>
      </c>
      <c r="X198" s="44">
        <f t="shared" si="65"/>
        <v>18983.470470292501</v>
      </c>
      <c r="Y198" s="44" t="s">
        <v>2765</v>
      </c>
      <c r="Z198" s="44" t="str">
        <f t="shared" si="66"/>
        <v>No</v>
      </c>
      <c r="AA198" s="44" t="str">
        <f t="shared" si="66"/>
        <v>No</v>
      </c>
      <c r="AB198" s="44" t="str">
        <f t="shared" si="67"/>
        <v>No</v>
      </c>
      <c r="AC198" s="80">
        <f t="shared" ref="AC198:AC261" si="74">IF(Y198="No",0,IFERROR(ROUND(IF(I198&gt;0,IF(O198&gt;0,$R$4*MAX(O198-V198,0),0),0)/I198,2),0))</f>
        <v>0</v>
      </c>
      <c r="AD198" s="80">
        <f t="shared" ref="AD198:AD261" si="75">IF(Y198="No",0,IFERROR(ROUND(IF(J198&gt;0,IF(P198&gt;0,$R$4*MAX(P198-W198,0),0),0)/J198,2),0))</f>
        <v>0</v>
      </c>
      <c r="AE198" s="44">
        <f t="shared" si="68"/>
        <v>0</v>
      </c>
      <c r="AF198" s="44">
        <f t="shared" si="68"/>
        <v>0</v>
      </c>
      <c r="AG198" s="44">
        <f t="shared" si="69"/>
        <v>0</v>
      </c>
      <c r="AH198" s="46">
        <f>IF(Y198="No",0,IFERROR(ROUNDDOWN(INDEX('90% of ACR'!K:K,MATCH(H:H,'90% of ACR'!A:A,0))*IF(I198&gt;0,IF(O198&gt;0,$R$4*MAX(O198-V198,0),0),0)/I198,2),0))</f>
        <v>0</v>
      </c>
      <c r="AI198" s="80">
        <f>IF(Y198="No",0,IFERROR(ROUNDDOWN(INDEX('90% of ACR'!R:R,MATCH(H:H,'90% of ACR'!A:A,0))*IF(J198&gt;0,IF(P198&gt;0,$R$4*MAX(P198-W198,0),0),0)/J198,2),0))</f>
        <v>0</v>
      </c>
      <c r="AJ198" s="44">
        <f t="shared" si="70"/>
        <v>0</v>
      </c>
      <c r="AK198" s="44">
        <f t="shared" si="70"/>
        <v>0</v>
      </c>
      <c r="AL198" s="46">
        <f t="shared" si="71"/>
        <v>0.28999999999999998</v>
      </c>
      <c r="AM198" s="46">
        <f t="shared" si="71"/>
        <v>0</v>
      </c>
      <c r="AN198" s="81">
        <f>IFERROR(INDEX(FeeCalc!P:P,MATCH(C198,FeeCalc!F:F,0)),0)</f>
        <v>18983.470470292501</v>
      </c>
      <c r="AO198" s="81">
        <f>IFERROR(INDEX(FeeCalc!S:S,MATCH(C198,FeeCalc!F:F,0)),0)</f>
        <v>1158.1427607870758</v>
      </c>
      <c r="AP198" s="81">
        <f t="shared" si="72"/>
        <v>20141.613231079577</v>
      </c>
      <c r="AQ198" s="68">
        <f t="shared" si="73"/>
        <v>7926.7721703178304</v>
      </c>
      <c r="AR198" s="68">
        <f>INDEX('IGT Commitment Suggestions'!H:H,MATCH(G198,'IGT Commitment Suggestions'!A:A,0))*AQ198</f>
        <v>3642.1466032781514</v>
      </c>
    </row>
    <row r="199" spans="1:44">
      <c r="A199" s="103" t="s">
        <v>1422</v>
      </c>
      <c r="B199" s="123" t="s">
        <v>1422</v>
      </c>
      <c r="C199" s="30" t="s">
        <v>1423</v>
      </c>
      <c r="D199" s="124" t="s">
        <v>1423</v>
      </c>
      <c r="E199" s="119" t="s">
        <v>2646</v>
      </c>
      <c r="F199" s="99" t="s">
        <v>2283</v>
      </c>
      <c r="G199" s="99" t="s">
        <v>1365</v>
      </c>
      <c r="H199" s="42" t="str">
        <f t="shared" si="59"/>
        <v>Urban Tarrant</v>
      </c>
      <c r="I199" s="44">
        <f>INDEX(FeeCalc!M:M,MATCH(C:C,FeeCalc!F:F,0))</f>
        <v>0</v>
      </c>
      <c r="J199" s="44">
        <f>INDEX(FeeCalc!L:L,MATCH(C:C,FeeCalc!F:F,0))</f>
        <v>0</v>
      </c>
      <c r="K199" s="44">
        <f t="shared" si="60"/>
        <v>0</v>
      </c>
      <c r="L199" s="44">
        <v>131218.54999999999</v>
      </c>
      <c r="M199" s="44">
        <v>0</v>
      </c>
      <c r="N199" s="44">
        <f t="shared" si="61"/>
        <v>131218.54999999999</v>
      </c>
      <c r="O199" s="44">
        <v>58391.013980861069</v>
      </c>
      <c r="P199" s="44">
        <v>0</v>
      </c>
      <c r="Q199" s="44">
        <f t="shared" si="62"/>
        <v>58391.013980861069</v>
      </c>
      <c r="R199" s="44" t="str">
        <f t="shared" si="63"/>
        <v>Yes</v>
      </c>
      <c r="S199" s="45" t="str">
        <f t="shared" si="63"/>
        <v>No</v>
      </c>
      <c r="T199" s="46">
        <f>ROUND(INDEX(Summary!H:H,MATCH(H:H,Summary!A:A,0)),2)</f>
        <v>0.84</v>
      </c>
      <c r="U199" s="46">
        <f>ROUND(INDEX(Summary!I:I,MATCH(H:H,Summary!A:A,0)),2)</f>
        <v>0.55000000000000004</v>
      </c>
      <c r="V199" s="79">
        <f t="shared" si="64"/>
        <v>0</v>
      </c>
      <c r="W199" s="79">
        <f t="shared" si="64"/>
        <v>0</v>
      </c>
      <c r="X199" s="44">
        <f t="shared" si="65"/>
        <v>0</v>
      </c>
      <c r="Y199" s="44" t="s">
        <v>2765</v>
      </c>
      <c r="Z199" s="44" t="str">
        <f t="shared" si="66"/>
        <v>No</v>
      </c>
      <c r="AA199" s="44" t="str">
        <f t="shared" si="66"/>
        <v>No</v>
      </c>
      <c r="AB199" s="44" t="str">
        <f t="shared" si="67"/>
        <v>No</v>
      </c>
      <c r="AC199" s="80">
        <f t="shared" si="74"/>
        <v>0</v>
      </c>
      <c r="AD199" s="80">
        <f t="shared" si="75"/>
        <v>0</v>
      </c>
      <c r="AE199" s="44">
        <f t="shared" si="68"/>
        <v>0</v>
      </c>
      <c r="AF199" s="44">
        <f t="shared" si="68"/>
        <v>0</v>
      </c>
      <c r="AG199" s="44">
        <f t="shared" si="69"/>
        <v>0</v>
      </c>
      <c r="AH199" s="46">
        <f>IF(Y199="No",0,IFERROR(ROUNDDOWN(INDEX('90% of ACR'!K:K,MATCH(H:H,'90% of ACR'!A:A,0))*IF(I199&gt;0,IF(O199&gt;0,$R$4*MAX(O199-V199,0),0),0)/I199,2),0))</f>
        <v>0</v>
      </c>
      <c r="AI199" s="80">
        <f>IF(Y199="No",0,IFERROR(ROUNDDOWN(INDEX('90% of ACR'!R:R,MATCH(H:H,'90% of ACR'!A:A,0))*IF(J199&gt;0,IF(P199&gt;0,$R$4*MAX(P199-W199,0),0),0)/J199,2),0))</f>
        <v>0</v>
      </c>
      <c r="AJ199" s="44">
        <f t="shared" si="70"/>
        <v>0</v>
      </c>
      <c r="AK199" s="44">
        <f t="shared" si="70"/>
        <v>0</v>
      </c>
      <c r="AL199" s="46">
        <f t="shared" si="71"/>
        <v>0.84</v>
      </c>
      <c r="AM199" s="46">
        <f t="shared" si="71"/>
        <v>0.55000000000000004</v>
      </c>
      <c r="AN199" s="81">
        <f>IFERROR(INDEX(FeeCalc!P:P,MATCH(C199,FeeCalc!F:F,0)),0)</f>
        <v>0</v>
      </c>
      <c r="AO199" s="81">
        <f>IFERROR(INDEX(FeeCalc!S:S,MATCH(C199,FeeCalc!F:F,0)),0)</f>
        <v>0</v>
      </c>
      <c r="AP199" s="81">
        <f t="shared" si="72"/>
        <v>0</v>
      </c>
      <c r="AQ199" s="68">
        <f t="shared" si="73"/>
        <v>0</v>
      </c>
      <c r="AR199" s="68">
        <f>INDEX('IGT Commitment Suggestions'!H:H,MATCH(G199,'IGT Commitment Suggestions'!A:A,0))*AQ199</f>
        <v>0</v>
      </c>
    </row>
    <row r="200" spans="1:44">
      <c r="A200" s="103" t="s">
        <v>983</v>
      </c>
      <c r="B200" s="123" t="s">
        <v>983</v>
      </c>
      <c r="C200" s="30" t="s">
        <v>984</v>
      </c>
      <c r="D200" s="124" t="s">
        <v>984</v>
      </c>
      <c r="E200" s="119" t="s">
        <v>2460</v>
      </c>
      <c r="F200" s="99" t="s">
        <v>2283</v>
      </c>
      <c r="G200" s="99" t="s">
        <v>1486</v>
      </c>
      <c r="H200" s="42" t="str">
        <f t="shared" si="59"/>
        <v>Urban MRSA Central</v>
      </c>
      <c r="I200" s="44">
        <f>INDEX(FeeCalc!M:M,MATCH(C:C,FeeCalc!F:F,0))</f>
        <v>7822364.9771947637</v>
      </c>
      <c r="J200" s="44">
        <f>INDEX(FeeCalc!L:L,MATCH(C:C,FeeCalc!F:F,0))</f>
        <v>4146802.3423304427</v>
      </c>
      <c r="K200" s="44">
        <f t="shared" si="60"/>
        <v>11969167.319525206</v>
      </c>
      <c r="L200" s="44">
        <v>6648941.0099999998</v>
      </c>
      <c r="M200" s="44">
        <v>5356205.87</v>
      </c>
      <c r="N200" s="44">
        <f t="shared" si="61"/>
        <v>12005146.879999999</v>
      </c>
      <c r="O200" s="44">
        <v>10150511.35203943</v>
      </c>
      <c r="P200" s="44">
        <v>4559186.4820990814</v>
      </c>
      <c r="Q200" s="44">
        <f t="shared" si="62"/>
        <v>14709697.834138513</v>
      </c>
      <c r="R200" s="44" t="str">
        <f t="shared" si="63"/>
        <v>Yes</v>
      </c>
      <c r="S200" s="45" t="str">
        <f t="shared" si="63"/>
        <v>Yes</v>
      </c>
      <c r="T200" s="46">
        <f>ROUND(INDEX(Summary!H:H,MATCH(H:H,Summary!A:A,0)),2)</f>
        <v>0.48</v>
      </c>
      <c r="U200" s="46">
        <f>ROUND(INDEX(Summary!I:I,MATCH(H:H,Summary!A:A,0)),2)</f>
        <v>0.99</v>
      </c>
      <c r="V200" s="79">
        <f t="shared" si="64"/>
        <v>3754735.1890534866</v>
      </c>
      <c r="W200" s="79">
        <f t="shared" si="64"/>
        <v>4105334.3189071384</v>
      </c>
      <c r="X200" s="44">
        <f t="shared" si="65"/>
        <v>7860069.507960625</v>
      </c>
      <c r="Y200" s="44" t="s">
        <v>2765</v>
      </c>
      <c r="Z200" s="44" t="str">
        <f t="shared" si="66"/>
        <v>Yes</v>
      </c>
      <c r="AA200" s="44" t="str">
        <f t="shared" si="66"/>
        <v>No</v>
      </c>
      <c r="AB200" s="44" t="str">
        <f t="shared" si="67"/>
        <v>Yes</v>
      </c>
      <c r="AC200" s="80">
        <f t="shared" si="74"/>
        <v>0.56999999999999995</v>
      </c>
      <c r="AD200" s="80">
        <f t="shared" si="75"/>
        <v>0.08</v>
      </c>
      <c r="AE200" s="44">
        <f t="shared" si="68"/>
        <v>4458748.0370010147</v>
      </c>
      <c r="AF200" s="44">
        <f t="shared" si="68"/>
        <v>331744.1873864354</v>
      </c>
      <c r="AG200" s="44">
        <f t="shared" si="69"/>
        <v>4790492.2243874501</v>
      </c>
      <c r="AH200" s="46">
        <f>IF(Y200="No",0,IFERROR(ROUNDDOWN(INDEX('90% of ACR'!K:K,MATCH(H:H,'90% of ACR'!A:A,0))*IF(I200&gt;0,IF(O200&gt;0,$R$4*MAX(O200-V200,0),0),0)/I200,2),0))</f>
        <v>0.56000000000000005</v>
      </c>
      <c r="AI200" s="80">
        <f>IF(Y200="No",0,IFERROR(ROUNDDOWN(INDEX('90% of ACR'!R:R,MATCH(H:H,'90% of ACR'!A:A,0))*IF(J200&gt;0,IF(P200&gt;0,$R$4*MAX(P200-W200,0),0),0)/J200,2),0))</f>
        <v>0</v>
      </c>
      <c r="AJ200" s="44">
        <f t="shared" si="70"/>
        <v>4380524.3872290682</v>
      </c>
      <c r="AK200" s="44">
        <f t="shared" si="70"/>
        <v>0</v>
      </c>
      <c r="AL200" s="46">
        <f t="shared" si="71"/>
        <v>1.04</v>
      </c>
      <c r="AM200" s="46">
        <f t="shared" si="71"/>
        <v>0.99</v>
      </c>
      <c r="AN200" s="81">
        <f>IFERROR(INDEX(FeeCalc!P:P,MATCH(C200,FeeCalc!F:F,0)),0)</f>
        <v>12240593.895189693</v>
      </c>
      <c r="AO200" s="81">
        <f>IFERROR(INDEX(FeeCalc!S:S,MATCH(C200,FeeCalc!F:F,0)),0)</f>
        <v>762266.14551606751</v>
      </c>
      <c r="AP200" s="81">
        <f t="shared" si="72"/>
        <v>13002860.040705761</v>
      </c>
      <c r="AQ200" s="68">
        <f t="shared" si="73"/>
        <v>5117301.5747398343</v>
      </c>
      <c r="AR200" s="68">
        <f>INDEX('IGT Commitment Suggestions'!H:H,MATCH(G200,'IGT Commitment Suggestions'!A:A,0))*AQ200</f>
        <v>2337772.5142850769</v>
      </c>
    </row>
    <row r="201" spans="1:44">
      <c r="A201" s="103" t="s">
        <v>1028</v>
      </c>
      <c r="B201" s="123" t="s">
        <v>1028</v>
      </c>
      <c r="C201" s="30" t="s">
        <v>1029</v>
      </c>
      <c r="D201" s="124" t="s">
        <v>1029</v>
      </c>
      <c r="E201" s="119" t="s">
        <v>2461</v>
      </c>
      <c r="F201" s="99" t="s">
        <v>2283</v>
      </c>
      <c r="G201" s="99" t="s">
        <v>1202</v>
      </c>
      <c r="H201" s="42" t="str">
        <f t="shared" si="59"/>
        <v>Urban Travis</v>
      </c>
      <c r="I201" s="44">
        <f>INDEX(FeeCalc!M:M,MATCH(C:C,FeeCalc!F:F,0))</f>
        <v>16308865.878308639</v>
      </c>
      <c r="J201" s="44">
        <f>INDEX(FeeCalc!L:L,MATCH(C:C,FeeCalc!F:F,0))</f>
        <v>2940815.1324232481</v>
      </c>
      <c r="K201" s="44">
        <f t="shared" si="60"/>
        <v>19249681.010731887</v>
      </c>
      <c r="L201" s="44">
        <v>1568803.8</v>
      </c>
      <c r="M201" s="44">
        <v>3050572.27</v>
      </c>
      <c r="N201" s="44">
        <f t="shared" si="61"/>
        <v>4619376.07</v>
      </c>
      <c r="O201" s="44">
        <v>32761669.545610078</v>
      </c>
      <c r="P201" s="44">
        <v>3204622.6742319581</v>
      </c>
      <c r="Q201" s="44">
        <f t="shared" si="62"/>
        <v>35966292.219842039</v>
      </c>
      <c r="R201" s="44" t="str">
        <f t="shared" si="63"/>
        <v>Yes</v>
      </c>
      <c r="S201" s="45" t="str">
        <f t="shared" si="63"/>
        <v>Yes</v>
      </c>
      <c r="T201" s="46">
        <f>ROUND(INDEX(Summary!H:H,MATCH(H:H,Summary!A:A,0)),2)</f>
        <v>0.4</v>
      </c>
      <c r="U201" s="46">
        <f>ROUND(INDEX(Summary!I:I,MATCH(H:H,Summary!A:A,0)),2)</f>
        <v>1.03</v>
      </c>
      <c r="V201" s="79">
        <f t="shared" si="64"/>
        <v>6523546.3513234556</v>
      </c>
      <c r="W201" s="79">
        <f t="shared" si="64"/>
        <v>3029039.5863959459</v>
      </c>
      <c r="X201" s="44">
        <f t="shared" si="65"/>
        <v>9552585.937719401</v>
      </c>
      <c r="Y201" s="44" t="s">
        <v>2765</v>
      </c>
      <c r="Z201" s="44" t="str">
        <f t="shared" si="66"/>
        <v>Yes</v>
      </c>
      <c r="AA201" s="44" t="str">
        <f t="shared" si="66"/>
        <v>Yes</v>
      </c>
      <c r="AB201" s="44" t="str">
        <f t="shared" si="67"/>
        <v>Yes</v>
      </c>
      <c r="AC201" s="80">
        <f t="shared" si="74"/>
        <v>1.1200000000000001</v>
      </c>
      <c r="AD201" s="80">
        <f t="shared" si="75"/>
        <v>0.04</v>
      </c>
      <c r="AE201" s="44">
        <f t="shared" si="68"/>
        <v>18265929.783705678</v>
      </c>
      <c r="AF201" s="44">
        <f t="shared" si="68"/>
        <v>117632.60529692993</v>
      </c>
      <c r="AG201" s="44">
        <f t="shared" si="69"/>
        <v>18383562.389002606</v>
      </c>
      <c r="AH201" s="46">
        <f>IF(Y201="No",0,IFERROR(ROUNDDOWN(INDEX('90% of ACR'!K:K,MATCH(H:H,'90% of ACR'!A:A,0))*IF(I201&gt;0,IF(O201&gt;0,$R$4*MAX(O201-V201,0),0),0)/I201,2),0))</f>
        <v>1.1200000000000001</v>
      </c>
      <c r="AI201" s="80">
        <f>IF(Y201="No",0,IFERROR(ROUNDDOWN(INDEX('90% of ACR'!R:R,MATCH(H:H,'90% of ACR'!A:A,0))*IF(J201&gt;0,IF(P201&gt;0,$R$4*MAX(P201-W201,0),0),0)/J201,2),0))</f>
        <v>0.01</v>
      </c>
      <c r="AJ201" s="44">
        <f t="shared" si="70"/>
        <v>18265929.783705678</v>
      </c>
      <c r="AK201" s="44">
        <f t="shared" si="70"/>
        <v>29408.151324232484</v>
      </c>
      <c r="AL201" s="46">
        <f t="shared" si="71"/>
        <v>1.52</v>
      </c>
      <c r="AM201" s="46">
        <f t="shared" si="71"/>
        <v>1.04</v>
      </c>
      <c r="AN201" s="81">
        <f>IFERROR(INDEX(FeeCalc!P:P,MATCH(C201,FeeCalc!F:F,0)),0)</f>
        <v>27847923.872749306</v>
      </c>
      <c r="AO201" s="81">
        <f>IFERROR(INDEX(FeeCalc!S:S,MATCH(C201,FeeCalc!F:F,0)),0)</f>
        <v>1713265.3162357495</v>
      </c>
      <c r="AP201" s="81">
        <f t="shared" si="72"/>
        <v>29561189.188985057</v>
      </c>
      <c r="AQ201" s="68">
        <f t="shared" si="73"/>
        <v>11633865.127703449</v>
      </c>
      <c r="AR201" s="68">
        <f>INDEX('IGT Commitment Suggestions'!H:H,MATCH(G201,'IGT Commitment Suggestions'!A:A,0))*AQ201</f>
        <v>5345459.8476446811</v>
      </c>
    </row>
    <row r="202" spans="1:44">
      <c r="A202" s="103" t="s">
        <v>1022</v>
      </c>
      <c r="B202" s="123" t="s">
        <v>1022</v>
      </c>
      <c r="C202" s="30" t="s">
        <v>1023</v>
      </c>
      <c r="D202" s="124" t="s">
        <v>1023</v>
      </c>
      <c r="E202" s="119" t="s">
        <v>2470</v>
      </c>
      <c r="F202" s="99" t="s">
        <v>2283</v>
      </c>
      <c r="G202" s="99" t="s">
        <v>1202</v>
      </c>
      <c r="H202" s="42" t="str">
        <f t="shared" si="59"/>
        <v>Urban Travis</v>
      </c>
      <c r="I202" s="44">
        <f>INDEX(FeeCalc!M:M,MATCH(C:C,FeeCalc!F:F,0))</f>
        <v>9517889.8464985527</v>
      </c>
      <c r="J202" s="44">
        <f>INDEX(FeeCalc!L:L,MATCH(C:C,FeeCalc!F:F,0))</f>
        <v>6483751.6763104182</v>
      </c>
      <c r="K202" s="44">
        <f t="shared" si="60"/>
        <v>16001641.522808971</v>
      </c>
      <c r="L202" s="44">
        <v>15456979.539999999</v>
      </c>
      <c r="M202" s="44">
        <v>6111515.5300000003</v>
      </c>
      <c r="N202" s="44">
        <f t="shared" si="61"/>
        <v>21568495.07</v>
      </c>
      <c r="O202" s="44">
        <v>25854362.789092198</v>
      </c>
      <c r="P202" s="44">
        <v>6948560.1750016995</v>
      </c>
      <c r="Q202" s="44">
        <f t="shared" si="62"/>
        <v>32802922.964093897</v>
      </c>
      <c r="R202" s="44" t="str">
        <f t="shared" si="63"/>
        <v>Yes</v>
      </c>
      <c r="S202" s="45" t="str">
        <f t="shared" si="63"/>
        <v>Yes</v>
      </c>
      <c r="T202" s="46">
        <f>ROUND(INDEX(Summary!H:H,MATCH(H:H,Summary!A:A,0)),2)</f>
        <v>0.4</v>
      </c>
      <c r="U202" s="46">
        <f>ROUND(INDEX(Summary!I:I,MATCH(H:H,Summary!A:A,0)),2)</f>
        <v>1.03</v>
      </c>
      <c r="V202" s="79">
        <f t="shared" si="64"/>
        <v>3807155.9385994212</v>
      </c>
      <c r="W202" s="79">
        <f t="shared" si="64"/>
        <v>6678264.2265997306</v>
      </c>
      <c r="X202" s="44">
        <f t="shared" si="65"/>
        <v>10485420.165199151</v>
      </c>
      <c r="Y202" s="44" t="s">
        <v>2765</v>
      </c>
      <c r="Z202" s="44" t="str">
        <f t="shared" si="66"/>
        <v>Yes</v>
      </c>
      <c r="AA202" s="44" t="str">
        <f t="shared" si="66"/>
        <v>Yes</v>
      </c>
      <c r="AB202" s="44" t="str">
        <f t="shared" si="67"/>
        <v>Yes</v>
      </c>
      <c r="AC202" s="80">
        <f t="shared" si="74"/>
        <v>1.61</v>
      </c>
      <c r="AD202" s="80">
        <f t="shared" si="75"/>
        <v>0.03</v>
      </c>
      <c r="AE202" s="44">
        <f t="shared" si="68"/>
        <v>15323802.65286267</v>
      </c>
      <c r="AF202" s="44">
        <f t="shared" si="68"/>
        <v>194512.55028931255</v>
      </c>
      <c r="AG202" s="44">
        <f t="shared" si="69"/>
        <v>15518315.203151982</v>
      </c>
      <c r="AH202" s="46">
        <f>IF(Y202="No",0,IFERROR(ROUNDDOWN(INDEX('90% of ACR'!K:K,MATCH(H:H,'90% of ACR'!A:A,0))*IF(I202&gt;0,IF(O202&gt;0,$R$4*MAX(O202-V202,0),0),0)/I202,2),0))</f>
        <v>1.61</v>
      </c>
      <c r="AI202" s="80">
        <f>IF(Y202="No",0,IFERROR(ROUNDDOWN(INDEX('90% of ACR'!R:R,MATCH(H:H,'90% of ACR'!A:A,0))*IF(J202&gt;0,IF(P202&gt;0,$R$4*MAX(P202-W202,0),0),0)/J202,2),0))</f>
        <v>0.01</v>
      </c>
      <c r="AJ202" s="44">
        <f t="shared" si="70"/>
        <v>15323802.65286267</v>
      </c>
      <c r="AK202" s="44">
        <f t="shared" si="70"/>
        <v>64837.516763104184</v>
      </c>
      <c r="AL202" s="46">
        <f t="shared" si="71"/>
        <v>2.0100000000000002</v>
      </c>
      <c r="AM202" s="46">
        <f t="shared" si="71"/>
        <v>1.04</v>
      </c>
      <c r="AN202" s="81">
        <f>IFERROR(INDEX(FeeCalc!P:P,MATCH(C202,FeeCalc!F:F,0)),0)</f>
        <v>25874060.334824927</v>
      </c>
      <c r="AO202" s="81">
        <f>IFERROR(INDEX(FeeCalc!S:S,MATCH(C202,FeeCalc!F:F,0)),0)</f>
        <v>1629739.4357451336</v>
      </c>
      <c r="AP202" s="81">
        <f t="shared" si="72"/>
        <v>27503799.770570062</v>
      </c>
      <c r="AQ202" s="68">
        <f t="shared" si="73"/>
        <v>10824175.40730739</v>
      </c>
      <c r="AR202" s="68">
        <f>INDEX('IGT Commitment Suggestions'!H:H,MATCH(G202,'IGT Commitment Suggestions'!A:A,0))*AQ202</f>
        <v>4973428.3824421819</v>
      </c>
    </row>
    <row r="203" spans="1:44">
      <c r="A203" s="103" t="s">
        <v>389</v>
      </c>
      <c r="B203" s="123" t="s">
        <v>389</v>
      </c>
      <c r="C203" s="30" t="s">
        <v>390</v>
      </c>
      <c r="D203" s="124" t="s">
        <v>390</v>
      </c>
      <c r="E203" s="119" t="s">
        <v>2465</v>
      </c>
      <c r="F203" s="99" t="s">
        <v>2283</v>
      </c>
      <c r="G203" s="99" t="s">
        <v>1202</v>
      </c>
      <c r="H203" s="42" t="str">
        <f t="shared" si="59"/>
        <v>Urban Travis</v>
      </c>
      <c r="I203" s="44">
        <f>INDEX(FeeCalc!M:M,MATCH(C:C,FeeCalc!F:F,0))</f>
        <v>117372.54848238791</v>
      </c>
      <c r="J203" s="44">
        <f>INDEX(FeeCalc!L:L,MATCH(C:C,FeeCalc!F:F,0))</f>
        <v>387261.32611756877</v>
      </c>
      <c r="K203" s="44">
        <f t="shared" si="60"/>
        <v>504633.87459995667</v>
      </c>
      <c r="L203" s="44">
        <v>348387.76</v>
      </c>
      <c r="M203" s="44">
        <v>363472.63</v>
      </c>
      <c r="N203" s="44">
        <f t="shared" si="61"/>
        <v>711860.39</v>
      </c>
      <c r="O203" s="44">
        <v>251039.71601785894</v>
      </c>
      <c r="P203" s="44">
        <v>482162.78400373622</v>
      </c>
      <c r="Q203" s="44">
        <f t="shared" si="62"/>
        <v>733202.50002159516</v>
      </c>
      <c r="R203" s="44" t="str">
        <f t="shared" si="63"/>
        <v>Yes</v>
      </c>
      <c r="S203" s="45" t="str">
        <f t="shared" si="63"/>
        <v>Yes</v>
      </c>
      <c r="T203" s="46">
        <f>ROUND(INDEX(Summary!H:H,MATCH(H:H,Summary!A:A,0)),2)</f>
        <v>0.4</v>
      </c>
      <c r="U203" s="46">
        <f>ROUND(INDEX(Summary!I:I,MATCH(H:H,Summary!A:A,0)),2)</f>
        <v>1.03</v>
      </c>
      <c r="V203" s="79">
        <f t="shared" si="64"/>
        <v>46949.019392955168</v>
      </c>
      <c r="W203" s="79">
        <f t="shared" si="64"/>
        <v>398879.16590109584</v>
      </c>
      <c r="X203" s="44">
        <f t="shared" si="65"/>
        <v>445828.18529405101</v>
      </c>
      <c r="Y203" s="44" t="s">
        <v>2765</v>
      </c>
      <c r="Z203" s="44" t="str">
        <f t="shared" si="66"/>
        <v>Yes</v>
      </c>
      <c r="AA203" s="44" t="str">
        <f t="shared" si="66"/>
        <v>Yes</v>
      </c>
      <c r="AB203" s="44" t="str">
        <f t="shared" si="67"/>
        <v>Yes</v>
      </c>
      <c r="AC203" s="80">
        <f t="shared" si="74"/>
        <v>1.21</v>
      </c>
      <c r="AD203" s="80">
        <f t="shared" si="75"/>
        <v>0.15</v>
      </c>
      <c r="AE203" s="44">
        <f t="shared" si="68"/>
        <v>142020.78366368936</v>
      </c>
      <c r="AF203" s="44">
        <f t="shared" si="68"/>
        <v>58089.198917635316</v>
      </c>
      <c r="AG203" s="44">
        <f t="shared" si="69"/>
        <v>200109.98258132467</v>
      </c>
      <c r="AH203" s="46">
        <f>IF(Y203="No",0,IFERROR(ROUNDDOWN(INDEX('90% of ACR'!K:K,MATCH(H:H,'90% of ACR'!A:A,0))*IF(I203&gt;0,IF(O203&gt;0,$R$4*MAX(O203-V203,0),0),0)/I203,2),0))</f>
        <v>1.21</v>
      </c>
      <c r="AI203" s="80">
        <f>IF(Y203="No",0,IFERROR(ROUNDDOWN(INDEX('90% of ACR'!R:R,MATCH(H:H,'90% of ACR'!A:A,0))*IF(J203&gt;0,IF(P203&gt;0,$R$4*MAX(P203-W203,0),0),0)/J203,2),0))</f>
        <v>0.06</v>
      </c>
      <c r="AJ203" s="44">
        <f t="shared" si="70"/>
        <v>142020.78366368936</v>
      </c>
      <c r="AK203" s="44">
        <f t="shared" si="70"/>
        <v>23235.679567054125</v>
      </c>
      <c r="AL203" s="46">
        <f t="shared" si="71"/>
        <v>1.6099999999999999</v>
      </c>
      <c r="AM203" s="46">
        <f t="shared" si="71"/>
        <v>1.0900000000000001</v>
      </c>
      <c r="AN203" s="81">
        <f>IFERROR(INDEX(FeeCalc!P:P,MATCH(C203,FeeCalc!F:F,0)),0)</f>
        <v>611084.64852479449</v>
      </c>
      <c r="AO203" s="81">
        <f>IFERROR(INDEX(FeeCalc!S:S,MATCH(C203,FeeCalc!F:F,0)),0)</f>
        <v>37770.606433705063</v>
      </c>
      <c r="AP203" s="81">
        <f t="shared" si="72"/>
        <v>648855.25495849957</v>
      </c>
      <c r="AQ203" s="68">
        <f t="shared" si="73"/>
        <v>255358.28329942745</v>
      </c>
      <c r="AR203" s="68">
        <f>INDEX('IGT Commitment Suggestions'!H:H,MATCH(G203,'IGT Commitment Suggestions'!A:A,0))*AQ203</f>
        <v>117330.52043813924</v>
      </c>
    </row>
    <row r="204" spans="1:44">
      <c r="A204" s="103" t="s">
        <v>545</v>
      </c>
      <c r="B204" s="123" t="s">
        <v>545</v>
      </c>
      <c r="C204" s="30" t="s">
        <v>546</v>
      </c>
      <c r="D204" s="124" t="s">
        <v>546</v>
      </c>
      <c r="E204" s="119" t="s">
        <v>2877</v>
      </c>
      <c r="F204" s="99" t="s">
        <v>2295</v>
      </c>
      <c r="G204" s="99" t="s">
        <v>1486</v>
      </c>
      <c r="H204" s="42" t="str">
        <f t="shared" si="59"/>
        <v>Rural MRSA Central</v>
      </c>
      <c r="I204" s="44">
        <f>INDEX(FeeCalc!M:M,MATCH(C:C,FeeCalc!F:F,0))</f>
        <v>50193.809991184295</v>
      </c>
      <c r="J204" s="44">
        <f>INDEX(FeeCalc!L:L,MATCH(C:C,FeeCalc!F:F,0))</f>
        <v>282360.22864832642</v>
      </c>
      <c r="K204" s="44">
        <f t="shared" si="60"/>
        <v>332554.03863951069</v>
      </c>
      <c r="L204" s="44">
        <v>33266.42</v>
      </c>
      <c r="M204" s="44">
        <v>49131.47</v>
      </c>
      <c r="N204" s="44">
        <f t="shared" si="61"/>
        <v>82397.89</v>
      </c>
      <c r="O204" s="44">
        <v>-100.98386476893938</v>
      </c>
      <c r="P204" s="44">
        <v>13054.004380149563</v>
      </c>
      <c r="Q204" s="44">
        <f t="shared" si="62"/>
        <v>12953.020515380624</v>
      </c>
      <c r="R204" s="44" t="str">
        <f t="shared" si="63"/>
        <v>No</v>
      </c>
      <c r="S204" s="45" t="str">
        <f t="shared" si="63"/>
        <v>Yes</v>
      </c>
      <c r="T204" s="46">
        <f>ROUND(INDEX(Summary!H:H,MATCH(H:H,Summary!A:A,0)),2)</f>
        <v>0.11</v>
      </c>
      <c r="U204" s="46">
        <f>ROUND(INDEX(Summary!I:I,MATCH(H:H,Summary!A:A,0)),2)</f>
        <v>0.09</v>
      </c>
      <c r="V204" s="79">
        <f t="shared" si="64"/>
        <v>5521.3190990302728</v>
      </c>
      <c r="W204" s="79">
        <f t="shared" si="64"/>
        <v>25412.420578349378</v>
      </c>
      <c r="X204" s="44">
        <f t="shared" si="65"/>
        <v>30933.73967737965</v>
      </c>
      <c r="Y204" s="44" t="s">
        <v>2765</v>
      </c>
      <c r="Z204" s="44" t="str">
        <f t="shared" si="66"/>
        <v>No</v>
      </c>
      <c r="AA204" s="44" t="str">
        <f t="shared" si="66"/>
        <v>No</v>
      </c>
      <c r="AB204" s="44" t="str">
        <f t="shared" si="67"/>
        <v>No</v>
      </c>
      <c r="AC204" s="80">
        <f t="shared" si="74"/>
        <v>0</v>
      </c>
      <c r="AD204" s="80">
        <f t="shared" si="75"/>
        <v>0</v>
      </c>
      <c r="AE204" s="44">
        <f t="shared" si="68"/>
        <v>0</v>
      </c>
      <c r="AF204" s="44">
        <f t="shared" si="68"/>
        <v>0</v>
      </c>
      <c r="AG204" s="44">
        <f t="shared" si="69"/>
        <v>0</v>
      </c>
      <c r="AH204" s="46">
        <f>IF(Y204="No",0,IFERROR(ROUNDDOWN(INDEX('90% of ACR'!K:K,MATCH(H:H,'90% of ACR'!A:A,0))*IF(I204&gt;0,IF(O204&gt;0,$R$4*MAX(O204-V204,0),0),0)/I204,2),0))</f>
        <v>0</v>
      </c>
      <c r="AI204" s="80">
        <f>IF(Y204="No",0,IFERROR(ROUNDDOWN(INDEX('90% of ACR'!R:R,MATCH(H:H,'90% of ACR'!A:A,0))*IF(J204&gt;0,IF(P204&gt;0,$R$4*MAX(P204-W204,0),0),0)/J204,2),0))</f>
        <v>0</v>
      </c>
      <c r="AJ204" s="44">
        <f t="shared" si="70"/>
        <v>0</v>
      </c>
      <c r="AK204" s="44">
        <f t="shared" si="70"/>
        <v>0</v>
      </c>
      <c r="AL204" s="46">
        <f t="shared" si="71"/>
        <v>0.11</v>
      </c>
      <c r="AM204" s="46">
        <f t="shared" si="71"/>
        <v>0.09</v>
      </c>
      <c r="AN204" s="81">
        <f>IFERROR(INDEX(FeeCalc!P:P,MATCH(C204,FeeCalc!F:F,0)),0)</f>
        <v>30933.73967737965</v>
      </c>
      <c r="AO204" s="81">
        <f>IFERROR(INDEX(FeeCalc!S:S,MATCH(C204,FeeCalc!F:F,0)),0)</f>
        <v>1923.6916875790375</v>
      </c>
      <c r="AP204" s="81">
        <f t="shared" si="72"/>
        <v>32857.431364958684</v>
      </c>
      <c r="AQ204" s="68">
        <f t="shared" si="73"/>
        <v>12931.107828542221</v>
      </c>
      <c r="AR204" s="68">
        <f>INDEX('IGT Commitment Suggestions'!H:H,MATCH(G204,'IGT Commitment Suggestions'!A:A,0))*AQ204</f>
        <v>5907.4080390424315</v>
      </c>
    </row>
    <row r="205" spans="1:44">
      <c r="A205" s="103" t="s">
        <v>386</v>
      </c>
      <c r="B205" s="123" t="s">
        <v>386</v>
      </c>
      <c r="C205" s="30" t="s">
        <v>387</v>
      </c>
      <c r="D205" s="124" t="s">
        <v>387</v>
      </c>
      <c r="E205" s="119" t="s">
        <v>2462</v>
      </c>
      <c r="F205" s="99" t="s">
        <v>2283</v>
      </c>
      <c r="G205" s="99" t="s">
        <v>1202</v>
      </c>
      <c r="H205" s="42" t="str">
        <f t="shared" si="59"/>
        <v>Urban Travis</v>
      </c>
      <c r="I205" s="44">
        <f>INDEX(FeeCalc!M:M,MATCH(C:C,FeeCalc!F:F,0))</f>
        <v>3153632.1267484371</v>
      </c>
      <c r="J205" s="44">
        <f>INDEX(FeeCalc!L:L,MATCH(C:C,FeeCalc!F:F,0))</f>
        <v>1513333.4570201642</v>
      </c>
      <c r="K205" s="44">
        <f t="shared" si="60"/>
        <v>4666965.5837686015</v>
      </c>
      <c r="L205" s="44">
        <v>2280687.2999999998</v>
      </c>
      <c r="M205" s="44">
        <v>1393099.12</v>
      </c>
      <c r="N205" s="44">
        <f t="shared" si="61"/>
        <v>3673786.42</v>
      </c>
      <c r="O205" s="44">
        <v>5265058.9935981743</v>
      </c>
      <c r="P205" s="44">
        <v>1477756.1759160622</v>
      </c>
      <c r="Q205" s="44">
        <f t="shared" si="62"/>
        <v>6742815.169514237</v>
      </c>
      <c r="R205" s="44" t="str">
        <f t="shared" si="63"/>
        <v>Yes</v>
      </c>
      <c r="S205" s="45" t="str">
        <f t="shared" si="63"/>
        <v>Yes</v>
      </c>
      <c r="T205" s="46">
        <f>ROUND(INDEX(Summary!H:H,MATCH(H:H,Summary!A:A,0)),2)</f>
        <v>0.4</v>
      </c>
      <c r="U205" s="46">
        <f>ROUND(INDEX(Summary!I:I,MATCH(H:H,Summary!A:A,0)),2)</f>
        <v>1.03</v>
      </c>
      <c r="V205" s="79">
        <f t="shared" si="64"/>
        <v>1261452.8506993749</v>
      </c>
      <c r="W205" s="79">
        <f t="shared" si="64"/>
        <v>1558733.4607307692</v>
      </c>
      <c r="X205" s="44">
        <f t="shared" si="65"/>
        <v>2820186.3114301441</v>
      </c>
      <c r="Y205" s="44" t="s">
        <v>2765</v>
      </c>
      <c r="Z205" s="44" t="str">
        <f t="shared" si="66"/>
        <v>Yes</v>
      </c>
      <c r="AA205" s="44" t="str">
        <f t="shared" si="66"/>
        <v>No</v>
      </c>
      <c r="AB205" s="44" t="str">
        <f t="shared" si="67"/>
        <v>Yes</v>
      </c>
      <c r="AC205" s="80">
        <f t="shared" si="74"/>
        <v>0.88</v>
      </c>
      <c r="AD205" s="80">
        <f t="shared" si="75"/>
        <v>0</v>
      </c>
      <c r="AE205" s="44">
        <f t="shared" si="68"/>
        <v>2775196.2715386245</v>
      </c>
      <c r="AF205" s="44">
        <f t="shared" si="68"/>
        <v>0</v>
      </c>
      <c r="AG205" s="44">
        <f t="shared" si="69"/>
        <v>2775196.2715386245</v>
      </c>
      <c r="AH205" s="46">
        <f>IF(Y205="No",0,IFERROR(ROUNDDOWN(INDEX('90% of ACR'!K:K,MATCH(H:H,'90% of ACR'!A:A,0))*IF(I205&gt;0,IF(O205&gt;0,$R$4*MAX(O205-V205,0),0),0)/I205,2),0))</f>
        <v>0.88</v>
      </c>
      <c r="AI205" s="80">
        <f>IF(Y205="No",0,IFERROR(ROUNDDOWN(INDEX('90% of ACR'!R:R,MATCH(H:H,'90% of ACR'!A:A,0))*IF(J205&gt;0,IF(P205&gt;0,$R$4*MAX(P205-W205,0),0),0)/J205,2),0))</f>
        <v>0</v>
      </c>
      <c r="AJ205" s="44">
        <f t="shared" si="70"/>
        <v>2775196.2715386245</v>
      </c>
      <c r="AK205" s="44">
        <f t="shared" si="70"/>
        <v>0</v>
      </c>
      <c r="AL205" s="46">
        <f t="shared" si="71"/>
        <v>1.28</v>
      </c>
      <c r="AM205" s="46">
        <f t="shared" si="71"/>
        <v>1.03</v>
      </c>
      <c r="AN205" s="81">
        <f>IFERROR(INDEX(FeeCalc!P:P,MATCH(C205,FeeCalc!F:F,0)),0)</f>
        <v>5595382.5829687687</v>
      </c>
      <c r="AO205" s="81">
        <f>IFERROR(INDEX(FeeCalc!S:S,MATCH(C205,FeeCalc!F:F,0)),0)</f>
        <v>343979.37260229647</v>
      </c>
      <c r="AP205" s="81">
        <f t="shared" si="72"/>
        <v>5939361.9555710647</v>
      </c>
      <c r="AQ205" s="68">
        <f t="shared" si="73"/>
        <v>2337447.7763389042</v>
      </c>
      <c r="AR205" s="68">
        <f>INDEX('IGT Commitment Suggestions'!H:H,MATCH(G205,'IGT Commitment Suggestions'!A:A,0))*AQ205</f>
        <v>1073996.7411718178</v>
      </c>
    </row>
    <row r="206" spans="1:44">
      <c r="A206" s="103" t="s">
        <v>392</v>
      </c>
      <c r="B206" s="123" t="s">
        <v>392</v>
      </c>
      <c r="C206" s="30" t="s">
        <v>393</v>
      </c>
      <c r="D206" s="124" t="s">
        <v>393</v>
      </c>
      <c r="E206" s="119" t="s">
        <v>2467</v>
      </c>
      <c r="F206" s="99" t="s">
        <v>1547</v>
      </c>
      <c r="G206" s="99" t="s">
        <v>1202</v>
      </c>
      <c r="H206" s="42" t="str">
        <f t="shared" si="59"/>
        <v>Children's Travis</v>
      </c>
      <c r="I206" s="44">
        <f>INDEX(FeeCalc!M:M,MATCH(C:C,FeeCalc!F:F,0))</f>
        <v>62604556.760125577</v>
      </c>
      <c r="J206" s="44">
        <f>INDEX(FeeCalc!L:L,MATCH(C:C,FeeCalc!F:F,0))</f>
        <v>19574621.043671981</v>
      </c>
      <c r="K206" s="44">
        <f t="shared" si="60"/>
        <v>82179177.803797558</v>
      </c>
      <c r="L206" s="44">
        <v>-8486159.6899999995</v>
      </c>
      <c r="M206" s="44">
        <v>7421761.0599999996</v>
      </c>
      <c r="N206" s="44">
        <f t="shared" si="61"/>
        <v>-1064398.6299999999</v>
      </c>
      <c r="O206" s="44">
        <v>133245726.61420688</v>
      </c>
      <c r="P206" s="44">
        <v>39519806.024486318</v>
      </c>
      <c r="Q206" s="44">
        <f t="shared" si="62"/>
        <v>172765532.63869321</v>
      </c>
      <c r="R206" s="44" t="str">
        <f t="shared" si="63"/>
        <v>Yes</v>
      </c>
      <c r="S206" s="45" t="str">
        <f t="shared" si="63"/>
        <v>Yes</v>
      </c>
      <c r="T206" s="46">
        <f>ROUND(INDEX(Summary!H:H,MATCH(H:H,Summary!A:A,0)),2)</f>
        <v>0</v>
      </c>
      <c r="U206" s="46">
        <f>ROUND(INDEX(Summary!I:I,MATCH(H:H,Summary!A:A,0)),2)</f>
        <v>0.38</v>
      </c>
      <c r="V206" s="79">
        <f t="shared" si="64"/>
        <v>0</v>
      </c>
      <c r="W206" s="79">
        <f t="shared" si="64"/>
        <v>7438355.9965953529</v>
      </c>
      <c r="X206" s="44">
        <f t="shared" si="65"/>
        <v>7438355.9965953529</v>
      </c>
      <c r="Y206" s="44" t="s">
        <v>2765</v>
      </c>
      <c r="Z206" s="44" t="str">
        <f t="shared" si="66"/>
        <v>Yes</v>
      </c>
      <c r="AA206" s="44" t="str">
        <f t="shared" si="66"/>
        <v>Yes</v>
      </c>
      <c r="AB206" s="44" t="str">
        <f t="shared" si="67"/>
        <v>Yes</v>
      </c>
      <c r="AC206" s="80">
        <f t="shared" si="74"/>
        <v>1.48</v>
      </c>
      <c r="AD206" s="80">
        <f t="shared" si="75"/>
        <v>1.1399999999999999</v>
      </c>
      <c r="AE206" s="44">
        <f t="shared" si="68"/>
        <v>92654744.004985854</v>
      </c>
      <c r="AF206" s="44">
        <f t="shared" si="68"/>
        <v>22315067.989786055</v>
      </c>
      <c r="AG206" s="44">
        <f t="shared" si="69"/>
        <v>114969811.99477191</v>
      </c>
      <c r="AH206" s="46">
        <f>IF(Y206="No",0,IFERROR(ROUNDDOWN(INDEX('90% of ACR'!K:K,MATCH(H:H,'90% of ACR'!A:A,0))*IF(I206&gt;0,IF(O206&gt;0,$R$4*MAX(O206-V206,0),0),0)/I206,2),0))</f>
        <v>1.48</v>
      </c>
      <c r="AI206" s="80">
        <f>IF(Y206="No",0,IFERROR(ROUNDDOWN(INDEX('90% of ACR'!R:R,MATCH(H:H,'90% of ACR'!A:A,0))*IF(J206&gt;0,IF(P206&gt;0,$R$4*MAX(P206-W206,0),0),0)/J206,2),0))</f>
        <v>1.1399999999999999</v>
      </c>
      <c r="AJ206" s="44">
        <f t="shared" si="70"/>
        <v>92654744.004985854</v>
      </c>
      <c r="AK206" s="44">
        <f t="shared" si="70"/>
        <v>22315067.989786055</v>
      </c>
      <c r="AL206" s="46">
        <f t="shared" si="71"/>
        <v>1.48</v>
      </c>
      <c r="AM206" s="46">
        <f t="shared" si="71"/>
        <v>1.52</v>
      </c>
      <c r="AN206" s="81">
        <f>IFERROR(INDEX(FeeCalc!P:P,MATCH(C206,FeeCalc!F:F,0)),0)</f>
        <v>122408167.99136727</v>
      </c>
      <c r="AO206" s="81">
        <f>IFERROR(INDEX(FeeCalc!S:S,MATCH(C206,FeeCalc!F:F,0)),0)</f>
        <v>7472231.5573110878</v>
      </c>
      <c r="AP206" s="81">
        <f t="shared" si="72"/>
        <v>129880399.54867835</v>
      </c>
      <c r="AQ206" s="68">
        <f t="shared" si="73"/>
        <v>51114691.003181465</v>
      </c>
      <c r="AR206" s="68">
        <f>INDEX('IGT Commitment Suggestions'!H:H,MATCH(G206,'IGT Commitment Suggestions'!A:A,0))*AQ206</f>
        <v>23485877.254295442</v>
      </c>
    </row>
    <row r="207" spans="1:44">
      <c r="A207" s="103" t="s">
        <v>1034</v>
      </c>
      <c r="B207" s="123" t="s">
        <v>1034</v>
      </c>
      <c r="C207" s="30" t="s">
        <v>1035</v>
      </c>
      <c r="D207" s="124" t="s">
        <v>1035</v>
      </c>
      <c r="E207" s="119" t="s">
        <v>2468</v>
      </c>
      <c r="F207" s="99" t="s">
        <v>2283</v>
      </c>
      <c r="G207" s="99" t="s">
        <v>1202</v>
      </c>
      <c r="H207" s="42" t="str">
        <f t="shared" si="59"/>
        <v>Urban Travis</v>
      </c>
      <c r="I207" s="44">
        <f>INDEX(FeeCalc!M:M,MATCH(C:C,FeeCalc!F:F,0))</f>
        <v>2463739.1700724619</v>
      </c>
      <c r="J207" s="44">
        <f>INDEX(FeeCalc!L:L,MATCH(C:C,FeeCalc!F:F,0))</f>
        <v>1705780.288171601</v>
      </c>
      <c r="K207" s="44">
        <f t="shared" si="60"/>
        <v>4169519.458244063</v>
      </c>
      <c r="L207" s="44">
        <v>1434675.18</v>
      </c>
      <c r="M207" s="44">
        <v>1761754.51</v>
      </c>
      <c r="N207" s="44">
        <f t="shared" si="61"/>
        <v>3196429.69</v>
      </c>
      <c r="O207" s="44">
        <v>6524860.0569691435</v>
      </c>
      <c r="P207" s="44">
        <v>2122701.3231872581</v>
      </c>
      <c r="Q207" s="44">
        <f t="shared" si="62"/>
        <v>8647561.3801564015</v>
      </c>
      <c r="R207" s="44" t="str">
        <f t="shared" si="63"/>
        <v>Yes</v>
      </c>
      <c r="S207" s="45" t="str">
        <f t="shared" si="63"/>
        <v>Yes</v>
      </c>
      <c r="T207" s="46">
        <f>ROUND(INDEX(Summary!H:H,MATCH(H:H,Summary!A:A,0)),2)</f>
        <v>0.4</v>
      </c>
      <c r="U207" s="46">
        <f>ROUND(INDEX(Summary!I:I,MATCH(H:H,Summary!A:A,0)),2)</f>
        <v>1.03</v>
      </c>
      <c r="V207" s="79">
        <f t="shared" si="64"/>
        <v>985495.6680289848</v>
      </c>
      <c r="W207" s="79">
        <f t="shared" si="64"/>
        <v>1756953.6968167492</v>
      </c>
      <c r="X207" s="44">
        <f t="shared" si="65"/>
        <v>2742449.3648457341</v>
      </c>
      <c r="Y207" s="44" t="s">
        <v>2765</v>
      </c>
      <c r="Z207" s="44" t="str">
        <f t="shared" si="66"/>
        <v>Yes</v>
      </c>
      <c r="AA207" s="44" t="str">
        <f t="shared" si="66"/>
        <v>Yes</v>
      </c>
      <c r="AB207" s="44" t="str">
        <f t="shared" si="67"/>
        <v>Yes</v>
      </c>
      <c r="AC207" s="80">
        <f t="shared" si="74"/>
        <v>1.57</v>
      </c>
      <c r="AD207" s="80">
        <f t="shared" si="75"/>
        <v>0.15</v>
      </c>
      <c r="AE207" s="44">
        <f t="shared" si="68"/>
        <v>3868070.4970137654</v>
      </c>
      <c r="AF207" s="44">
        <f t="shared" si="68"/>
        <v>255867.04322574014</v>
      </c>
      <c r="AG207" s="44">
        <f t="shared" si="69"/>
        <v>4123937.5402395055</v>
      </c>
      <c r="AH207" s="46">
        <f>IF(Y207="No",0,IFERROR(ROUNDDOWN(INDEX('90% of ACR'!K:K,MATCH(H:H,'90% of ACR'!A:A,0))*IF(I207&gt;0,IF(O207&gt;0,$R$4*MAX(O207-V207,0),0),0)/I207,2),0))</f>
        <v>1.56</v>
      </c>
      <c r="AI207" s="80">
        <f>IF(Y207="No",0,IFERROR(ROUNDDOWN(INDEX('90% of ACR'!R:R,MATCH(H:H,'90% of ACR'!A:A,0))*IF(J207&gt;0,IF(P207&gt;0,$R$4*MAX(P207-W207,0),0),0)/J207,2),0))</f>
        <v>0.06</v>
      </c>
      <c r="AJ207" s="44">
        <f t="shared" si="70"/>
        <v>3843433.1053130408</v>
      </c>
      <c r="AK207" s="44">
        <f t="shared" si="70"/>
        <v>102346.81729029605</v>
      </c>
      <c r="AL207" s="46">
        <f t="shared" si="71"/>
        <v>1.96</v>
      </c>
      <c r="AM207" s="46">
        <f t="shared" si="71"/>
        <v>1.0900000000000001</v>
      </c>
      <c r="AN207" s="81">
        <f>IFERROR(INDEX(FeeCalc!P:P,MATCH(C207,FeeCalc!F:F,0)),0)</f>
        <v>6688229.2874490712</v>
      </c>
      <c r="AO207" s="81">
        <f>IFERROR(INDEX(FeeCalc!S:S,MATCH(C207,FeeCalc!F:F,0)),0)</f>
        <v>417046.0876534101</v>
      </c>
      <c r="AP207" s="81">
        <f t="shared" si="72"/>
        <v>7105275.3751024809</v>
      </c>
      <c r="AQ207" s="68">
        <f t="shared" si="73"/>
        <v>2796295.3344223318</v>
      </c>
      <c r="AR207" s="68">
        <f>INDEX('IGT Commitment Suggestions'!H:H,MATCH(G207,'IGT Commitment Suggestions'!A:A,0))*AQ207</f>
        <v>1284825.3154247627</v>
      </c>
    </row>
    <row r="208" spans="1:44">
      <c r="A208" s="103" t="s">
        <v>1031</v>
      </c>
      <c r="B208" s="123" t="s">
        <v>1031</v>
      </c>
      <c r="C208" s="30" t="s">
        <v>1032</v>
      </c>
      <c r="D208" s="124" t="s">
        <v>1032</v>
      </c>
      <c r="E208" s="119" t="s">
        <v>2466</v>
      </c>
      <c r="F208" s="99" t="s">
        <v>2283</v>
      </c>
      <c r="G208" s="99" t="s">
        <v>1202</v>
      </c>
      <c r="H208" s="42" t="str">
        <f t="shared" si="59"/>
        <v>Urban Travis</v>
      </c>
      <c r="I208" s="44">
        <f>INDEX(FeeCalc!M:M,MATCH(C:C,FeeCalc!F:F,0))</f>
        <v>4557746.2133892654</v>
      </c>
      <c r="J208" s="44">
        <f>INDEX(FeeCalc!L:L,MATCH(C:C,FeeCalc!F:F,0))</f>
        <v>1951739.7836819161</v>
      </c>
      <c r="K208" s="44">
        <f t="shared" si="60"/>
        <v>6509485.9970711814</v>
      </c>
      <c r="L208" s="44">
        <v>2705232.9</v>
      </c>
      <c r="M208" s="44">
        <v>2466853.92</v>
      </c>
      <c r="N208" s="44">
        <f t="shared" si="61"/>
        <v>5172086.82</v>
      </c>
      <c r="O208" s="44">
        <v>9373134.1691778637</v>
      </c>
      <c r="P208" s="44">
        <v>2771656.1536327312</v>
      </c>
      <c r="Q208" s="44">
        <f t="shared" si="62"/>
        <v>12144790.322810594</v>
      </c>
      <c r="R208" s="44" t="str">
        <f t="shared" si="63"/>
        <v>Yes</v>
      </c>
      <c r="S208" s="45" t="str">
        <f t="shared" si="63"/>
        <v>Yes</v>
      </c>
      <c r="T208" s="46">
        <f>ROUND(INDEX(Summary!H:H,MATCH(H:H,Summary!A:A,0)),2)</f>
        <v>0.4</v>
      </c>
      <c r="U208" s="46">
        <f>ROUND(INDEX(Summary!I:I,MATCH(H:H,Summary!A:A,0)),2)</f>
        <v>1.03</v>
      </c>
      <c r="V208" s="79">
        <f t="shared" si="64"/>
        <v>1823098.4853557062</v>
      </c>
      <c r="W208" s="79">
        <f t="shared" si="64"/>
        <v>2010291.9771923737</v>
      </c>
      <c r="X208" s="44">
        <f t="shared" si="65"/>
        <v>3833390.4625480799</v>
      </c>
      <c r="Y208" s="44" t="s">
        <v>2765</v>
      </c>
      <c r="Z208" s="44" t="str">
        <f t="shared" si="66"/>
        <v>Yes</v>
      </c>
      <c r="AA208" s="44" t="str">
        <f t="shared" si="66"/>
        <v>Yes</v>
      </c>
      <c r="AB208" s="44" t="str">
        <f t="shared" si="67"/>
        <v>Yes</v>
      </c>
      <c r="AC208" s="80">
        <f t="shared" si="74"/>
        <v>1.1499999999999999</v>
      </c>
      <c r="AD208" s="80">
        <f t="shared" si="75"/>
        <v>0.27</v>
      </c>
      <c r="AE208" s="44">
        <f t="shared" si="68"/>
        <v>5241408.1453976547</v>
      </c>
      <c r="AF208" s="44">
        <f t="shared" si="68"/>
        <v>526969.74159411737</v>
      </c>
      <c r="AG208" s="44">
        <f t="shared" si="69"/>
        <v>5768377.8869917719</v>
      </c>
      <c r="AH208" s="46">
        <f>IF(Y208="No",0,IFERROR(ROUNDDOWN(INDEX('90% of ACR'!K:K,MATCH(H:H,'90% of ACR'!A:A,0))*IF(I208&gt;0,IF(O208&gt;0,$R$4*MAX(O208-V208,0),0),0)/I208,2),0))</f>
        <v>1.1499999999999999</v>
      </c>
      <c r="AI208" s="80">
        <f>IF(Y208="No",0,IFERROR(ROUNDDOWN(INDEX('90% of ACR'!R:R,MATCH(H:H,'90% of ACR'!A:A,0))*IF(J208&gt;0,IF(P208&gt;0,$R$4*MAX(P208-W208,0),0),0)/J208,2),0))</f>
        <v>0.12</v>
      </c>
      <c r="AJ208" s="44">
        <f t="shared" si="70"/>
        <v>5241408.1453976547</v>
      </c>
      <c r="AK208" s="44">
        <f t="shared" si="70"/>
        <v>234208.77404182992</v>
      </c>
      <c r="AL208" s="46">
        <f t="shared" si="71"/>
        <v>1.5499999999999998</v>
      </c>
      <c r="AM208" s="46">
        <f t="shared" si="71"/>
        <v>1.1499999999999999</v>
      </c>
      <c r="AN208" s="81">
        <f>IFERROR(INDEX(FeeCalc!P:P,MATCH(C208,FeeCalc!F:F,0)),0)</f>
        <v>9309007.3819875643</v>
      </c>
      <c r="AO208" s="81">
        <f>IFERROR(INDEX(FeeCalc!S:S,MATCH(C208,FeeCalc!F:F,0)),0)</f>
        <v>576843.53397473902</v>
      </c>
      <c r="AP208" s="81">
        <f t="shared" si="72"/>
        <v>9885850.9159623031</v>
      </c>
      <c r="AQ208" s="68">
        <f t="shared" si="73"/>
        <v>3890596.3996787965</v>
      </c>
      <c r="AR208" s="68">
        <f>INDEX('IGT Commitment Suggestions'!H:H,MATCH(G208,'IGT Commitment Suggestions'!A:A,0))*AQ208</f>
        <v>1787628.3255468123</v>
      </c>
    </row>
    <row r="209" spans="1:44">
      <c r="A209" s="103" t="s">
        <v>1621</v>
      </c>
      <c r="B209" s="123" t="s">
        <v>1621</v>
      </c>
      <c r="C209" s="30" t="s">
        <v>1622</v>
      </c>
      <c r="D209" s="124" t="s">
        <v>1622</v>
      </c>
      <c r="E209" s="119" t="s">
        <v>2469</v>
      </c>
      <c r="F209" s="99" t="s">
        <v>2283</v>
      </c>
      <c r="G209" s="99" t="s">
        <v>1202</v>
      </c>
      <c r="H209" s="42" t="str">
        <f t="shared" si="59"/>
        <v>Urban Travis</v>
      </c>
      <c r="I209" s="44">
        <f>INDEX(FeeCalc!M:M,MATCH(C:C,FeeCalc!F:F,0))</f>
        <v>46043.164041424432</v>
      </c>
      <c r="J209" s="44">
        <f>INDEX(FeeCalc!L:L,MATCH(C:C,FeeCalc!F:F,0))</f>
        <v>570414.47845829616</v>
      </c>
      <c r="K209" s="44">
        <f t="shared" si="60"/>
        <v>616457.64249972056</v>
      </c>
      <c r="L209" s="44">
        <v>77191.33</v>
      </c>
      <c r="M209" s="44">
        <v>270277.57</v>
      </c>
      <c r="N209" s="44">
        <f t="shared" si="61"/>
        <v>347468.9</v>
      </c>
      <c r="O209" s="44">
        <v>79477.788280614914</v>
      </c>
      <c r="P209" s="44">
        <v>273195.50190464652</v>
      </c>
      <c r="Q209" s="44">
        <f t="shared" si="62"/>
        <v>352673.2901852614</v>
      </c>
      <c r="R209" s="44" t="str">
        <f t="shared" si="63"/>
        <v>Yes</v>
      </c>
      <c r="S209" s="45" t="str">
        <f t="shared" si="63"/>
        <v>Yes</v>
      </c>
      <c r="T209" s="46">
        <f>ROUND(INDEX(Summary!H:H,MATCH(H:H,Summary!A:A,0)),2)</f>
        <v>0.4</v>
      </c>
      <c r="U209" s="46">
        <f>ROUND(INDEX(Summary!I:I,MATCH(H:H,Summary!A:A,0)),2)</f>
        <v>1.03</v>
      </c>
      <c r="V209" s="79">
        <f t="shared" si="64"/>
        <v>18417.265616569774</v>
      </c>
      <c r="W209" s="79">
        <f t="shared" si="64"/>
        <v>587526.91281204508</v>
      </c>
      <c r="X209" s="44">
        <f t="shared" si="65"/>
        <v>605944.17842861486</v>
      </c>
      <c r="Y209" s="44" t="s">
        <v>2765</v>
      </c>
      <c r="Z209" s="44" t="str">
        <f t="shared" si="66"/>
        <v>Yes</v>
      </c>
      <c r="AA209" s="44" t="str">
        <f t="shared" si="66"/>
        <v>No</v>
      </c>
      <c r="AB209" s="44" t="str">
        <f t="shared" si="67"/>
        <v>Yes</v>
      </c>
      <c r="AC209" s="80">
        <f t="shared" si="74"/>
        <v>0.92</v>
      </c>
      <c r="AD209" s="80">
        <f t="shared" si="75"/>
        <v>0</v>
      </c>
      <c r="AE209" s="44">
        <f t="shared" si="68"/>
        <v>42359.710918110482</v>
      </c>
      <c r="AF209" s="44">
        <f t="shared" si="68"/>
        <v>0</v>
      </c>
      <c r="AG209" s="44">
        <f t="shared" si="69"/>
        <v>42359.710918110482</v>
      </c>
      <c r="AH209" s="46">
        <f>IF(Y209="No",0,IFERROR(ROUNDDOWN(INDEX('90% of ACR'!K:K,MATCH(H:H,'90% of ACR'!A:A,0))*IF(I209&gt;0,IF(O209&gt;0,$R$4*MAX(O209-V209,0),0),0)/I209,2),0))</f>
        <v>0.92</v>
      </c>
      <c r="AI209" s="80">
        <f>IF(Y209="No",0,IFERROR(ROUNDDOWN(INDEX('90% of ACR'!R:R,MATCH(H:H,'90% of ACR'!A:A,0))*IF(J209&gt;0,IF(P209&gt;0,$R$4*MAX(P209-W209,0),0),0)/J209,2),0))</f>
        <v>0</v>
      </c>
      <c r="AJ209" s="44">
        <f t="shared" si="70"/>
        <v>42359.710918110482</v>
      </c>
      <c r="AK209" s="44">
        <f t="shared" si="70"/>
        <v>0</v>
      </c>
      <c r="AL209" s="46">
        <f t="shared" si="71"/>
        <v>1.32</v>
      </c>
      <c r="AM209" s="46">
        <f t="shared" si="71"/>
        <v>1.03</v>
      </c>
      <c r="AN209" s="81">
        <f>IFERROR(INDEX(FeeCalc!P:P,MATCH(C209,FeeCalc!F:F,0)),0)</f>
        <v>648303.88934672531</v>
      </c>
      <c r="AO209" s="81">
        <f>IFERROR(INDEX(FeeCalc!S:S,MATCH(C209,FeeCalc!F:F,0)),0)</f>
        <v>40205.2374063311</v>
      </c>
      <c r="AP209" s="81">
        <f t="shared" si="72"/>
        <v>688509.12675305642</v>
      </c>
      <c r="AQ209" s="68">
        <f t="shared" si="73"/>
        <v>270964.14385191887</v>
      </c>
      <c r="AR209" s="68">
        <f>INDEX('IGT Commitment Suggestions'!H:H,MATCH(G209,'IGT Commitment Suggestions'!A:A,0))*AQ209</f>
        <v>124501.0093561032</v>
      </c>
    </row>
    <row r="210" spans="1:44">
      <c r="A210" s="103" t="s">
        <v>2545</v>
      </c>
      <c r="B210" s="123" t="s">
        <v>2545</v>
      </c>
      <c r="C210" s="30" t="s">
        <v>2739</v>
      </c>
      <c r="D210" s="124" t="s">
        <v>2739</v>
      </c>
      <c r="E210" s="119" t="s">
        <v>2546</v>
      </c>
      <c r="F210" s="99" t="s">
        <v>2283</v>
      </c>
      <c r="G210" s="99" t="s">
        <v>1202</v>
      </c>
      <c r="H210" s="42" t="str">
        <f t="shared" si="59"/>
        <v>Urban Travis</v>
      </c>
      <c r="I210" s="44">
        <f>INDEX(FeeCalc!M:M,MATCH(C:C,FeeCalc!F:F,0))</f>
        <v>0</v>
      </c>
      <c r="J210" s="44">
        <f>INDEX(FeeCalc!L:L,MATCH(C:C,FeeCalc!F:F,0))</f>
        <v>610.47244484006023</v>
      </c>
      <c r="K210" s="44">
        <f t="shared" si="60"/>
        <v>610.47244484006023</v>
      </c>
      <c r="L210" s="44">
        <v>0</v>
      </c>
      <c r="M210" s="44">
        <v>1100.6099999999999</v>
      </c>
      <c r="N210" s="44">
        <f t="shared" si="61"/>
        <v>1100.6099999999999</v>
      </c>
      <c r="O210" s="44">
        <v>0</v>
      </c>
      <c r="P210" s="44">
        <v>2122.0332664004513</v>
      </c>
      <c r="Q210" s="44">
        <f t="shared" si="62"/>
        <v>2122.0332664004513</v>
      </c>
      <c r="R210" s="44" t="str">
        <f t="shared" si="63"/>
        <v>No</v>
      </c>
      <c r="S210" s="45" t="str">
        <f t="shared" si="63"/>
        <v>Yes</v>
      </c>
      <c r="T210" s="46">
        <f>ROUND(INDEX(Summary!H:H,MATCH(H:H,Summary!A:A,0)),2)</f>
        <v>0.4</v>
      </c>
      <c r="U210" s="46">
        <f>ROUND(INDEX(Summary!I:I,MATCH(H:H,Summary!A:A,0)),2)</f>
        <v>1.03</v>
      </c>
      <c r="V210" s="79">
        <f t="shared" si="64"/>
        <v>0</v>
      </c>
      <c r="W210" s="79">
        <f t="shared" si="64"/>
        <v>628.78661818526211</v>
      </c>
      <c r="X210" s="44">
        <f t="shared" si="65"/>
        <v>628.78661818526211</v>
      </c>
      <c r="Y210" s="44" t="s">
        <v>2765</v>
      </c>
      <c r="Z210" s="44" t="str">
        <f t="shared" si="66"/>
        <v>No</v>
      </c>
      <c r="AA210" s="44" t="str">
        <f t="shared" si="66"/>
        <v>Yes</v>
      </c>
      <c r="AB210" s="44" t="str">
        <f t="shared" si="67"/>
        <v>Yes</v>
      </c>
      <c r="AC210" s="80">
        <f t="shared" si="74"/>
        <v>0</v>
      </c>
      <c r="AD210" s="80">
        <f t="shared" si="75"/>
        <v>1.7</v>
      </c>
      <c r="AE210" s="44">
        <f t="shared" si="68"/>
        <v>0</v>
      </c>
      <c r="AF210" s="44">
        <f t="shared" si="68"/>
        <v>1037.8031562281024</v>
      </c>
      <c r="AG210" s="44">
        <f t="shared" si="69"/>
        <v>1037.8031562281024</v>
      </c>
      <c r="AH210" s="46">
        <f>IF(Y210="No",0,IFERROR(ROUNDDOWN(INDEX('90% of ACR'!K:K,MATCH(H:H,'90% of ACR'!A:A,0))*IF(I210&gt;0,IF(O210&gt;0,$R$4*MAX(O210-V210,0),0),0)/I210,2),0))</f>
        <v>0</v>
      </c>
      <c r="AI210" s="80">
        <f>IF(Y210="No",0,IFERROR(ROUNDDOWN(INDEX('90% of ACR'!R:R,MATCH(H:H,'90% of ACR'!A:A,0))*IF(J210&gt;0,IF(P210&gt;0,$R$4*MAX(P210-W210,0),0),0)/J210,2),0))</f>
        <v>0.76</v>
      </c>
      <c r="AJ210" s="44">
        <f t="shared" si="70"/>
        <v>0</v>
      </c>
      <c r="AK210" s="44">
        <f t="shared" si="70"/>
        <v>463.95905807844576</v>
      </c>
      <c r="AL210" s="46">
        <f t="shared" si="71"/>
        <v>0.4</v>
      </c>
      <c r="AM210" s="46">
        <f t="shared" si="71"/>
        <v>1.79</v>
      </c>
      <c r="AN210" s="81">
        <f>IFERROR(INDEX(FeeCalc!P:P,MATCH(C210,FeeCalc!F:F,0)),0)</f>
        <v>1092.7456762637078</v>
      </c>
      <c r="AO210" s="81">
        <f>IFERROR(INDEX(FeeCalc!S:S,MATCH(C210,FeeCalc!F:F,0)),0)</f>
        <v>66.666181841021967</v>
      </c>
      <c r="AP210" s="81">
        <f t="shared" si="72"/>
        <v>1159.4118581047296</v>
      </c>
      <c r="AQ210" s="68">
        <f t="shared" si="73"/>
        <v>456.28885558083255</v>
      </c>
      <c r="AR210" s="68">
        <f>INDEX('IGT Commitment Suggestions'!H:H,MATCH(G210,'IGT Commitment Suggestions'!A:A,0))*AQ210</f>
        <v>209.65291669292043</v>
      </c>
    </row>
    <row r="211" spans="1:44">
      <c r="A211" s="103" t="s">
        <v>1416</v>
      </c>
      <c r="B211" s="123" t="s">
        <v>1416</v>
      </c>
      <c r="C211" s="30" t="s">
        <v>1417</v>
      </c>
      <c r="D211" s="124" t="s">
        <v>1417</v>
      </c>
      <c r="E211" s="119" t="s">
        <v>2647</v>
      </c>
      <c r="F211" s="99" t="s">
        <v>2283</v>
      </c>
      <c r="G211" s="99" t="s">
        <v>1202</v>
      </c>
      <c r="H211" s="42" t="str">
        <f t="shared" si="59"/>
        <v>Urban Travis</v>
      </c>
      <c r="I211" s="44">
        <f>INDEX(FeeCalc!M:M,MATCH(C:C,FeeCalc!F:F,0))</f>
        <v>187841.73610447277</v>
      </c>
      <c r="J211" s="44">
        <f>INDEX(FeeCalc!L:L,MATCH(C:C,FeeCalc!F:F,0))</f>
        <v>0</v>
      </c>
      <c r="K211" s="44">
        <f t="shared" si="60"/>
        <v>187841.73610447277</v>
      </c>
      <c r="L211" s="44">
        <v>222598.79</v>
      </c>
      <c r="M211" s="44">
        <v>0</v>
      </c>
      <c r="N211" s="44">
        <f t="shared" si="61"/>
        <v>222598.79</v>
      </c>
      <c r="O211" s="44">
        <v>91676.462289102012</v>
      </c>
      <c r="P211" s="44">
        <v>0</v>
      </c>
      <c r="Q211" s="44">
        <f t="shared" si="62"/>
        <v>91676.462289102012</v>
      </c>
      <c r="R211" s="44" t="str">
        <f t="shared" si="63"/>
        <v>Yes</v>
      </c>
      <c r="S211" s="45" t="str">
        <f t="shared" si="63"/>
        <v>No</v>
      </c>
      <c r="T211" s="46">
        <f>ROUND(INDEX(Summary!H:H,MATCH(H:H,Summary!A:A,0)),2)</f>
        <v>0.4</v>
      </c>
      <c r="U211" s="46">
        <f>ROUND(INDEX(Summary!I:I,MATCH(H:H,Summary!A:A,0)),2)</f>
        <v>1.03</v>
      </c>
      <c r="V211" s="79">
        <f t="shared" si="64"/>
        <v>75136.694441789106</v>
      </c>
      <c r="W211" s="79">
        <f t="shared" si="64"/>
        <v>0</v>
      </c>
      <c r="X211" s="44">
        <f t="shared" si="65"/>
        <v>75136.694441789106</v>
      </c>
      <c r="Y211" s="44" t="s">
        <v>2765</v>
      </c>
      <c r="Z211" s="44" t="str">
        <f t="shared" si="66"/>
        <v>Yes</v>
      </c>
      <c r="AA211" s="44" t="str">
        <f t="shared" si="66"/>
        <v>No</v>
      </c>
      <c r="AB211" s="44" t="str">
        <f t="shared" si="67"/>
        <v>Yes</v>
      </c>
      <c r="AC211" s="80">
        <f t="shared" si="74"/>
        <v>0.06</v>
      </c>
      <c r="AD211" s="80">
        <f t="shared" si="75"/>
        <v>0</v>
      </c>
      <c r="AE211" s="44">
        <f t="shared" si="68"/>
        <v>11270.504166268365</v>
      </c>
      <c r="AF211" s="44">
        <f t="shared" si="68"/>
        <v>0</v>
      </c>
      <c r="AG211" s="44">
        <f t="shared" si="69"/>
        <v>11270.504166268365</v>
      </c>
      <c r="AH211" s="46">
        <f>IF(Y211="No",0,IFERROR(ROUNDDOWN(INDEX('90% of ACR'!K:K,MATCH(H:H,'90% of ACR'!A:A,0))*IF(I211&gt;0,IF(O211&gt;0,$R$4*MAX(O211-V211,0),0),0)/I211,2),0))</f>
        <v>0.06</v>
      </c>
      <c r="AI211" s="80">
        <f>IF(Y211="No",0,IFERROR(ROUNDDOWN(INDEX('90% of ACR'!R:R,MATCH(H:H,'90% of ACR'!A:A,0))*IF(J211&gt;0,IF(P211&gt;0,$R$4*MAX(P211-W211,0),0),0)/J211,2),0))</f>
        <v>0</v>
      </c>
      <c r="AJ211" s="44">
        <f t="shared" si="70"/>
        <v>11270.504166268365</v>
      </c>
      <c r="AK211" s="44">
        <f t="shared" si="70"/>
        <v>0</v>
      </c>
      <c r="AL211" s="46">
        <f t="shared" si="71"/>
        <v>0.46</v>
      </c>
      <c r="AM211" s="46">
        <f t="shared" si="71"/>
        <v>1.03</v>
      </c>
      <c r="AN211" s="81">
        <f>IFERROR(INDEX(FeeCalc!P:P,MATCH(C211,FeeCalc!F:F,0)),0)</f>
        <v>86407.198608057486</v>
      </c>
      <c r="AO211" s="81">
        <f>IFERROR(INDEX(FeeCalc!S:S,MATCH(C211,FeeCalc!F:F,0)),0)</f>
        <v>5382.9593767926663</v>
      </c>
      <c r="AP211" s="81">
        <f t="shared" si="72"/>
        <v>91790.157984850157</v>
      </c>
      <c r="AQ211" s="68">
        <f t="shared" si="73"/>
        <v>36124.200255253745</v>
      </c>
      <c r="AR211" s="68">
        <f>INDEX('IGT Commitment Suggestions'!H:H,MATCH(G211,'IGT Commitment Suggestions'!A:A,0))*AQ211</f>
        <v>16598.134830780276</v>
      </c>
    </row>
    <row r="212" spans="1:44">
      <c r="A212" s="103" t="s">
        <v>1511</v>
      </c>
      <c r="B212" s="123" t="s">
        <v>1511</v>
      </c>
      <c r="C212" s="30" t="s">
        <v>1512</v>
      </c>
      <c r="D212" s="124" t="s">
        <v>1512</v>
      </c>
      <c r="E212" s="119" t="s">
        <v>2648</v>
      </c>
      <c r="F212" s="99" t="s">
        <v>2283</v>
      </c>
      <c r="G212" s="99" t="s">
        <v>1486</v>
      </c>
      <c r="H212" s="42" t="str">
        <f t="shared" si="59"/>
        <v>Urban MRSA Central</v>
      </c>
      <c r="I212" s="44">
        <f>INDEX(FeeCalc!M:M,MATCH(C:C,FeeCalc!F:F,0))</f>
        <v>277707.83540715958</v>
      </c>
      <c r="J212" s="44">
        <f>INDEX(FeeCalc!L:L,MATCH(C:C,FeeCalc!F:F,0))</f>
        <v>0</v>
      </c>
      <c r="K212" s="44">
        <f t="shared" si="60"/>
        <v>277707.83540715958</v>
      </c>
      <c r="L212" s="44">
        <v>167261.37</v>
      </c>
      <c r="M212" s="44">
        <v>0</v>
      </c>
      <c r="N212" s="44">
        <f t="shared" si="61"/>
        <v>167261.37</v>
      </c>
      <c r="O212" s="44">
        <v>29256.650531063322</v>
      </c>
      <c r="P212" s="44">
        <v>0</v>
      </c>
      <c r="Q212" s="44">
        <f t="shared" si="62"/>
        <v>29256.650531063322</v>
      </c>
      <c r="R212" s="44" t="str">
        <f t="shared" si="63"/>
        <v>Yes</v>
      </c>
      <c r="S212" s="45" t="str">
        <f t="shared" si="63"/>
        <v>No</v>
      </c>
      <c r="T212" s="46">
        <f>ROUND(INDEX(Summary!H:H,MATCH(H:H,Summary!A:A,0)),2)</f>
        <v>0.48</v>
      </c>
      <c r="U212" s="46">
        <f>ROUND(INDEX(Summary!I:I,MATCH(H:H,Summary!A:A,0)),2)</f>
        <v>0.99</v>
      </c>
      <c r="V212" s="79">
        <f t="shared" si="64"/>
        <v>133299.76099543661</v>
      </c>
      <c r="W212" s="79">
        <f t="shared" si="64"/>
        <v>0</v>
      </c>
      <c r="X212" s="44">
        <f t="shared" si="65"/>
        <v>133299.76099543661</v>
      </c>
      <c r="Y212" s="44" t="s">
        <v>2765</v>
      </c>
      <c r="Z212" s="44" t="str">
        <f t="shared" si="66"/>
        <v>No</v>
      </c>
      <c r="AA212" s="44" t="str">
        <f t="shared" si="66"/>
        <v>No</v>
      </c>
      <c r="AB212" s="44" t="str">
        <f t="shared" si="67"/>
        <v>No</v>
      </c>
      <c r="AC212" s="80">
        <f t="shared" si="74"/>
        <v>0</v>
      </c>
      <c r="AD212" s="80">
        <f t="shared" si="75"/>
        <v>0</v>
      </c>
      <c r="AE212" s="44">
        <f t="shared" si="68"/>
        <v>0</v>
      </c>
      <c r="AF212" s="44">
        <f t="shared" si="68"/>
        <v>0</v>
      </c>
      <c r="AG212" s="44">
        <f t="shared" si="69"/>
        <v>0</v>
      </c>
      <c r="AH212" s="46">
        <f>IF(Y212="No",0,IFERROR(ROUNDDOWN(INDEX('90% of ACR'!K:K,MATCH(H:H,'90% of ACR'!A:A,0))*IF(I212&gt;0,IF(O212&gt;0,$R$4*MAX(O212-V212,0),0),0)/I212,2),0))</f>
        <v>0</v>
      </c>
      <c r="AI212" s="80">
        <f>IF(Y212="No",0,IFERROR(ROUNDDOWN(INDEX('90% of ACR'!R:R,MATCH(H:H,'90% of ACR'!A:A,0))*IF(J212&gt;0,IF(P212&gt;0,$R$4*MAX(P212-W212,0),0),0)/J212,2),0))</f>
        <v>0</v>
      </c>
      <c r="AJ212" s="44">
        <f t="shared" si="70"/>
        <v>0</v>
      </c>
      <c r="AK212" s="44">
        <f t="shared" si="70"/>
        <v>0</v>
      </c>
      <c r="AL212" s="46">
        <f t="shared" si="71"/>
        <v>0.48</v>
      </c>
      <c r="AM212" s="46">
        <f t="shared" si="71"/>
        <v>0.99</v>
      </c>
      <c r="AN212" s="81">
        <f>IFERROR(INDEX(FeeCalc!P:P,MATCH(C212,FeeCalc!F:F,0)),0)</f>
        <v>133299.76099543661</v>
      </c>
      <c r="AO212" s="81">
        <f>IFERROR(INDEX(FeeCalc!S:S,MATCH(C212,FeeCalc!F:F,0)),0)</f>
        <v>8424.1381719497294</v>
      </c>
      <c r="AP212" s="81">
        <f t="shared" si="72"/>
        <v>141723.89916738635</v>
      </c>
      <c r="AQ212" s="68">
        <f t="shared" si="73"/>
        <v>55775.723965123238</v>
      </c>
      <c r="AR212" s="68">
        <f>INDEX('IGT Commitment Suggestions'!H:H,MATCH(G212,'IGT Commitment Suggestions'!A:A,0))*AQ212</f>
        <v>25480.412390322279</v>
      </c>
    </row>
    <row r="213" spans="1:44">
      <c r="A213" s="103" t="s">
        <v>1059</v>
      </c>
      <c r="B213" s="123" t="s">
        <v>1059</v>
      </c>
      <c r="C213" s="30" t="s">
        <v>1060</v>
      </c>
      <c r="D213" s="124" t="s">
        <v>1060</v>
      </c>
      <c r="E213" s="119" t="s">
        <v>2443</v>
      </c>
      <c r="F213" s="99" t="s">
        <v>2283</v>
      </c>
      <c r="G213" s="99" t="s">
        <v>1202</v>
      </c>
      <c r="H213" s="42" t="str">
        <f t="shared" si="59"/>
        <v>Urban Travis</v>
      </c>
      <c r="I213" s="44">
        <f>INDEX(FeeCalc!M:M,MATCH(C:C,FeeCalc!F:F,0))</f>
        <v>3848745.9847027021</v>
      </c>
      <c r="J213" s="44">
        <f>INDEX(FeeCalc!L:L,MATCH(C:C,FeeCalc!F:F,0))</f>
        <v>978269.5871282944</v>
      </c>
      <c r="K213" s="44">
        <f t="shared" si="60"/>
        <v>4827015.5718309963</v>
      </c>
      <c r="L213" s="44">
        <v>1325119.48</v>
      </c>
      <c r="M213" s="44">
        <v>1370948.29</v>
      </c>
      <c r="N213" s="44">
        <f t="shared" si="61"/>
        <v>2696067.77</v>
      </c>
      <c r="O213" s="44">
        <v>6375971.6047424134</v>
      </c>
      <c r="P213" s="44">
        <v>1753104.6363712195</v>
      </c>
      <c r="Q213" s="44">
        <f t="shared" si="62"/>
        <v>8129076.2411136329</v>
      </c>
      <c r="R213" s="44" t="str">
        <f t="shared" si="63"/>
        <v>Yes</v>
      </c>
      <c r="S213" s="45" t="str">
        <f t="shared" si="63"/>
        <v>Yes</v>
      </c>
      <c r="T213" s="46">
        <f>ROUND(INDEX(Summary!H:H,MATCH(H:H,Summary!A:A,0)),2)</f>
        <v>0.4</v>
      </c>
      <c r="U213" s="46">
        <f>ROUND(INDEX(Summary!I:I,MATCH(H:H,Summary!A:A,0)),2)</f>
        <v>1.03</v>
      </c>
      <c r="V213" s="79">
        <f t="shared" si="64"/>
        <v>1539498.3938810809</v>
      </c>
      <c r="W213" s="79">
        <f t="shared" si="64"/>
        <v>1007617.6747421433</v>
      </c>
      <c r="X213" s="44">
        <f t="shared" si="65"/>
        <v>2547116.0686232243</v>
      </c>
      <c r="Y213" s="44" t="s">
        <v>2765</v>
      </c>
      <c r="Z213" s="44" t="str">
        <f t="shared" si="66"/>
        <v>Yes</v>
      </c>
      <c r="AA213" s="44" t="str">
        <f t="shared" si="66"/>
        <v>Yes</v>
      </c>
      <c r="AB213" s="44" t="str">
        <f t="shared" si="67"/>
        <v>Yes</v>
      </c>
      <c r="AC213" s="80">
        <f t="shared" si="74"/>
        <v>0.88</v>
      </c>
      <c r="AD213" s="80">
        <f t="shared" si="75"/>
        <v>0.53</v>
      </c>
      <c r="AE213" s="44">
        <f t="shared" si="68"/>
        <v>3386896.466538378</v>
      </c>
      <c r="AF213" s="44">
        <f t="shared" si="68"/>
        <v>518482.88117799605</v>
      </c>
      <c r="AG213" s="44">
        <f t="shared" si="69"/>
        <v>3905379.3477163743</v>
      </c>
      <c r="AH213" s="46">
        <f>IF(Y213="No",0,IFERROR(ROUNDDOWN(INDEX('90% of ACR'!K:K,MATCH(H:H,'90% of ACR'!A:A,0))*IF(I213&gt;0,IF(O213&gt;0,$R$4*MAX(O213-V213,0),0),0)/I213,2),0))</f>
        <v>0.87</v>
      </c>
      <c r="AI213" s="80">
        <f>IF(Y213="No",0,IFERROR(ROUNDDOWN(INDEX('90% of ACR'!R:R,MATCH(H:H,'90% of ACR'!A:A,0))*IF(J213&gt;0,IF(P213&gt;0,$R$4*MAX(P213-W213,0),0),0)/J213,2),0))</f>
        <v>0.23</v>
      </c>
      <c r="AJ213" s="44">
        <f t="shared" si="70"/>
        <v>3348409.0066913511</v>
      </c>
      <c r="AK213" s="44">
        <f t="shared" si="70"/>
        <v>225002.00503950773</v>
      </c>
      <c r="AL213" s="46">
        <f t="shared" si="71"/>
        <v>1.27</v>
      </c>
      <c r="AM213" s="46">
        <f t="shared" si="71"/>
        <v>1.26</v>
      </c>
      <c r="AN213" s="81">
        <f>IFERROR(INDEX(FeeCalc!P:P,MATCH(C213,FeeCalc!F:F,0)),0)</f>
        <v>6120527.0803540833</v>
      </c>
      <c r="AO213" s="81">
        <f>IFERROR(INDEX(FeeCalc!S:S,MATCH(C213,FeeCalc!F:F,0)),0)</f>
        <v>378130.25215376564</v>
      </c>
      <c r="AP213" s="81">
        <f t="shared" si="72"/>
        <v>6498657.3325078487</v>
      </c>
      <c r="AQ213" s="68">
        <f t="shared" si="73"/>
        <v>2557559.5905231289</v>
      </c>
      <c r="AR213" s="68">
        <f>INDEX('IGT Commitment Suggestions'!H:H,MATCH(G213,'IGT Commitment Suggestions'!A:A,0))*AQ213</f>
        <v>1175132.4215152485</v>
      </c>
    </row>
    <row r="214" spans="1:44">
      <c r="A214" s="103" t="s">
        <v>1410</v>
      </c>
      <c r="B214" s="123" t="s">
        <v>1410</v>
      </c>
      <c r="C214" s="30" t="s">
        <v>1411</v>
      </c>
      <c r="D214" s="124" t="s">
        <v>1411</v>
      </c>
      <c r="E214" s="119" t="s">
        <v>2649</v>
      </c>
      <c r="F214" s="99" t="s">
        <v>2283</v>
      </c>
      <c r="G214" s="99" t="s">
        <v>1365</v>
      </c>
      <c r="H214" s="42" t="str">
        <f t="shared" si="59"/>
        <v>Urban Tarrant</v>
      </c>
      <c r="I214" s="44">
        <f>INDEX(FeeCalc!M:M,MATCH(C:C,FeeCalc!F:F,0))</f>
        <v>0</v>
      </c>
      <c r="J214" s="44">
        <f>INDEX(FeeCalc!L:L,MATCH(C:C,FeeCalc!F:F,0))</f>
        <v>0</v>
      </c>
      <c r="K214" s="44">
        <f t="shared" si="60"/>
        <v>0</v>
      </c>
      <c r="L214" s="44">
        <v>128185.34</v>
      </c>
      <c r="M214" s="44">
        <v>0</v>
      </c>
      <c r="N214" s="44">
        <f t="shared" si="61"/>
        <v>128185.34</v>
      </c>
      <c r="O214" s="44">
        <v>65483.473480417284</v>
      </c>
      <c r="P214" s="44">
        <v>0</v>
      </c>
      <c r="Q214" s="44">
        <f t="shared" si="62"/>
        <v>65483.473480417284</v>
      </c>
      <c r="R214" s="44" t="str">
        <f t="shared" si="63"/>
        <v>Yes</v>
      </c>
      <c r="S214" s="45" t="str">
        <f t="shared" si="63"/>
        <v>No</v>
      </c>
      <c r="T214" s="46">
        <f>ROUND(INDEX(Summary!H:H,MATCH(H:H,Summary!A:A,0)),2)</f>
        <v>0.84</v>
      </c>
      <c r="U214" s="46">
        <f>ROUND(INDEX(Summary!I:I,MATCH(H:H,Summary!A:A,0)),2)</f>
        <v>0.55000000000000004</v>
      </c>
      <c r="V214" s="79">
        <f t="shared" si="64"/>
        <v>0</v>
      </c>
      <c r="W214" s="79">
        <f t="shared" si="64"/>
        <v>0</v>
      </c>
      <c r="X214" s="44">
        <f t="shared" si="65"/>
        <v>0</v>
      </c>
      <c r="Y214" s="44" t="s">
        <v>2765</v>
      </c>
      <c r="Z214" s="44" t="str">
        <f t="shared" si="66"/>
        <v>No</v>
      </c>
      <c r="AA214" s="44" t="str">
        <f t="shared" si="66"/>
        <v>No</v>
      </c>
      <c r="AB214" s="44" t="str">
        <f t="shared" si="67"/>
        <v>No</v>
      </c>
      <c r="AC214" s="80">
        <f t="shared" si="74"/>
        <v>0</v>
      </c>
      <c r="AD214" s="80">
        <f t="shared" si="75"/>
        <v>0</v>
      </c>
      <c r="AE214" s="44">
        <f t="shared" si="68"/>
        <v>0</v>
      </c>
      <c r="AF214" s="44">
        <f t="shared" si="68"/>
        <v>0</v>
      </c>
      <c r="AG214" s="44">
        <f t="shared" si="69"/>
        <v>0</v>
      </c>
      <c r="AH214" s="46">
        <f>IF(Y214="No",0,IFERROR(ROUNDDOWN(INDEX('90% of ACR'!K:K,MATCH(H:H,'90% of ACR'!A:A,0))*IF(I214&gt;0,IF(O214&gt;0,$R$4*MAX(O214-V214,0),0),0)/I214,2),0))</f>
        <v>0</v>
      </c>
      <c r="AI214" s="80">
        <f>IF(Y214="No",0,IFERROR(ROUNDDOWN(INDEX('90% of ACR'!R:R,MATCH(H:H,'90% of ACR'!A:A,0))*IF(J214&gt;0,IF(P214&gt;0,$R$4*MAX(P214-W214,0),0),0)/J214,2),0))</f>
        <v>0</v>
      </c>
      <c r="AJ214" s="44">
        <f t="shared" si="70"/>
        <v>0</v>
      </c>
      <c r="AK214" s="44">
        <f t="shared" si="70"/>
        <v>0</v>
      </c>
      <c r="AL214" s="46">
        <f t="shared" si="71"/>
        <v>0.84</v>
      </c>
      <c r="AM214" s="46">
        <f t="shared" si="71"/>
        <v>0.55000000000000004</v>
      </c>
      <c r="AN214" s="81">
        <f>IFERROR(INDEX(FeeCalc!P:P,MATCH(C214,FeeCalc!F:F,0)),0)</f>
        <v>0</v>
      </c>
      <c r="AO214" s="81">
        <f>IFERROR(INDEX(FeeCalc!S:S,MATCH(C214,FeeCalc!F:F,0)),0)</f>
        <v>0</v>
      </c>
      <c r="AP214" s="81">
        <f t="shared" si="72"/>
        <v>0</v>
      </c>
      <c r="AQ214" s="68">
        <f t="shared" si="73"/>
        <v>0</v>
      </c>
      <c r="AR214" s="68">
        <f>INDEX('IGT Commitment Suggestions'!H:H,MATCH(G214,'IGT Commitment Suggestions'!A:A,0))*AQ214</f>
        <v>0</v>
      </c>
    </row>
    <row r="215" spans="1:44">
      <c r="A215" s="103" t="s">
        <v>1434</v>
      </c>
      <c r="B215" s="123" t="s">
        <v>1434</v>
      </c>
      <c r="C215" s="30" t="s">
        <v>1435</v>
      </c>
      <c r="D215" s="124" t="s">
        <v>1435</v>
      </c>
      <c r="E215" s="119" t="s">
        <v>2650</v>
      </c>
      <c r="F215" s="99" t="s">
        <v>2283</v>
      </c>
      <c r="G215" s="99" t="s">
        <v>300</v>
      </c>
      <c r="H215" s="42" t="str">
        <f t="shared" si="59"/>
        <v>Urban Harris</v>
      </c>
      <c r="I215" s="44">
        <f>INDEX(FeeCalc!M:M,MATCH(C:C,FeeCalc!F:F,0))</f>
        <v>0</v>
      </c>
      <c r="J215" s="44">
        <f>INDEX(FeeCalc!L:L,MATCH(C:C,FeeCalc!F:F,0))</f>
        <v>0</v>
      </c>
      <c r="K215" s="44">
        <f t="shared" si="60"/>
        <v>0</v>
      </c>
      <c r="L215" s="44">
        <v>84764.59</v>
      </c>
      <c r="M215" s="44">
        <v>0</v>
      </c>
      <c r="N215" s="44">
        <f t="shared" si="61"/>
        <v>84764.59</v>
      </c>
      <c r="O215" s="44">
        <v>54857.363114222433</v>
      </c>
      <c r="P215" s="44">
        <v>0</v>
      </c>
      <c r="Q215" s="44">
        <f t="shared" si="62"/>
        <v>54857.363114222433</v>
      </c>
      <c r="R215" s="44" t="str">
        <f t="shared" si="63"/>
        <v>Yes</v>
      </c>
      <c r="S215" s="45" t="str">
        <f t="shared" si="63"/>
        <v>No</v>
      </c>
      <c r="T215" s="46">
        <f>ROUND(INDEX(Summary!H:H,MATCH(H:H,Summary!A:A,0)),2)</f>
        <v>1.74</v>
      </c>
      <c r="U215" s="46">
        <f>ROUND(INDEX(Summary!I:I,MATCH(H:H,Summary!A:A,0)),2)</f>
        <v>0.33</v>
      </c>
      <c r="V215" s="79">
        <f t="shared" si="64"/>
        <v>0</v>
      </c>
      <c r="W215" s="79">
        <f t="shared" si="64"/>
        <v>0</v>
      </c>
      <c r="X215" s="44">
        <f t="shared" si="65"/>
        <v>0</v>
      </c>
      <c r="Y215" s="44" t="s">
        <v>2765</v>
      </c>
      <c r="Z215" s="44" t="str">
        <f t="shared" si="66"/>
        <v>No</v>
      </c>
      <c r="AA215" s="44" t="str">
        <f t="shared" si="66"/>
        <v>No</v>
      </c>
      <c r="AB215" s="44" t="str">
        <f t="shared" si="67"/>
        <v>No</v>
      </c>
      <c r="AC215" s="80">
        <f t="shared" si="74"/>
        <v>0</v>
      </c>
      <c r="AD215" s="80">
        <f t="shared" si="75"/>
        <v>0</v>
      </c>
      <c r="AE215" s="44">
        <f t="shared" si="68"/>
        <v>0</v>
      </c>
      <c r="AF215" s="44">
        <f t="shared" si="68"/>
        <v>0</v>
      </c>
      <c r="AG215" s="44">
        <f t="shared" si="69"/>
        <v>0</v>
      </c>
      <c r="AH215" s="46">
        <f>IF(Y215="No",0,IFERROR(ROUNDDOWN(INDEX('90% of ACR'!K:K,MATCH(H:H,'90% of ACR'!A:A,0))*IF(I215&gt;0,IF(O215&gt;0,$R$4*MAX(O215-V215,0),0),0)/I215,2),0))</f>
        <v>0</v>
      </c>
      <c r="AI215" s="80">
        <f>IF(Y215="No",0,IFERROR(ROUNDDOWN(INDEX('90% of ACR'!R:R,MATCH(H:H,'90% of ACR'!A:A,0))*IF(J215&gt;0,IF(P215&gt;0,$R$4*MAX(P215-W215,0),0),0)/J215,2),0))</f>
        <v>0</v>
      </c>
      <c r="AJ215" s="44">
        <f t="shared" si="70"/>
        <v>0</v>
      </c>
      <c r="AK215" s="44">
        <f t="shared" si="70"/>
        <v>0</v>
      </c>
      <c r="AL215" s="46">
        <f t="shared" si="71"/>
        <v>1.74</v>
      </c>
      <c r="AM215" s="46">
        <f t="shared" si="71"/>
        <v>0.33</v>
      </c>
      <c r="AN215" s="81">
        <f>IFERROR(INDEX(FeeCalc!P:P,MATCH(C215,FeeCalc!F:F,0)),0)</f>
        <v>0</v>
      </c>
      <c r="AO215" s="81">
        <f>IFERROR(INDEX(FeeCalc!S:S,MATCH(C215,FeeCalc!F:F,0)),0)</f>
        <v>0</v>
      </c>
      <c r="AP215" s="81">
        <f t="shared" si="72"/>
        <v>0</v>
      </c>
      <c r="AQ215" s="68">
        <f t="shared" si="73"/>
        <v>0</v>
      </c>
      <c r="AR215" s="68">
        <f>INDEX('IGT Commitment Suggestions'!H:H,MATCH(G215,'IGT Commitment Suggestions'!A:A,0))*AQ215</f>
        <v>0</v>
      </c>
    </row>
    <row r="216" spans="1:44">
      <c r="A216" s="103" t="s">
        <v>1056</v>
      </c>
      <c r="B216" s="123" t="s">
        <v>1056</v>
      </c>
      <c r="C216" s="30" t="s">
        <v>1057</v>
      </c>
      <c r="D216" s="124" t="s">
        <v>1057</v>
      </c>
      <c r="E216" s="119" t="s">
        <v>2445</v>
      </c>
      <c r="F216" s="99" t="s">
        <v>2283</v>
      </c>
      <c r="G216" s="99" t="s">
        <v>1202</v>
      </c>
      <c r="H216" s="42" t="str">
        <f t="shared" si="59"/>
        <v>Urban Travis</v>
      </c>
      <c r="I216" s="44">
        <f>INDEX(FeeCalc!M:M,MATCH(C:C,FeeCalc!F:F,0))</f>
        <v>28035790.565375224</v>
      </c>
      <c r="J216" s="44">
        <f>INDEX(FeeCalc!L:L,MATCH(C:C,FeeCalc!F:F,0))</f>
        <v>3360939.4587658048</v>
      </c>
      <c r="K216" s="44">
        <f t="shared" si="60"/>
        <v>31396730.024141029</v>
      </c>
      <c r="L216" s="44">
        <v>4534574.09</v>
      </c>
      <c r="M216" s="44">
        <v>4830507.22</v>
      </c>
      <c r="N216" s="44">
        <f t="shared" si="61"/>
        <v>9365081.3099999987</v>
      </c>
      <c r="O216" s="44">
        <v>42425183.381460175</v>
      </c>
      <c r="P216" s="44">
        <v>6764908.4745965125</v>
      </c>
      <c r="Q216" s="44">
        <f t="shared" si="62"/>
        <v>49190091.85605669</v>
      </c>
      <c r="R216" s="44" t="str">
        <f t="shared" si="63"/>
        <v>Yes</v>
      </c>
      <c r="S216" s="45" t="str">
        <f t="shared" si="63"/>
        <v>Yes</v>
      </c>
      <c r="T216" s="46">
        <f>ROUND(INDEX(Summary!H:H,MATCH(H:H,Summary!A:A,0)),2)</f>
        <v>0.4</v>
      </c>
      <c r="U216" s="46">
        <f>ROUND(INDEX(Summary!I:I,MATCH(H:H,Summary!A:A,0)),2)</f>
        <v>1.03</v>
      </c>
      <c r="V216" s="79">
        <f t="shared" si="64"/>
        <v>11214316.22615009</v>
      </c>
      <c r="W216" s="79">
        <f t="shared" si="64"/>
        <v>3461767.6425287789</v>
      </c>
      <c r="X216" s="44">
        <f t="shared" si="65"/>
        <v>14676083.868678868</v>
      </c>
      <c r="Y216" s="44" t="s">
        <v>2765</v>
      </c>
      <c r="Z216" s="44" t="str">
        <f t="shared" si="66"/>
        <v>Yes</v>
      </c>
      <c r="AA216" s="44" t="str">
        <f t="shared" si="66"/>
        <v>Yes</v>
      </c>
      <c r="AB216" s="44" t="str">
        <f t="shared" si="67"/>
        <v>Yes</v>
      </c>
      <c r="AC216" s="80">
        <f t="shared" si="74"/>
        <v>0.78</v>
      </c>
      <c r="AD216" s="80">
        <f t="shared" si="75"/>
        <v>0.68</v>
      </c>
      <c r="AE216" s="44">
        <f t="shared" si="68"/>
        <v>21867916.640992675</v>
      </c>
      <c r="AF216" s="44">
        <f t="shared" si="68"/>
        <v>2285438.8319607475</v>
      </c>
      <c r="AG216" s="44">
        <f t="shared" si="69"/>
        <v>24153355.472953424</v>
      </c>
      <c r="AH216" s="46">
        <f>IF(Y216="No",0,IFERROR(ROUNDDOWN(INDEX('90% of ACR'!K:K,MATCH(H:H,'90% of ACR'!A:A,0))*IF(I216&gt;0,IF(O216&gt;0,$R$4*MAX(O216-V216,0),0),0)/I216,2),0))</f>
        <v>0.77</v>
      </c>
      <c r="AI216" s="80">
        <f>IF(Y216="No",0,IFERROR(ROUNDDOWN(INDEX('90% of ACR'!R:R,MATCH(H:H,'90% of ACR'!A:A,0))*IF(J216&gt;0,IF(P216&gt;0,$R$4*MAX(P216-W216,0),0),0)/J216,2),0))</f>
        <v>0.3</v>
      </c>
      <c r="AJ216" s="44">
        <f t="shared" si="70"/>
        <v>21587558.735338923</v>
      </c>
      <c r="AK216" s="44">
        <f t="shared" si="70"/>
        <v>1008281.8376297414</v>
      </c>
      <c r="AL216" s="46">
        <f t="shared" si="71"/>
        <v>1.17</v>
      </c>
      <c r="AM216" s="46">
        <f t="shared" si="71"/>
        <v>1.33</v>
      </c>
      <c r="AN216" s="81">
        <f>IFERROR(INDEX(FeeCalc!P:P,MATCH(C216,FeeCalc!F:F,0)),0)</f>
        <v>37271924.44164753</v>
      </c>
      <c r="AO216" s="81">
        <f>IFERROR(INDEX(FeeCalc!S:S,MATCH(C216,FeeCalc!F:F,0)),0)</f>
        <v>2296206.3299858696</v>
      </c>
      <c r="AP216" s="81">
        <f t="shared" si="72"/>
        <v>39568130.771633402</v>
      </c>
      <c r="AQ216" s="68">
        <f t="shared" si="73"/>
        <v>15572117.001437869</v>
      </c>
      <c r="AR216" s="68">
        <f>INDEX('IGT Commitment Suggestions'!H:H,MATCH(G216,'IGT Commitment Suggestions'!A:A,0))*AQ216</f>
        <v>7154984.6298109023</v>
      </c>
    </row>
    <row r="217" spans="1:44">
      <c r="A217" s="103" t="s">
        <v>732</v>
      </c>
      <c r="B217" s="123" t="s">
        <v>732</v>
      </c>
      <c r="C217" s="30" t="s">
        <v>733</v>
      </c>
      <c r="D217" s="124" t="s">
        <v>733</v>
      </c>
      <c r="E217" s="119" t="s">
        <v>2393</v>
      </c>
      <c r="F217" s="99" t="s">
        <v>2295</v>
      </c>
      <c r="G217" s="99" t="s">
        <v>227</v>
      </c>
      <c r="H217" s="42" t="str">
        <f t="shared" si="59"/>
        <v>Rural MRSA West</v>
      </c>
      <c r="I217" s="44">
        <f>INDEX(FeeCalc!M:M,MATCH(C:C,FeeCalc!F:F,0))</f>
        <v>16533.310980691112</v>
      </c>
      <c r="J217" s="44">
        <f>INDEX(FeeCalc!L:L,MATCH(C:C,FeeCalc!F:F,0))</f>
        <v>216478.04442473163</v>
      </c>
      <c r="K217" s="44">
        <f t="shared" si="60"/>
        <v>233011.35540542274</v>
      </c>
      <c r="L217" s="44">
        <v>24647.71</v>
      </c>
      <c r="M217" s="44">
        <v>24844.9</v>
      </c>
      <c r="N217" s="44">
        <f t="shared" si="61"/>
        <v>49492.61</v>
      </c>
      <c r="O217" s="44">
        <v>791.67013782051254</v>
      </c>
      <c r="P217" s="44">
        <v>6037.7900057644147</v>
      </c>
      <c r="Q217" s="44">
        <f t="shared" si="62"/>
        <v>6829.4601435849272</v>
      </c>
      <c r="R217" s="44" t="str">
        <f t="shared" si="63"/>
        <v>Yes</v>
      </c>
      <c r="S217" s="45" t="str">
        <f t="shared" si="63"/>
        <v>Yes</v>
      </c>
      <c r="T217" s="46">
        <f>ROUND(INDEX(Summary!H:H,MATCH(H:H,Summary!A:A,0)),2)</f>
        <v>0</v>
      </c>
      <c r="U217" s="46">
        <f>ROUND(INDEX(Summary!I:I,MATCH(H:H,Summary!A:A,0)),2)</f>
        <v>0.18</v>
      </c>
      <c r="V217" s="79">
        <f t="shared" si="64"/>
        <v>0</v>
      </c>
      <c r="W217" s="79">
        <f t="shared" si="64"/>
        <v>38966.047996451693</v>
      </c>
      <c r="X217" s="44">
        <f t="shared" si="65"/>
        <v>38966.047996451693</v>
      </c>
      <c r="Y217" s="44" t="s">
        <v>2765</v>
      </c>
      <c r="Z217" s="44" t="str">
        <f t="shared" si="66"/>
        <v>No</v>
      </c>
      <c r="AA217" s="44" t="str">
        <f t="shared" si="66"/>
        <v>No</v>
      </c>
      <c r="AB217" s="44" t="str">
        <f t="shared" si="67"/>
        <v>Yes</v>
      </c>
      <c r="AC217" s="80">
        <f t="shared" si="74"/>
        <v>0.03</v>
      </c>
      <c r="AD217" s="80">
        <f t="shared" si="75"/>
        <v>0</v>
      </c>
      <c r="AE217" s="44">
        <f t="shared" si="68"/>
        <v>495.99932942073337</v>
      </c>
      <c r="AF217" s="44">
        <f t="shared" si="68"/>
        <v>0</v>
      </c>
      <c r="AG217" s="44">
        <f t="shared" si="69"/>
        <v>495.99932942073337</v>
      </c>
      <c r="AH217" s="46">
        <f>IF(Y217="No",0,IFERROR(ROUNDDOWN(INDEX('90% of ACR'!K:K,MATCH(H:H,'90% of ACR'!A:A,0))*IF(I217&gt;0,IF(O217&gt;0,$R$4*MAX(O217-V217,0),0),0)/I217,2),0))</f>
        <v>0</v>
      </c>
      <c r="AI217" s="80">
        <f>IF(Y217="No",0,IFERROR(ROUNDDOWN(INDEX('90% of ACR'!R:R,MATCH(H:H,'90% of ACR'!A:A,0))*IF(J217&gt;0,IF(P217&gt;0,$R$4*MAX(P217-W217,0),0),0)/J217,2),0))</f>
        <v>0</v>
      </c>
      <c r="AJ217" s="44">
        <f t="shared" si="70"/>
        <v>0</v>
      </c>
      <c r="AK217" s="44">
        <f t="shared" si="70"/>
        <v>0</v>
      </c>
      <c r="AL217" s="46">
        <f t="shared" si="71"/>
        <v>0</v>
      </c>
      <c r="AM217" s="46">
        <f t="shared" si="71"/>
        <v>0.18</v>
      </c>
      <c r="AN217" s="81">
        <f>IFERROR(INDEX(FeeCalc!P:P,MATCH(C217,FeeCalc!F:F,0)),0)</f>
        <v>38966.047996451693</v>
      </c>
      <c r="AO217" s="81">
        <f>IFERROR(INDEX(FeeCalc!S:S,MATCH(C217,FeeCalc!F:F,0)),0)</f>
        <v>2380.8371985593399</v>
      </c>
      <c r="AP217" s="81">
        <f t="shared" si="72"/>
        <v>41346.885195011033</v>
      </c>
      <c r="AQ217" s="68">
        <f t="shared" si="73"/>
        <v>16272.149362266982</v>
      </c>
      <c r="AR217" s="68">
        <f>INDEX('IGT Commitment Suggestions'!H:H,MATCH(G217,'IGT Commitment Suggestions'!A:A,0))*AQ217</f>
        <v>7974.3889212290842</v>
      </c>
    </row>
    <row r="218" spans="1:44">
      <c r="A218" s="103" t="s">
        <v>1062</v>
      </c>
      <c r="B218" s="123" t="s">
        <v>1062</v>
      </c>
      <c r="C218" s="30" t="s">
        <v>1063</v>
      </c>
      <c r="D218" s="124" t="s">
        <v>1063</v>
      </c>
      <c r="E218" s="119" t="s">
        <v>2878</v>
      </c>
      <c r="F218" s="99" t="s">
        <v>2283</v>
      </c>
      <c r="G218" s="99" t="s">
        <v>1202</v>
      </c>
      <c r="H218" s="42" t="str">
        <f t="shared" si="59"/>
        <v>Urban Travis</v>
      </c>
      <c r="I218" s="44">
        <f>INDEX(FeeCalc!M:M,MATCH(C:C,FeeCalc!F:F,0))</f>
        <v>11411751.989393264</v>
      </c>
      <c r="J218" s="44">
        <f>INDEX(FeeCalc!L:L,MATCH(C:C,FeeCalc!F:F,0))</f>
        <v>2730791.4825935289</v>
      </c>
      <c r="K218" s="44">
        <f t="shared" si="60"/>
        <v>14142543.471986793</v>
      </c>
      <c r="L218" s="44">
        <v>4271825.8899999997</v>
      </c>
      <c r="M218" s="44">
        <v>3154583.59</v>
      </c>
      <c r="N218" s="44">
        <f t="shared" si="61"/>
        <v>7426409.4799999995</v>
      </c>
      <c r="O218" s="44">
        <v>21636422.992811359</v>
      </c>
      <c r="P218" s="44">
        <v>5141012.7445689393</v>
      </c>
      <c r="Q218" s="44">
        <f t="shared" si="62"/>
        <v>26777435.7373803</v>
      </c>
      <c r="R218" s="44" t="str">
        <f t="shared" si="63"/>
        <v>Yes</v>
      </c>
      <c r="S218" s="45" t="str">
        <f t="shared" si="63"/>
        <v>Yes</v>
      </c>
      <c r="T218" s="46">
        <f>ROUND(INDEX(Summary!H:H,MATCH(H:H,Summary!A:A,0)),2)</f>
        <v>0.4</v>
      </c>
      <c r="U218" s="46">
        <f>ROUND(INDEX(Summary!I:I,MATCH(H:H,Summary!A:A,0)),2)</f>
        <v>1.03</v>
      </c>
      <c r="V218" s="79">
        <f t="shared" si="64"/>
        <v>4564700.7957573058</v>
      </c>
      <c r="W218" s="79">
        <f t="shared" si="64"/>
        <v>2812715.2270713351</v>
      </c>
      <c r="X218" s="44">
        <f t="shared" si="65"/>
        <v>7377416.0228286404</v>
      </c>
      <c r="Y218" s="44" t="s">
        <v>2765</v>
      </c>
      <c r="Z218" s="44" t="str">
        <f t="shared" si="66"/>
        <v>Yes</v>
      </c>
      <c r="AA218" s="44" t="str">
        <f t="shared" si="66"/>
        <v>Yes</v>
      </c>
      <c r="AB218" s="44" t="str">
        <f t="shared" si="67"/>
        <v>Yes</v>
      </c>
      <c r="AC218" s="80">
        <f t="shared" si="74"/>
        <v>1.04</v>
      </c>
      <c r="AD218" s="80">
        <f t="shared" si="75"/>
        <v>0.59</v>
      </c>
      <c r="AE218" s="44">
        <f t="shared" si="68"/>
        <v>11868222.068968995</v>
      </c>
      <c r="AF218" s="44">
        <f t="shared" si="68"/>
        <v>1611166.974730182</v>
      </c>
      <c r="AG218" s="44">
        <f t="shared" si="69"/>
        <v>13479389.043699177</v>
      </c>
      <c r="AH218" s="46">
        <f>IF(Y218="No",0,IFERROR(ROUNDDOWN(INDEX('90% of ACR'!K:K,MATCH(H:H,'90% of ACR'!A:A,0))*IF(I218&gt;0,IF(O218&gt;0,$R$4*MAX(O218-V218,0),0),0)/I218,2),0))</f>
        <v>1.04</v>
      </c>
      <c r="AI218" s="80">
        <f>IF(Y218="No",0,IFERROR(ROUNDDOWN(INDEX('90% of ACR'!R:R,MATCH(H:H,'90% of ACR'!A:A,0))*IF(J218&gt;0,IF(P218&gt;0,$R$4*MAX(P218-W218,0),0),0)/J218,2),0))</f>
        <v>0.26</v>
      </c>
      <c r="AJ218" s="44">
        <f t="shared" si="70"/>
        <v>11868222.068968995</v>
      </c>
      <c r="AK218" s="44">
        <f t="shared" si="70"/>
        <v>710005.7854743175</v>
      </c>
      <c r="AL218" s="46">
        <f t="shared" si="71"/>
        <v>1.44</v>
      </c>
      <c r="AM218" s="46">
        <f t="shared" si="71"/>
        <v>1.29</v>
      </c>
      <c r="AN218" s="81">
        <f>IFERROR(INDEX(FeeCalc!P:P,MATCH(C218,FeeCalc!F:F,0)),0)</f>
        <v>19955643.87727195</v>
      </c>
      <c r="AO218" s="81">
        <f>IFERROR(INDEX(FeeCalc!S:S,MATCH(C218,FeeCalc!F:F,0)),0)</f>
        <v>1243367.9984498168</v>
      </c>
      <c r="AP218" s="81">
        <f t="shared" si="72"/>
        <v>21199011.875721768</v>
      </c>
      <c r="AQ218" s="68">
        <f t="shared" si="73"/>
        <v>8342913.5217140531</v>
      </c>
      <c r="AR218" s="68">
        <f>INDEX('IGT Commitment Suggestions'!H:H,MATCH(G218,'IGT Commitment Suggestions'!A:A,0))*AQ218</f>
        <v>3833352.781140402</v>
      </c>
    </row>
    <row r="219" spans="1:44">
      <c r="A219" s="103" t="s">
        <v>1065</v>
      </c>
      <c r="B219" s="123" t="s">
        <v>1065</v>
      </c>
      <c r="C219" s="30" t="s">
        <v>1066</v>
      </c>
      <c r="D219" s="124" t="s">
        <v>1066</v>
      </c>
      <c r="E219" s="119" t="s">
        <v>2444</v>
      </c>
      <c r="F219" s="99" t="s">
        <v>2283</v>
      </c>
      <c r="G219" s="99" t="s">
        <v>1202</v>
      </c>
      <c r="H219" s="42" t="str">
        <f t="shared" si="59"/>
        <v>Urban Travis</v>
      </c>
      <c r="I219" s="44">
        <f>INDEX(FeeCalc!M:M,MATCH(C:C,FeeCalc!F:F,0))</f>
        <v>23595023.410159875</v>
      </c>
      <c r="J219" s="44">
        <f>INDEX(FeeCalc!L:L,MATCH(C:C,FeeCalc!F:F,0))</f>
        <v>3530014.5149763003</v>
      </c>
      <c r="K219" s="44">
        <f t="shared" si="60"/>
        <v>27125037.925136175</v>
      </c>
      <c r="L219" s="44">
        <v>4084692.6</v>
      </c>
      <c r="M219" s="44">
        <v>3256056.96</v>
      </c>
      <c r="N219" s="44">
        <f t="shared" si="61"/>
        <v>7340749.5600000005</v>
      </c>
      <c r="O219" s="44">
        <v>34550006.433720924</v>
      </c>
      <c r="P219" s="44">
        <v>4443146.2317550788</v>
      </c>
      <c r="Q219" s="44">
        <f t="shared" si="62"/>
        <v>38993152.665476002</v>
      </c>
      <c r="R219" s="44" t="str">
        <f t="shared" si="63"/>
        <v>Yes</v>
      </c>
      <c r="S219" s="45" t="str">
        <f t="shared" si="63"/>
        <v>Yes</v>
      </c>
      <c r="T219" s="46">
        <f>ROUND(INDEX(Summary!H:H,MATCH(H:H,Summary!A:A,0)),2)</f>
        <v>0.4</v>
      </c>
      <c r="U219" s="46">
        <f>ROUND(INDEX(Summary!I:I,MATCH(H:H,Summary!A:A,0)),2)</f>
        <v>1.03</v>
      </c>
      <c r="V219" s="79">
        <f t="shared" si="64"/>
        <v>9438009.3640639503</v>
      </c>
      <c r="W219" s="79">
        <f t="shared" si="64"/>
        <v>3635914.9504255895</v>
      </c>
      <c r="X219" s="44">
        <f t="shared" si="65"/>
        <v>13073924.31448954</v>
      </c>
      <c r="Y219" s="44" t="s">
        <v>2765</v>
      </c>
      <c r="Z219" s="44" t="str">
        <f t="shared" si="66"/>
        <v>Yes</v>
      </c>
      <c r="AA219" s="44" t="str">
        <f t="shared" si="66"/>
        <v>Yes</v>
      </c>
      <c r="AB219" s="44" t="str">
        <f t="shared" si="67"/>
        <v>Yes</v>
      </c>
      <c r="AC219" s="80">
        <f t="shared" si="74"/>
        <v>0.74</v>
      </c>
      <c r="AD219" s="80">
        <f t="shared" si="75"/>
        <v>0.16</v>
      </c>
      <c r="AE219" s="44">
        <f t="shared" si="68"/>
        <v>17460317.323518306</v>
      </c>
      <c r="AF219" s="44">
        <f t="shared" si="68"/>
        <v>564802.32239620807</v>
      </c>
      <c r="AG219" s="44">
        <f t="shared" si="69"/>
        <v>18025119.645914514</v>
      </c>
      <c r="AH219" s="46">
        <f>IF(Y219="No",0,IFERROR(ROUNDDOWN(INDEX('90% of ACR'!K:K,MATCH(H:H,'90% of ACR'!A:A,0))*IF(I219&gt;0,IF(O219&gt;0,$R$4*MAX(O219-V219,0),0),0)/I219,2),0))</f>
        <v>0.74</v>
      </c>
      <c r="AI219" s="80">
        <f>IF(Y219="No",0,IFERROR(ROUNDDOWN(INDEX('90% of ACR'!R:R,MATCH(H:H,'90% of ACR'!A:A,0))*IF(J219&gt;0,IF(P219&gt;0,$R$4*MAX(P219-W219,0),0),0)/J219,2),0))</f>
        <v>7.0000000000000007E-2</v>
      </c>
      <c r="AJ219" s="44">
        <f t="shared" si="70"/>
        <v>17460317.323518306</v>
      </c>
      <c r="AK219" s="44">
        <f t="shared" si="70"/>
        <v>247101.01604834106</v>
      </c>
      <c r="AL219" s="46">
        <f t="shared" si="71"/>
        <v>1.1400000000000001</v>
      </c>
      <c r="AM219" s="46">
        <f t="shared" si="71"/>
        <v>1.1000000000000001</v>
      </c>
      <c r="AN219" s="81">
        <f>IFERROR(INDEX(FeeCalc!P:P,MATCH(C219,FeeCalc!F:F,0)),0)</f>
        <v>30781342.654056191</v>
      </c>
      <c r="AO219" s="81">
        <f>IFERROR(INDEX(FeeCalc!S:S,MATCH(C219,FeeCalc!F:F,0)),0)</f>
        <v>1887022.9526630698</v>
      </c>
      <c r="AP219" s="81">
        <f t="shared" si="72"/>
        <v>32668365.606719263</v>
      </c>
      <c r="AQ219" s="68">
        <f t="shared" si="73"/>
        <v>12856700.62125558</v>
      </c>
      <c r="AR219" s="68">
        <f>INDEX('IGT Commitment Suggestions'!H:H,MATCH(G219,'IGT Commitment Suggestions'!A:A,0))*AQ219</f>
        <v>5907321.1000578795</v>
      </c>
    </row>
    <row r="220" spans="1:44">
      <c r="A220" s="103" t="s">
        <v>1437</v>
      </c>
      <c r="B220" s="123" t="s">
        <v>1437</v>
      </c>
      <c r="C220" s="30" t="s">
        <v>1438</v>
      </c>
      <c r="D220" s="124" t="s">
        <v>1438</v>
      </c>
      <c r="E220" s="119" t="s">
        <v>2652</v>
      </c>
      <c r="F220" s="99" t="s">
        <v>2283</v>
      </c>
      <c r="G220" s="99" t="s">
        <v>223</v>
      </c>
      <c r="H220" s="42" t="str">
        <f t="shared" si="59"/>
        <v>Urban Dallas</v>
      </c>
      <c r="I220" s="44">
        <f>INDEX(FeeCalc!M:M,MATCH(C:C,FeeCalc!F:F,0))</f>
        <v>295248.15438266069</v>
      </c>
      <c r="J220" s="44">
        <f>INDEX(FeeCalc!L:L,MATCH(C:C,FeeCalc!F:F,0))</f>
        <v>0</v>
      </c>
      <c r="K220" s="44">
        <f t="shared" si="60"/>
        <v>295248.15438266069</v>
      </c>
      <c r="L220" s="44">
        <v>499923.05</v>
      </c>
      <c r="M220" s="44">
        <v>0</v>
      </c>
      <c r="N220" s="44">
        <f t="shared" si="61"/>
        <v>499923.05</v>
      </c>
      <c r="O220" s="44">
        <v>161786.90260505152</v>
      </c>
      <c r="P220" s="44">
        <v>0</v>
      </c>
      <c r="Q220" s="44">
        <f t="shared" si="62"/>
        <v>161786.90260505152</v>
      </c>
      <c r="R220" s="44" t="str">
        <f t="shared" si="63"/>
        <v>Yes</v>
      </c>
      <c r="S220" s="45" t="str">
        <f t="shared" si="63"/>
        <v>No</v>
      </c>
      <c r="T220" s="46">
        <f>ROUND(INDEX(Summary!H:H,MATCH(H:H,Summary!A:A,0)),2)</f>
        <v>0.6</v>
      </c>
      <c r="U220" s="46">
        <f>ROUND(INDEX(Summary!I:I,MATCH(H:H,Summary!A:A,0)),2)</f>
        <v>0.3</v>
      </c>
      <c r="V220" s="79">
        <f t="shared" si="64"/>
        <v>177148.8926295964</v>
      </c>
      <c r="W220" s="79">
        <f t="shared" si="64"/>
        <v>0</v>
      </c>
      <c r="X220" s="44">
        <f t="shared" si="65"/>
        <v>177148.8926295964</v>
      </c>
      <c r="Y220" s="44" t="s">
        <v>2765</v>
      </c>
      <c r="Z220" s="44" t="str">
        <f t="shared" si="66"/>
        <v>No</v>
      </c>
      <c r="AA220" s="44" t="str">
        <f t="shared" si="66"/>
        <v>No</v>
      </c>
      <c r="AB220" s="44" t="str">
        <f t="shared" si="67"/>
        <v>No</v>
      </c>
      <c r="AC220" s="80">
        <f t="shared" si="74"/>
        <v>0</v>
      </c>
      <c r="AD220" s="80">
        <f t="shared" si="75"/>
        <v>0</v>
      </c>
      <c r="AE220" s="44">
        <f t="shared" si="68"/>
        <v>0</v>
      </c>
      <c r="AF220" s="44">
        <f t="shared" si="68"/>
        <v>0</v>
      </c>
      <c r="AG220" s="44">
        <f t="shared" si="69"/>
        <v>0</v>
      </c>
      <c r="AH220" s="46">
        <f>IF(Y220="No",0,IFERROR(ROUNDDOWN(INDEX('90% of ACR'!K:K,MATCH(H:H,'90% of ACR'!A:A,0))*IF(I220&gt;0,IF(O220&gt;0,$R$4*MAX(O220-V220,0),0),0)/I220,2),0))</f>
        <v>0</v>
      </c>
      <c r="AI220" s="80">
        <f>IF(Y220="No",0,IFERROR(ROUNDDOWN(INDEX('90% of ACR'!R:R,MATCH(H:H,'90% of ACR'!A:A,0))*IF(J220&gt;0,IF(P220&gt;0,$R$4*MAX(P220-W220,0),0),0)/J220,2),0))</f>
        <v>0</v>
      </c>
      <c r="AJ220" s="44">
        <f t="shared" si="70"/>
        <v>0</v>
      </c>
      <c r="AK220" s="44">
        <f t="shared" si="70"/>
        <v>0</v>
      </c>
      <c r="AL220" s="46">
        <f t="shared" si="71"/>
        <v>0.6</v>
      </c>
      <c r="AM220" s="46">
        <f t="shared" si="71"/>
        <v>0.3</v>
      </c>
      <c r="AN220" s="81">
        <f>IFERROR(INDEX(FeeCalc!P:P,MATCH(C220,FeeCalc!F:F,0)),0)</f>
        <v>177148.8926295964</v>
      </c>
      <c r="AO220" s="81">
        <f>IFERROR(INDEX(FeeCalc!S:S,MATCH(C220,FeeCalc!F:F,0)),0)</f>
        <v>11307.376125293389</v>
      </c>
      <c r="AP220" s="81">
        <f t="shared" si="72"/>
        <v>188456.26875488978</v>
      </c>
      <c r="AQ220" s="68">
        <f t="shared" si="73"/>
        <v>74167.341481024385</v>
      </c>
      <c r="AR220" s="68">
        <f>INDEX('IGT Commitment Suggestions'!H:H,MATCH(G220,'IGT Commitment Suggestions'!A:A,0))*AQ220</f>
        <v>33919.227113781359</v>
      </c>
    </row>
    <row r="221" spans="1:44">
      <c r="A221" s="103" t="s">
        <v>704</v>
      </c>
      <c r="B221" s="123" t="s">
        <v>704</v>
      </c>
      <c r="C221" s="30" t="s">
        <v>705</v>
      </c>
      <c r="D221" s="124" t="s">
        <v>705</v>
      </c>
      <c r="E221" s="119" t="s">
        <v>2879</v>
      </c>
      <c r="F221" s="99" t="s">
        <v>2283</v>
      </c>
      <c r="G221" s="99" t="s">
        <v>1189</v>
      </c>
      <c r="H221" s="42" t="str">
        <f t="shared" si="59"/>
        <v>Urban El Paso</v>
      </c>
      <c r="I221" s="44">
        <f>INDEX(FeeCalc!M:M,MATCH(C:C,FeeCalc!F:F,0))</f>
        <v>24587127.127007473</v>
      </c>
      <c r="J221" s="44">
        <f>INDEX(FeeCalc!L:L,MATCH(C:C,FeeCalc!F:F,0))</f>
        <v>6596998.7304267827</v>
      </c>
      <c r="K221" s="44">
        <f t="shared" si="60"/>
        <v>31184125.857434258</v>
      </c>
      <c r="L221" s="44">
        <v>10314736.460000001</v>
      </c>
      <c r="M221" s="44">
        <v>4597931.59</v>
      </c>
      <c r="N221" s="44">
        <f t="shared" si="61"/>
        <v>14912668.050000001</v>
      </c>
      <c r="O221" s="44">
        <v>55431535.504917845</v>
      </c>
      <c r="P221" s="44">
        <v>9823973.2418474834</v>
      </c>
      <c r="Q221" s="44">
        <f t="shared" si="62"/>
        <v>65255508.74676533</v>
      </c>
      <c r="R221" s="44" t="str">
        <f t="shared" si="63"/>
        <v>Yes</v>
      </c>
      <c r="S221" s="45" t="str">
        <f t="shared" si="63"/>
        <v>Yes</v>
      </c>
      <c r="T221" s="46">
        <f>ROUND(INDEX(Summary!H:H,MATCH(H:H,Summary!A:A,0)),2)</f>
        <v>0.11</v>
      </c>
      <c r="U221" s="46">
        <f>ROUND(INDEX(Summary!I:I,MATCH(H:H,Summary!A:A,0)),2)</f>
        <v>0.49</v>
      </c>
      <c r="V221" s="79">
        <f t="shared" si="64"/>
        <v>2704583.9839708223</v>
      </c>
      <c r="W221" s="79">
        <f t="shared" si="64"/>
        <v>3232529.3779091234</v>
      </c>
      <c r="X221" s="44">
        <f t="shared" si="65"/>
        <v>5937113.3618799457</v>
      </c>
      <c r="Y221" s="44" t="s">
        <v>2765</v>
      </c>
      <c r="Z221" s="44" t="str">
        <f t="shared" si="66"/>
        <v>Yes</v>
      </c>
      <c r="AA221" s="44" t="str">
        <f t="shared" si="66"/>
        <v>Yes</v>
      </c>
      <c r="AB221" s="44" t="str">
        <f t="shared" si="67"/>
        <v>Yes</v>
      </c>
      <c r="AC221" s="80">
        <f t="shared" si="74"/>
        <v>1.49</v>
      </c>
      <c r="AD221" s="80">
        <f t="shared" si="75"/>
        <v>0.7</v>
      </c>
      <c r="AE221" s="44">
        <f t="shared" si="68"/>
        <v>36634819.419241138</v>
      </c>
      <c r="AF221" s="44">
        <f t="shared" si="68"/>
        <v>4617899.1112987474</v>
      </c>
      <c r="AG221" s="44">
        <f t="shared" si="69"/>
        <v>41252718.530539885</v>
      </c>
      <c r="AH221" s="46">
        <f>IF(Y221="No",0,IFERROR(ROUNDDOWN(INDEX('90% of ACR'!K:K,MATCH(H:H,'90% of ACR'!A:A,0))*IF(I221&gt;0,IF(O221&gt;0,$R$4*MAX(O221-V221,0),0),0)/I221,2),0))</f>
        <v>1.43</v>
      </c>
      <c r="AI221" s="80">
        <f>IF(Y221="No",0,IFERROR(ROUNDDOWN(INDEX('90% of ACR'!R:R,MATCH(H:H,'90% of ACR'!A:A,0))*IF(J221&gt;0,IF(P221&gt;0,$R$4*MAX(P221-W221,0),0),0)/J221,2),0))</f>
        <v>0.69</v>
      </c>
      <c r="AJ221" s="44">
        <f t="shared" si="70"/>
        <v>35159591.791620687</v>
      </c>
      <c r="AK221" s="44">
        <f t="shared" si="70"/>
        <v>4551929.1239944799</v>
      </c>
      <c r="AL221" s="46">
        <f t="shared" si="71"/>
        <v>1.54</v>
      </c>
      <c r="AM221" s="46">
        <f t="shared" si="71"/>
        <v>1.18</v>
      </c>
      <c r="AN221" s="81">
        <f>IFERROR(INDEX(FeeCalc!P:P,MATCH(C221,FeeCalc!F:F,0)),0)</f>
        <v>45648634.277495109</v>
      </c>
      <c r="AO221" s="81">
        <f>IFERROR(INDEX(FeeCalc!S:S,MATCH(C221,FeeCalc!F:F,0)),0)</f>
        <v>2816069.4760442963</v>
      </c>
      <c r="AP221" s="81">
        <f t="shared" si="72"/>
        <v>48464703.753539406</v>
      </c>
      <c r="AQ221" s="68">
        <f t="shared" si="73"/>
        <v>19073381.091612943</v>
      </c>
      <c r="AR221" s="68">
        <f>INDEX('IGT Commitment Suggestions'!H:H,MATCH(G221,'IGT Commitment Suggestions'!A:A,0))*AQ221</f>
        <v>8779991.7146841139</v>
      </c>
    </row>
    <row r="222" spans="1:44">
      <c r="A222" s="103" t="s">
        <v>992</v>
      </c>
      <c r="B222" s="123" t="s">
        <v>992</v>
      </c>
      <c r="C222" s="30" t="s">
        <v>993</v>
      </c>
      <c r="D222" s="124" t="s">
        <v>993</v>
      </c>
      <c r="E222" s="119" t="s">
        <v>2880</v>
      </c>
      <c r="F222" s="99" t="s">
        <v>2295</v>
      </c>
      <c r="G222" s="99" t="s">
        <v>227</v>
      </c>
      <c r="H222" s="42" t="str">
        <f t="shared" si="59"/>
        <v>Rural MRSA West</v>
      </c>
      <c r="I222" s="44">
        <f>INDEX(FeeCalc!M:M,MATCH(C:C,FeeCalc!F:F,0))</f>
        <v>1786421.2311265117</v>
      </c>
      <c r="J222" s="44">
        <f>INDEX(FeeCalc!L:L,MATCH(C:C,FeeCalc!F:F,0))</f>
        <v>1152376.0619612865</v>
      </c>
      <c r="K222" s="44">
        <f t="shared" si="60"/>
        <v>2938797.2930877982</v>
      </c>
      <c r="L222" s="44">
        <v>66227.89</v>
      </c>
      <c r="M222" s="44">
        <v>172823.27</v>
      </c>
      <c r="N222" s="44">
        <f t="shared" si="61"/>
        <v>239051.15999999997</v>
      </c>
      <c r="O222" s="44">
        <v>-748948.67603966058</v>
      </c>
      <c r="P222" s="44">
        <v>19694.978639749286</v>
      </c>
      <c r="Q222" s="44">
        <f t="shared" si="62"/>
        <v>-729253.69739991124</v>
      </c>
      <c r="R222" s="44" t="str">
        <f t="shared" si="63"/>
        <v>No</v>
      </c>
      <c r="S222" s="45" t="str">
        <f t="shared" si="63"/>
        <v>Yes</v>
      </c>
      <c r="T222" s="46">
        <f>ROUND(INDEX(Summary!H:H,MATCH(H:H,Summary!A:A,0)),2)</f>
        <v>0</v>
      </c>
      <c r="U222" s="46">
        <f>ROUND(INDEX(Summary!I:I,MATCH(H:H,Summary!A:A,0)),2)</f>
        <v>0.18</v>
      </c>
      <c r="V222" s="79">
        <f t="shared" si="64"/>
        <v>0</v>
      </c>
      <c r="W222" s="79">
        <f t="shared" si="64"/>
        <v>207427.69115303157</v>
      </c>
      <c r="X222" s="44">
        <f t="shared" si="65"/>
        <v>207427.69115303157</v>
      </c>
      <c r="Y222" s="44" t="s">
        <v>2765</v>
      </c>
      <c r="Z222" s="44" t="str">
        <f t="shared" si="66"/>
        <v>No</v>
      </c>
      <c r="AA222" s="44" t="str">
        <f t="shared" si="66"/>
        <v>No</v>
      </c>
      <c r="AB222" s="44" t="str">
        <f t="shared" si="67"/>
        <v>No</v>
      </c>
      <c r="AC222" s="80">
        <f t="shared" si="74"/>
        <v>0</v>
      </c>
      <c r="AD222" s="80">
        <f t="shared" si="75"/>
        <v>0</v>
      </c>
      <c r="AE222" s="44">
        <f t="shared" si="68"/>
        <v>0</v>
      </c>
      <c r="AF222" s="44">
        <f t="shared" si="68"/>
        <v>0</v>
      </c>
      <c r="AG222" s="44">
        <f t="shared" si="69"/>
        <v>0</v>
      </c>
      <c r="AH222" s="46">
        <f>IF(Y222="No",0,IFERROR(ROUNDDOWN(INDEX('90% of ACR'!K:K,MATCH(H:H,'90% of ACR'!A:A,0))*IF(I222&gt;0,IF(O222&gt;0,$R$4*MAX(O222-V222,0),0),0)/I222,2),0))</f>
        <v>0</v>
      </c>
      <c r="AI222" s="80">
        <f>IF(Y222="No",0,IFERROR(ROUNDDOWN(INDEX('90% of ACR'!R:R,MATCH(H:H,'90% of ACR'!A:A,0))*IF(J222&gt;0,IF(P222&gt;0,$R$4*MAX(P222-W222,0),0),0)/J222,2),0))</f>
        <v>0</v>
      </c>
      <c r="AJ222" s="44">
        <f t="shared" si="70"/>
        <v>0</v>
      </c>
      <c r="AK222" s="44">
        <f t="shared" si="70"/>
        <v>0</v>
      </c>
      <c r="AL222" s="46">
        <f t="shared" si="71"/>
        <v>0</v>
      </c>
      <c r="AM222" s="46">
        <f t="shared" si="71"/>
        <v>0.18</v>
      </c>
      <c r="AN222" s="81">
        <f>IFERROR(INDEX(FeeCalc!P:P,MATCH(C222,FeeCalc!F:F,0)),0)</f>
        <v>207427.69115303157</v>
      </c>
      <c r="AO222" s="81">
        <f>IFERROR(INDEX(FeeCalc!S:S,MATCH(C222,FeeCalc!F:F,0)),0)</f>
        <v>12760.510221641816</v>
      </c>
      <c r="AP222" s="81">
        <f t="shared" si="72"/>
        <v>220188.2013746734</v>
      </c>
      <c r="AQ222" s="68">
        <f t="shared" si="73"/>
        <v>86655.50702740546</v>
      </c>
      <c r="AR222" s="68">
        <f>INDEX('IGT Commitment Suggestions'!H:H,MATCH(G222,'IGT Commitment Suggestions'!A:A,0))*AQ222</f>
        <v>42466.714127220861</v>
      </c>
    </row>
    <row r="223" spans="1:44">
      <c r="A223" s="103" t="s">
        <v>123</v>
      </c>
      <c r="B223" s="123" t="s">
        <v>123</v>
      </c>
      <c r="C223" s="30" t="s">
        <v>124</v>
      </c>
      <c r="D223" s="124" t="s">
        <v>124</v>
      </c>
      <c r="E223" s="119" t="s">
        <v>1695</v>
      </c>
      <c r="F223" s="99" t="s">
        <v>2295</v>
      </c>
      <c r="G223" s="99" t="s">
        <v>300</v>
      </c>
      <c r="H223" s="42" t="str">
        <f t="shared" si="59"/>
        <v>Rural Harris</v>
      </c>
      <c r="I223" s="44">
        <f>INDEX(FeeCalc!M:M,MATCH(C:C,FeeCalc!F:F,0))</f>
        <v>393613.9289235734</v>
      </c>
      <c r="J223" s="44">
        <f>INDEX(FeeCalc!L:L,MATCH(C:C,FeeCalc!F:F,0))</f>
        <v>907225.64521641517</v>
      </c>
      <c r="K223" s="44">
        <f t="shared" si="60"/>
        <v>1300839.5741399885</v>
      </c>
      <c r="L223" s="44">
        <v>244260.78</v>
      </c>
      <c r="M223" s="44">
        <v>305850.46000000002</v>
      </c>
      <c r="N223" s="44">
        <f t="shared" si="61"/>
        <v>550111.24</v>
      </c>
      <c r="O223" s="44">
        <v>36659.132722852868</v>
      </c>
      <c r="P223" s="44">
        <v>235010.33058762964</v>
      </c>
      <c r="Q223" s="44">
        <f t="shared" si="62"/>
        <v>271669.4633104825</v>
      </c>
      <c r="R223" s="44" t="str">
        <f t="shared" si="63"/>
        <v>Yes</v>
      </c>
      <c r="S223" s="45" t="str">
        <f t="shared" si="63"/>
        <v>Yes</v>
      </c>
      <c r="T223" s="46">
        <f>ROUND(INDEX(Summary!H:H,MATCH(H:H,Summary!A:A,0)),2)</f>
        <v>0.01</v>
      </c>
      <c r="U223" s="46">
        <f>ROUND(INDEX(Summary!I:I,MATCH(H:H,Summary!A:A,0)),2)</f>
        <v>0.3</v>
      </c>
      <c r="V223" s="79">
        <f t="shared" si="64"/>
        <v>3936.1392892357339</v>
      </c>
      <c r="W223" s="79">
        <f t="shared" si="64"/>
        <v>272167.69356492453</v>
      </c>
      <c r="X223" s="44">
        <f t="shared" si="65"/>
        <v>276103.83285416028</v>
      </c>
      <c r="Y223" s="44" t="s">
        <v>2765</v>
      </c>
      <c r="Z223" s="44" t="str">
        <f t="shared" si="66"/>
        <v>No</v>
      </c>
      <c r="AA223" s="44" t="str">
        <f t="shared" si="66"/>
        <v>No</v>
      </c>
      <c r="AB223" s="44" t="str">
        <f t="shared" si="67"/>
        <v>Yes</v>
      </c>
      <c r="AC223" s="80">
        <f t="shared" si="74"/>
        <v>0.06</v>
      </c>
      <c r="AD223" s="80">
        <f t="shared" si="75"/>
        <v>0</v>
      </c>
      <c r="AE223" s="44">
        <f t="shared" si="68"/>
        <v>23616.835735414403</v>
      </c>
      <c r="AF223" s="44">
        <f t="shared" si="68"/>
        <v>0</v>
      </c>
      <c r="AG223" s="44">
        <f t="shared" si="69"/>
        <v>23616.835735414403</v>
      </c>
      <c r="AH223" s="46">
        <f>IF(Y223="No",0,IFERROR(ROUNDDOWN(INDEX('90% of ACR'!K:K,MATCH(H:H,'90% of ACR'!A:A,0))*IF(I223&gt;0,IF(O223&gt;0,$R$4*MAX(O223-V223,0),0),0)/I223,2),0))</f>
        <v>0</v>
      </c>
      <c r="AI223" s="80">
        <f>IF(Y223="No",0,IFERROR(ROUNDDOWN(INDEX('90% of ACR'!R:R,MATCH(H:H,'90% of ACR'!A:A,0))*IF(J223&gt;0,IF(P223&gt;0,$R$4*MAX(P223-W223,0),0),0)/J223,2),0))</f>
        <v>0</v>
      </c>
      <c r="AJ223" s="44">
        <f t="shared" si="70"/>
        <v>0</v>
      </c>
      <c r="AK223" s="44">
        <f t="shared" si="70"/>
        <v>0</v>
      </c>
      <c r="AL223" s="46">
        <f t="shared" si="71"/>
        <v>0.01</v>
      </c>
      <c r="AM223" s="46">
        <f t="shared" si="71"/>
        <v>0.3</v>
      </c>
      <c r="AN223" s="81">
        <f>IFERROR(INDEX(FeeCalc!P:P,MATCH(C223,FeeCalc!F:F,0)),0)</f>
        <v>276103.83285416028</v>
      </c>
      <c r="AO223" s="81">
        <f>IFERROR(INDEX(FeeCalc!S:S,MATCH(C223,FeeCalc!F:F,0)),0)</f>
        <v>17006.681346985613</v>
      </c>
      <c r="AP223" s="81">
        <f t="shared" si="72"/>
        <v>293110.51420114591</v>
      </c>
      <c r="AQ223" s="68">
        <f t="shared" si="73"/>
        <v>115354.22908488939</v>
      </c>
      <c r="AR223" s="68">
        <f>INDEX('IGT Commitment Suggestions'!H:H,MATCH(G223,'IGT Commitment Suggestions'!A:A,0))*AQ223</f>
        <v>52923.808383754098</v>
      </c>
    </row>
    <row r="224" spans="1:44">
      <c r="A224" s="103" t="s">
        <v>1440</v>
      </c>
      <c r="B224" s="123" t="s">
        <v>1440</v>
      </c>
      <c r="C224" s="30" t="s">
        <v>1441</v>
      </c>
      <c r="D224" s="124" t="s">
        <v>1441</v>
      </c>
      <c r="E224" s="119" t="s">
        <v>2616</v>
      </c>
      <c r="F224" s="99" t="s">
        <v>2283</v>
      </c>
      <c r="G224" s="99" t="s">
        <v>300</v>
      </c>
      <c r="H224" s="42" t="str">
        <f t="shared" si="59"/>
        <v>Urban Harris</v>
      </c>
      <c r="I224" s="44">
        <f>INDEX(FeeCalc!M:M,MATCH(C:C,FeeCalc!F:F,0))</f>
        <v>254229.20598313623</v>
      </c>
      <c r="J224" s="44">
        <f>INDEX(FeeCalc!L:L,MATCH(C:C,FeeCalc!F:F,0))</f>
        <v>0</v>
      </c>
      <c r="K224" s="44">
        <f t="shared" si="60"/>
        <v>254229.20598313623</v>
      </c>
      <c r="L224" s="44">
        <v>83824.479999999996</v>
      </c>
      <c r="M224" s="44">
        <v>0</v>
      </c>
      <c r="N224" s="44">
        <f t="shared" si="61"/>
        <v>83824.479999999996</v>
      </c>
      <c r="O224" s="44">
        <v>17873.501115076753</v>
      </c>
      <c r="P224" s="44">
        <v>0</v>
      </c>
      <c r="Q224" s="44">
        <f t="shared" si="62"/>
        <v>17873.501115076753</v>
      </c>
      <c r="R224" s="44" t="str">
        <f t="shared" si="63"/>
        <v>Yes</v>
      </c>
      <c r="S224" s="45" t="str">
        <f t="shared" si="63"/>
        <v>No</v>
      </c>
      <c r="T224" s="46">
        <f>ROUND(INDEX(Summary!H:H,MATCH(H:H,Summary!A:A,0)),2)</f>
        <v>1.74</v>
      </c>
      <c r="U224" s="46">
        <f>ROUND(INDEX(Summary!I:I,MATCH(H:H,Summary!A:A,0)),2)</f>
        <v>0.33</v>
      </c>
      <c r="V224" s="79">
        <f t="shared" si="64"/>
        <v>442358.81841065706</v>
      </c>
      <c r="W224" s="79">
        <f t="shared" si="64"/>
        <v>0</v>
      </c>
      <c r="X224" s="44">
        <f t="shared" si="65"/>
        <v>442358.81841065706</v>
      </c>
      <c r="Y224" s="44" t="s">
        <v>2765</v>
      </c>
      <c r="Z224" s="44" t="str">
        <f t="shared" si="66"/>
        <v>No</v>
      </c>
      <c r="AA224" s="44" t="str">
        <f t="shared" si="66"/>
        <v>No</v>
      </c>
      <c r="AB224" s="44" t="str">
        <f t="shared" si="67"/>
        <v>No</v>
      </c>
      <c r="AC224" s="80">
        <f t="shared" si="74"/>
        <v>0</v>
      </c>
      <c r="AD224" s="80">
        <f t="shared" si="75"/>
        <v>0</v>
      </c>
      <c r="AE224" s="44">
        <f t="shared" si="68"/>
        <v>0</v>
      </c>
      <c r="AF224" s="44">
        <f t="shared" si="68"/>
        <v>0</v>
      </c>
      <c r="AG224" s="44">
        <f t="shared" si="69"/>
        <v>0</v>
      </c>
      <c r="AH224" s="46">
        <f>IF(Y224="No",0,IFERROR(ROUNDDOWN(INDEX('90% of ACR'!K:K,MATCH(H:H,'90% of ACR'!A:A,0))*IF(I224&gt;0,IF(O224&gt;0,$R$4*MAX(O224-V224,0),0),0)/I224,2),0))</f>
        <v>0</v>
      </c>
      <c r="AI224" s="80">
        <f>IF(Y224="No",0,IFERROR(ROUNDDOWN(INDEX('90% of ACR'!R:R,MATCH(H:H,'90% of ACR'!A:A,0))*IF(J224&gt;0,IF(P224&gt;0,$R$4*MAX(P224-W224,0),0),0)/J224,2),0))</f>
        <v>0</v>
      </c>
      <c r="AJ224" s="44">
        <f t="shared" si="70"/>
        <v>0</v>
      </c>
      <c r="AK224" s="44">
        <f t="shared" si="70"/>
        <v>0</v>
      </c>
      <c r="AL224" s="46">
        <f t="shared" si="71"/>
        <v>1.74</v>
      </c>
      <c r="AM224" s="46">
        <f t="shared" si="71"/>
        <v>0.33</v>
      </c>
      <c r="AN224" s="81">
        <f>IFERROR(INDEX(FeeCalc!P:P,MATCH(C224,FeeCalc!F:F,0)),0)</f>
        <v>442358.81841065706</v>
      </c>
      <c r="AO224" s="81">
        <f>IFERROR(INDEX(FeeCalc!S:S,MATCH(C224,FeeCalc!F:F,0)),0)</f>
        <v>26987.408019748305</v>
      </c>
      <c r="AP224" s="81">
        <f t="shared" si="72"/>
        <v>469346.22643040534</v>
      </c>
      <c r="AQ224" s="68">
        <f t="shared" si="73"/>
        <v>184712.1461041389</v>
      </c>
      <c r="AR224" s="68">
        <f>INDEX('IGT Commitment Suggestions'!H:H,MATCH(G224,'IGT Commitment Suggestions'!A:A,0))*AQ224</f>
        <v>84744.792662725042</v>
      </c>
    </row>
    <row r="225" spans="1:44">
      <c r="A225" s="103" t="s">
        <v>2970</v>
      </c>
      <c r="B225" s="123" t="s">
        <v>2970</v>
      </c>
      <c r="C225" s="124" t="s">
        <v>2965</v>
      </c>
      <c r="D225" s="124" t="s">
        <v>2965</v>
      </c>
      <c r="E225" s="123" t="s">
        <v>2881</v>
      </c>
      <c r="F225" s="99" t="s">
        <v>2283</v>
      </c>
      <c r="G225" s="99" t="s">
        <v>300</v>
      </c>
      <c r="H225" s="42" t="str">
        <f t="shared" si="59"/>
        <v>Urban Harris</v>
      </c>
      <c r="I225" s="44">
        <f>INDEX(FeeCalc!M:M,MATCH(C:C,FeeCalc!F:F,0))</f>
        <v>0</v>
      </c>
      <c r="J225" s="44">
        <f>INDEX(FeeCalc!L:L,MATCH(C:C,FeeCalc!F:F,0))</f>
        <v>0</v>
      </c>
      <c r="K225" s="44">
        <f t="shared" si="60"/>
        <v>0</v>
      </c>
      <c r="L225" s="44">
        <v>0</v>
      </c>
      <c r="M225" s="44">
        <v>0</v>
      </c>
      <c r="N225" s="44">
        <f t="shared" si="61"/>
        <v>0</v>
      </c>
      <c r="O225" s="44">
        <v>0</v>
      </c>
      <c r="P225" s="44">
        <v>0</v>
      </c>
      <c r="Q225" s="44">
        <f t="shared" si="62"/>
        <v>0</v>
      </c>
      <c r="R225" s="44" t="str">
        <f t="shared" si="63"/>
        <v>No</v>
      </c>
      <c r="S225" s="45" t="str">
        <f t="shared" si="63"/>
        <v>No</v>
      </c>
      <c r="T225" s="46">
        <f>ROUND(INDEX(Summary!H:H,MATCH(H:H,Summary!A:A,0)),2)</f>
        <v>1.74</v>
      </c>
      <c r="U225" s="46">
        <f>ROUND(INDEX(Summary!I:I,MATCH(H:H,Summary!A:A,0)),2)</f>
        <v>0.33</v>
      </c>
      <c r="V225" s="79">
        <f t="shared" si="64"/>
        <v>0</v>
      </c>
      <c r="W225" s="79">
        <f t="shared" si="64"/>
        <v>0</v>
      </c>
      <c r="X225" s="44">
        <f t="shared" si="65"/>
        <v>0</v>
      </c>
      <c r="Y225" s="44" t="s">
        <v>2765</v>
      </c>
      <c r="Z225" s="44" t="str">
        <f t="shared" si="66"/>
        <v>No</v>
      </c>
      <c r="AA225" s="44" t="str">
        <f t="shared" si="66"/>
        <v>No</v>
      </c>
      <c r="AB225" s="44" t="str">
        <f t="shared" si="67"/>
        <v>No</v>
      </c>
      <c r="AC225" s="80">
        <f t="shared" si="74"/>
        <v>0</v>
      </c>
      <c r="AD225" s="80">
        <f t="shared" si="75"/>
        <v>0</v>
      </c>
      <c r="AE225" s="44">
        <f t="shared" si="68"/>
        <v>0</v>
      </c>
      <c r="AF225" s="44">
        <f t="shared" si="68"/>
        <v>0</v>
      </c>
      <c r="AG225" s="44">
        <f t="shared" si="69"/>
        <v>0</v>
      </c>
      <c r="AH225" s="46">
        <f>IF(Y225="No",0,IFERROR(ROUNDDOWN(INDEX('90% of ACR'!K:K,MATCH(H:H,'90% of ACR'!A:A,0))*IF(I225&gt;0,IF(O225&gt;0,$R$4*MAX(O225-V225,0),0),0)/I225,2),0))</f>
        <v>0</v>
      </c>
      <c r="AI225" s="80">
        <f>IF(Y225="No",0,IFERROR(ROUNDDOWN(INDEX('90% of ACR'!R:R,MATCH(H:H,'90% of ACR'!A:A,0))*IF(J225&gt;0,IF(P225&gt;0,$R$4*MAX(P225-W225,0),0),0)/J225,2),0))</f>
        <v>0</v>
      </c>
      <c r="AJ225" s="44">
        <f t="shared" si="70"/>
        <v>0</v>
      </c>
      <c r="AK225" s="44">
        <f t="shared" si="70"/>
        <v>0</v>
      </c>
      <c r="AL225" s="46">
        <f t="shared" si="71"/>
        <v>1.74</v>
      </c>
      <c r="AM225" s="46">
        <f t="shared" si="71"/>
        <v>0.33</v>
      </c>
      <c r="AN225" s="81">
        <f>IFERROR(INDEX(FeeCalc!P:P,MATCH(C225,FeeCalc!F:F,0)),0)</f>
        <v>0</v>
      </c>
      <c r="AO225" s="81">
        <f>IFERROR(INDEX(FeeCalc!S:S,MATCH(C225,FeeCalc!F:F,0)),0)</f>
        <v>0</v>
      </c>
      <c r="AP225" s="81">
        <f t="shared" si="72"/>
        <v>0</v>
      </c>
      <c r="AQ225" s="68">
        <f t="shared" si="73"/>
        <v>0</v>
      </c>
      <c r="AR225" s="68">
        <f>INDEX('IGT Commitment Suggestions'!H:H,MATCH(G225,'IGT Commitment Suggestions'!A:A,0))*AQ225</f>
        <v>0</v>
      </c>
    </row>
    <row r="226" spans="1:44">
      <c r="A226" s="103" t="s">
        <v>844</v>
      </c>
      <c r="B226" s="123" t="s">
        <v>844</v>
      </c>
      <c r="C226" s="30" t="s">
        <v>845</v>
      </c>
      <c r="D226" s="124" t="s">
        <v>845</v>
      </c>
      <c r="E226" s="119" t="s">
        <v>2882</v>
      </c>
      <c r="F226" s="99" t="s">
        <v>2295</v>
      </c>
      <c r="G226" s="99" t="s">
        <v>227</v>
      </c>
      <c r="H226" s="42" t="str">
        <f t="shared" si="59"/>
        <v>Rural MRSA West</v>
      </c>
      <c r="I226" s="44">
        <f>INDEX(FeeCalc!M:M,MATCH(C:C,FeeCalc!F:F,0))</f>
        <v>1238376.7811105503</v>
      </c>
      <c r="J226" s="44">
        <f>INDEX(FeeCalc!L:L,MATCH(C:C,FeeCalc!F:F,0))</f>
        <v>840749.85961844272</v>
      </c>
      <c r="K226" s="44">
        <f t="shared" si="60"/>
        <v>2079126.6407289929</v>
      </c>
      <c r="L226" s="44">
        <v>528415.42000000004</v>
      </c>
      <c r="M226" s="44">
        <v>97804.160000000003</v>
      </c>
      <c r="N226" s="44">
        <f t="shared" si="61"/>
        <v>626219.58000000007</v>
      </c>
      <c r="O226" s="44">
        <v>-27732.182125553256</v>
      </c>
      <c r="P226" s="44">
        <v>367400.76489103376</v>
      </c>
      <c r="Q226" s="44">
        <f t="shared" si="62"/>
        <v>339668.5827654805</v>
      </c>
      <c r="R226" s="44" t="str">
        <f t="shared" si="63"/>
        <v>No</v>
      </c>
      <c r="S226" s="45" t="str">
        <f t="shared" si="63"/>
        <v>Yes</v>
      </c>
      <c r="T226" s="46">
        <f>ROUND(INDEX(Summary!H:H,MATCH(H:H,Summary!A:A,0)),2)</f>
        <v>0</v>
      </c>
      <c r="U226" s="46">
        <f>ROUND(INDEX(Summary!I:I,MATCH(H:H,Summary!A:A,0)),2)</f>
        <v>0.18</v>
      </c>
      <c r="V226" s="79">
        <f t="shared" si="64"/>
        <v>0</v>
      </c>
      <c r="W226" s="79">
        <f t="shared" si="64"/>
        <v>151334.97473131967</v>
      </c>
      <c r="X226" s="44">
        <f t="shared" si="65"/>
        <v>151334.97473131967</v>
      </c>
      <c r="Y226" s="44" t="s">
        <v>2765</v>
      </c>
      <c r="Z226" s="44" t="str">
        <f t="shared" si="66"/>
        <v>No</v>
      </c>
      <c r="AA226" s="44" t="str">
        <f t="shared" si="66"/>
        <v>Yes</v>
      </c>
      <c r="AB226" s="44" t="str">
        <f t="shared" si="67"/>
        <v>Yes</v>
      </c>
      <c r="AC226" s="80">
        <f t="shared" si="74"/>
        <v>0</v>
      </c>
      <c r="AD226" s="80">
        <f t="shared" si="75"/>
        <v>0.18</v>
      </c>
      <c r="AE226" s="44">
        <f t="shared" si="68"/>
        <v>0</v>
      </c>
      <c r="AF226" s="44">
        <f t="shared" si="68"/>
        <v>151334.97473131967</v>
      </c>
      <c r="AG226" s="44">
        <f t="shared" si="69"/>
        <v>151334.97473131967</v>
      </c>
      <c r="AH226" s="46">
        <f>IF(Y226="No",0,IFERROR(ROUNDDOWN(INDEX('90% of ACR'!K:K,MATCH(H:H,'90% of ACR'!A:A,0))*IF(I226&gt;0,IF(O226&gt;0,$R$4*MAX(O226-V226,0),0),0)/I226,2),0))</f>
        <v>0</v>
      </c>
      <c r="AI226" s="80">
        <f>IF(Y226="No",0,IFERROR(ROUNDDOWN(INDEX('90% of ACR'!R:R,MATCH(H:H,'90% of ACR'!A:A,0))*IF(J226&gt;0,IF(P226&gt;0,$R$4*MAX(P226-W226,0),0),0)/J226,2),0))</f>
        <v>0.17</v>
      </c>
      <c r="AJ226" s="44">
        <f t="shared" si="70"/>
        <v>0</v>
      </c>
      <c r="AK226" s="44">
        <f t="shared" si="70"/>
        <v>142927.47613513528</v>
      </c>
      <c r="AL226" s="46">
        <f t="shared" si="71"/>
        <v>0</v>
      </c>
      <c r="AM226" s="46">
        <f t="shared" si="71"/>
        <v>0.35</v>
      </c>
      <c r="AN226" s="81">
        <f>IFERROR(INDEX(FeeCalc!P:P,MATCH(C226,FeeCalc!F:F,0)),0)</f>
        <v>294262.45086645492</v>
      </c>
      <c r="AO226" s="81">
        <f>IFERROR(INDEX(FeeCalc!S:S,MATCH(C226,FeeCalc!F:F,0)),0)</f>
        <v>18034.817342405277</v>
      </c>
      <c r="AP226" s="81">
        <f t="shared" si="72"/>
        <v>312297.26820886019</v>
      </c>
      <c r="AQ226" s="68">
        <f t="shared" si="73"/>
        <v>122905.21449813335</v>
      </c>
      <c r="AR226" s="68">
        <f>INDEX('IGT Commitment Suggestions'!H:H,MATCH(G226,'IGT Commitment Suggestions'!A:A,0))*AQ226</f>
        <v>60231.378107179284</v>
      </c>
    </row>
    <row r="227" spans="1:44" ht="25.5">
      <c r="A227" s="103" t="s">
        <v>1253</v>
      </c>
      <c r="B227" s="123" t="s">
        <v>1253</v>
      </c>
      <c r="C227" s="30" t="s">
        <v>1254</v>
      </c>
      <c r="D227" s="124" t="s">
        <v>1254</v>
      </c>
      <c r="E227" s="119" t="s">
        <v>2883</v>
      </c>
      <c r="F227" s="99" t="s">
        <v>2544</v>
      </c>
      <c r="G227" s="99" t="s">
        <v>1365</v>
      </c>
      <c r="H227" s="42" t="str">
        <f t="shared" si="59"/>
        <v>Non-state-owned IMD Tarrant</v>
      </c>
      <c r="I227" s="44">
        <f>INDEX(FeeCalc!M:M,MATCH(C:C,FeeCalc!F:F,0))</f>
        <v>210130.79837517755</v>
      </c>
      <c r="J227" s="44">
        <f>INDEX(FeeCalc!L:L,MATCH(C:C,FeeCalc!F:F,0))</f>
        <v>0</v>
      </c>
      <c r="K227" s="44">
        <f t="shared" si="60"/>
        <v>210130.79837517755</v>
      </c>
      <c r="L227" s="44">
        <v>133751.79999999999</v>
      </c>
      <c r="M227" s="44">
        <v>0</v>
      </c>
      <c r="N227" s="44">
        <f t="shared" si="61"/>
        <v>133751.79999999999</v>
      </c>
      <c r="O227" s="44">
        <v>133765.08803225445</v>
      </c>
      <c r="P227" s="44">
        <v>0</v>
      </c>
      <c r="Q227" s="44">
        <f t="shared" si="62"/>
        <v>133765.08803225445</v>
      </c>
      <c r="R227" s="44" t="str">
        <f t="shared" si="63"/>
        <v>Yes</v>
      </c>
      <c r="S227" s="45" t="str">
        <f t="shared" si="63"/>
        <v>No</v>
      </c>
      <c r="T227" s="46">
        <f>ROUND(INDEX(Summary!H:H,MATCH(H:H,Summary!A:A,0)),2)</f>
        <v>0.22</v>
      </c>
      <c r="U227" s="46">
        <f>ROUND(INDEX(Summary!I:I,MATCH(H:H,Summary!A:A,0)),2)</f>
        <v>0</v>
      </c>
      <c r="V227" s="79">
        <f t="shared" si="64"/>
        <v>46228.775642539062</v>
      </c>
      <c r="W227" s="79">
        <f t="shared" si="64"/>
        <v>0</v>
      </c>
      <c r="X227" s="44">
        <f t="shared" si="65"/>
        <v>46228.775642539062</v>
      </c>
      <c r="Y227" s="44" t="s">
        <v>2765</v>
      </c>
      <c r="Z227" s="44" t="str">
        <f t="shared" si="66"/>
        <v>No</v>
      </c>
      <c r="AA227" s="44" t="str">
        <f t="shared" si="66"/>
        <v>No</v>
      </c>
      <c r="AB227" s="44" t="str">
        <f t="shared" si="67"/>
        <v>Yes</v>
      </c>
      <c r="AC227" s="80">
        <f t="shared" si="74"/>
        <v>0.28999999999999998</v>
      </c>
      <c r="AD227" s="80">
        <f t="shared" si="75"/>
        <v>0</v>
      </c>
      <c r="AE227" s="44">
        <f t="shared" si="68"/>
        <v>60937.931528801484</v>
      </c>
      <c r="AF227" s="44">
        <f t="shared" si="68"/>
        <v>0</v>
      </c>
      <c r="AG227" s="44">
        <f t="shared" si="69"/>
        <v>60937.931528801484</v>
      </c>
      <c r="AH227" s="46">
        <f>IF(Y227="No",0,IFERROR(ROUNDDOWN(INDEX('90% of ACR'!K:K,MATCH(H:H,'90% of ACR'!A:A,0))*IF(I227&gt;0,IF(O227&gt;0,$R$4*MAX(O227-V227,0),0),0)/I227,2),0))</f>
        <v>0</v>
      </c>
      <c r="AI227" s="80">
        <f>IF(Y227="No",0,IFERROR(ROUNDDOWN(INDEX('90% of ACR'!R:R,MATCH(H:H,'90% of ACR'!A:A,0))*IF(J227&gt;0,IF(P227&gt;0,$R$4*MAX(P227-W227,0),0),0)/J227,2),0))</f>
        <v>0</v>
      </c>
      <c r="AJ227" s="44">
        <f t="shared" si="70"/>
        <v>0</v>
      </c>
      <c r="AK227" s="44">
        <f t="shared" si="70"/>
        <v>0</v>
      </c>
      <c r="AL227" s="46">
        <f t="shared" si="71"/>
        <v>0.22</v>
      </c>
      <c r="AM227" s="46">
        <f t="shared" si="71"/>
        <v>0</v>
      </c>
      <c r="AN227" s="81">
        <f>IFERROR(INDEX(FeeCalc!P:P,MATCH(C227,FeeCalc!F:F,0)),0)</f>
        <v>46228.775642539062</v>
      </c>
      <c r="AO227" s="81">
        <f>IFERROR(INDEX(FeeCalc!S:S,MATCH(C227,FeeCalc!F:F,0)),0)</f>
        <v>2820.3231824360701</v>
      </c>
      <c r="AP227" s="81">
        <f t="shared" si="72"/>
        <v>49049.098824975132</v>
      </c>
      <c r="AQ227" s="68">
        <f t="shared" si="73"/>
        <v>19303.370940766614</v>
      </c>
      <c r="AR227" s="68">
        <f>INDEX('IGT Commitment Suggestions'!H:H,MATCH(G227,'IGT Commitment Suggestions'!A:A,0))*AQ227</f>
        <v>8804.0837932284467</v>
      </c>
    </row>
    <row r="228" spans="1:44">
      <c r="A228" s="103" t="s">
        <v>819</v>
      </c>
      <c r="B228" s="123" t="s">
        <v>819</v>
      </c>
      <c r="C228" s="30" t="s">
        <v>820</v>
      </c>
      <c r="D228" s="124" t="s">
        <v>820</v>
      </c>
      <c r="E228" s="119" t="s">
        <v>2609</v>
      </c>
      <c r="F228" s="99" t="s">
        <v>2295</v>
      </c>
      <c r="G228" s="99" t="s">
        <v>227</v>
      </c>
      <c r="H228" s="42" t="str">
        <f t="shared" si="59"/>
        <v>Rural MRSA West</v>
      </c>
      <c r="I228" s="44">
        <f>INDEX(FeeCalc!M:M,MATCH(C:C,FeeCalc!F:F,0))</f>
        <v>114018.46249885992</v>
      </c>
      <c r="J228" s="44">
        <f>INDEX(FeeCalc!L:L,MATCH(C:C,FeeCalc!F:F,0))</f>
        <v>507791.47630263178</v>
      </c>
      <c r="K228" s="44">
        <f t="shared" si="60"/>
        <v>621809.93880149175</v>
      </c>
      <c r="L228" s="44">
        <v>41420.14</v>
      </c>
      <c r="M228" s="44">
        <v>540573.96</v>
      </c>
      <c r="N228" s="44">
        <f t="shared" si="61"/>
        <v>581994.1</v>
      </c>
      <c r="O228" s="44">
        <v>-25399.524312361969</v>
      </c>
      <c r="P228" s="44">
        <v>209697.83322742063</v>
      </c>
      <c r="Q228" s="44">
        <f t="shared" si="62"/>
        <v>184298.30891505867</v>
      </c>
      <c r="R228" s="44" t="str">
        <f t="shared" si="63"/>
        <v>No</v>
      </c>
      <c r="S228" s="45" t="str">
        <f t="shared" si="63"/>
        <v>Yes</v>
      </c>
      <c r="T228" s="46">
        <f>ROUND(INDEX(Summary!H:H,MATCH(H:H,Summary!A:A,0)),2)</f>
        <v>0</v>
      </c>
      <c r="U228" s="46">
        <f>ROUND(INDEX(Summary!I:I,MATCH(H:H,Summary!A:A,0)),2)</f>
        <v>0.18</v>
      </c>
      <c r="V228" s="79">
        <f t="shared" si="64"/>
        <v>0</v>
      </c>
      <c r="W228" s="79">
        <f t="shared" si="64"/>
        <v>91402.465734473721</v>
      </c>
      <c r="X228" s="44">
        <f t="shared" si="65"/>
        <v>91402.465734473721</v>
      </c>
      <c r="Y228" s="44" t="s">
        <v>2766</v>
      </c>
      <c r="Z228" s="44" t="str">
        <f t="shared" si="66"/>
        <v>No</v>
      </c>
      <c r="AA228" s="44" t="str">
        <f t="shared" si="66"/>
        <v>No</v>
      </c>
      <c r="AB228" s="44" t="str">
        <f t="shared" si="67"/>
        <v>No</v>
      </c>
      <c r="AC228" s="80">
        <f t="shared" si="74"/>
        <v>0</v>
      </c>
      <c r="AD228" s="80">
        <f t="shared" si="75"/>
        <v>0</v>
      </c>
      <c r="AE228" s="44">
        <f t="shared" si="68"/>
        <v>0</v>
      </c>
      <c r="AF228" s="44">
        <f t="shared" si="68"/>
        <v>0</v>
      </c>
      <c r="AG228" s="44">
        <f t="shared" si="69"/>
        <v>0</v>
      </c>
      <c r="AH228" s="46">
        <f>IF(Y228="No",0,IFERROR(ROUNDDOWN(INDEX('90% of ACR'!K:K,MATCH(H:H,'90% of ACR'!A:A,0))*IF(I228&gt;0,IF(O228&gt;0,$R$4*MAX(O228-V228,0),0),0)/I228,2),0))</f>
        <v>0</v>
      </c>
      <c r="AI228" s="80">
        <f>IF(Y228="No",0,IFERROR(ROUNDDOWN(INDEX('90% of ACR'!R:R,MATCH(H:H,'90% of ACR'!A:A,0))*IF(J228&gt;0,IF(P228&gt;0,$R$4*MAX(P228-W228,0),0),0)/J228,2),0))</f>
        <v>0</v>
      </c>
      <c r="AJ228" s="44">
        <f t="shared" si="70"/>
        <v>0</v>
      </c>
      <c r="AK228" s="44">
        <f t="shared" si="70"/>
        <v>0</v>
      </c>
      <c r="AL228" s="46">
        <f t="shared" si="71"/>
        <v>0</v>
      </c>
      <c r="AM228" s="46">
        <f t="shared" si="71"/>
        <v>0.18</v>
      </c>
      <c r="AN228" s="81">
        <f>IFERROR(INDEX(FeeCalc!P:P,MATCH(C228,FeeCalc!F:F,0)),0)</f>
        <v>91402.465734473721</v>
      </c>
      <c r="AO228" s="81">
        <f>IFERROR(INDEX(FeeCalc!S:S,MATCH(C228,FeeCalc!F:F,0)),0)</f>
        <v>5611.9969619332951</v>
      </c>
      <c r="AP228" s="81">
        <f t="shared" si="72"/>
        <v>97014.462696407019</v>
      </c>
      <c r="AQ228" s="68">
        <f t="shared" si="73"/>
        <v>38180.235823096373</v>
      </c>
      <c r="AR228" s="68">
        <f>INDEX('IGT Commitment Suggestions'!H:H,MATCH(G228,'IGT Commitment Suggestions'!A:A,0))*AQ228</f>
        <v>18710.745752102448</v>
      </c>
    </row>
    <row r="229" spans="1:44">
      <c r="A229" s="103" t="s">
        <v>953</v>
      </c>
      <c r="B229" s="123" t="s">
        <v>953</v>
      </c>
      <c r="C229" s="30" t="s">
        <v>954</v>
      </c>
      <c r="D229" s="124" t="s">
        <v>954</v>
      </c>
      <c r="E229" s="119" t="s">
        <v>1644</v>
      </c>
      <c r="F229" s="99" t="s">
        <v>2295</v>
      </c>
      <c r="G229" s="99" t="s">
        <v>300</v>
      </c>
      <c r="H229" s="42" t="str">
        <f t="shared" si="59"/>
        <v>Rural Harris</v>
      </c>
      <c r="I229" s="44">
        <f>INDEX(FeeCalc!M:M,MATCH(C:C,FeeCalc!F:F,0))</f>
        <v>166420.09384461978</v>
      </c>
      <c r="J229" s="44">
        <f>INDEX(FeeCalc!L:L,MATCH(C:C,FeeCalc!F:F,0))</f>
        <v>124559.35692734667</v>
      </c>
      <c r="K229" s="44">
        <f t="shared" si="60"/>
        <v>290979.45077196648</v>
      </c>
      <c r="L229" s="44">
        <v>7940.95</v>
      </c>
      <c r="M229" s="44">
        <v>-16534.88</v>
      </c>
      <c r="N229" s="44">
        <f t="shared" si="61"/>
        <v>-8593.93</v>
      </c>
      <c r="O229" s="44">
        <v>472.53608732101566</v>
      </c>
      <c r="P229" s="44">
        <v>8394.7891940679256</v>
      </c>
      <c r="Q229" s="44">
        <f t="shared" si="62"/>
        <v>8867.3252813889412</v>
      </c>
      <c r="R229" s="44" t="str">
        <f t="shared" si="63"/>
        <v>Yes</v>
      </c>
      <c r="S229" s="45" t="str">
        <f t="shared" si="63"/>
        <v>Yes</v>
      </c>
      <c r="T229" s="46">
        <f>ROUND(INDEX(Summary!H:H,MATCH(H:H,Summary!A:A,0)),2)</f>
        <v>0.01</v>
      </c>
      <c r="U229" s="46">
        <f>ROUND(INDEX(Summary!I:I,MATCH(H:H,Summary!A:A,0)),2)</f>
        <v>0.3</v>
      </c>
      <c r="V229" s="79">
        <f t="shared" si="64"/>
        <v>1664.2009384461978</v>
      </c>
      <c r="W229" s="79">
        <f t="shared" si="64"/>
        <v>37367.807078204001</v>
      </c>
      <c r="X229" s="44">
        <f t="shared" si="65"/>
        <v>39032.008016650201</v>
      </c>
      <c r="Y229" s="44" t="s">
        <v>2765</v>
      </c>
      <c r="Z229" s="44" t="str">
        <f t="shared" si="66"/>
        <v>No</v>
      </c>
      <c r="AA229" s="44" t="str">
        <f t="shared" si="66"/>
        <v>No</v>
      </c>
      <c r="AB229" s="44" t="str">
        <f t="shared" si="67"/>
        <v>No</v>
      </c>
      <c r="AC229" s="80">
        <f t="shared" si="74"/>
        <v>0</v>
      </c>
      <c r="AD229" s="80">
        <f t="shared" si="75"/>
        <v>0</v>
      </c>
      <c r="AE229" s="44">
        <f t="shared" si="68"/>
        <v>0</v>
      </c>
      <c r="AF229" s="44">
        <f t="shared" si="68"/>
        <v>0</v>
      </c>
      <c r="AG229" s="44">
        <f t="shared" si="69"/>
        <v>0</v>
      </c>
      <c r="AH229" s="46">
        <f>IF(Y229="No",0,IFERROR(ROUNDDOWN(INDEX('90% of ACR'!K:K,MATCH(H:H,'90% of ACR'!A:A,0))*IF(I229&gt;0,IF(O229&gt;0,$R$4*MAX(O229-V229,0),0),0)/I229,2),0))</f>
        <v>0</v>
      </c>
      <c r="AI229" s="80">
        <f>IF(Y229="No",0,IFERROR(ROUNDDOWN(INDEX('90% of ACR'!R:R,MATCH(H:H,'90% of ACR'!A:A,0))*IF(J229&gt;0,IF(P229&gt;0,$R$4*MAX(P229-W229,0),0),0)/J229,2),0))</f>
        <v>0</v>
      </c>
      <c r="AJ229" s="44">
        <f t="shared" si="70"/>
        <v>0</v>
      </c>
      <c r="AK229" s="44">
        <f t="shared" si="70"/>
        <v>0</v>
      </c>
      <c r="AL229" s="46">
        <f t="shared" si="71"/>
        <v>0.01</v>
      </c>
      <c r="AM229" s="46">
        <f t="shared" si="71"/>
        <v>0.3</v>
      </c>
      <c r="AN229" s="81">
        <f>IFERROR(INDEX(FeeCalc!P:P,MATCH(C229,FeeCalc!F:F,0)),0)</f>
        <v>39032.008016650201</v>
      </c>
      <c r="AO229" s="81">
        <f>IFERROR(INDEX(FeeCalc!S:S,MATCH(C229,FeeCalc!F:F,0)),0)</f>
        <v>2390.7784795479924</v>
      </c>
      <c r="AP229" s="81">
        <f t="shared" si="72"/>
        <v>41422.78649619819</v>
      </c>
      <c r="AQ229" s="68">
        <f t="shared" si="73"/>
        <v>16302.020471151791</v>
      </c>
      <c r="AR229" s="68">
        <f>INDEX('IGT Commitment Suggestions'!H:H,MATCH(G229,'IGT Commitment Suggestions'!A:A,0))*AQ229</f>
        <v>7479.2663825819836</v>
      </c>
    </row>
    <row r="230" spans="1:44">
      <c r="A230" s="103" t="s">
        <v>1171</v>
      </c>
      <c r="B230" s="123" t="s">
        <v>1171</v>
      </c>
      <c r="C230" s="30" t="s">
        <v>1172</v>
      </c>
      <c r="D230" s="124" t="s">
        <v>1172</v>
      </c>
      <c r="E230" s="119" t="s">
        <v>2666</v>
      </c>
      <c r="F230" s="99" t="s">
        <v>2295</v>
      </c>
      <c r="G230" s="99" t="s">
        <v>487</v>
      </c>
      <c r="H230" s="42" t="str">
        <f t="shared" si="59"/>
        <v>Rural Bexar</v>
      </c>
      <c r="I230" s="44">
        <f>INDEX(FeeCalc!M:M,MATCH(C:C,FeeCalc!F:F,0))</f>
        <v>438848.56129125046</v>
      </c>
      <c r="J230" s="44">
        <f>INDEX(FeeCalc!L:L,MATCH(C:C,FeeCalc!F:F,0))</f>
        <v>1744457.2735216948</v>
      </c>
      <c r="K230" s="44">
        <f t="shared" si="60"/>
        <v>2183305.8348129452</v>
      </c>
      <c r="L230" s="44">
        <v>40802.58</v>
      </c>
      <c r="M230" s="44">
        <v>232440.1</v>
      </c>
      <c r="N230" s="44">
        <f t="shared" si="61"/>
        <v>273242.68</v>
      </c>
      <c r="O230" s="44">
        <v>34825.027762573111</v>
      </c>
      <c r="P230" s="44">
        <v>529647.39888683031</v>
      </c>
      <c r="Q230" s="44">
        <f t="shared" si="62"/>
        <v>564472.42664940341</v>
      </c>
      <c r="R230" s="44" t="str">
        <f t="shared" si="63"/>
        <v>Yes</v>
      </c>
      <c r="S230" s="45" t="str">
        <f t="shared" si="63"/>
        <v>Yes</v>
      </c>
      <c r="T230" s="46">
        <f>ROUND(INDEX(Summary!H:H,MATCH(H:H,Summary!A:A,0)),2)</f>
        <v>0.53</v>
      </c>
      <c r="U230" s="46">
        <f>ROUND(INDEX(Summary!I:I,MATCH(H:H,Summary!A:A,0)),2)</f>
        <v>0.1</v>
      </c>
      <c r="V230" s="79">
        <f t="shared" si="64"/>
        <v>232589.73748436276</v>
      </c>
      <c r="W230" s="79">
        <f t="shared" si="64"/>
        <v>174445.72735216949</v>
      </c>
      <c r="X230" s="44">
        <f t="shared" si="65"/>
        <v>407035.46483653225</v>
      </c>
      <c r="Y230" s="44" t="s">
        <v>2765</v>
      </c>
      <c r="Z230" s="44" t="str">
        <f t="shared" si="66"/>
        <v>No</v>
      </c>
      <c r="AA230" s="44" t="str">
        <f t="shared" si="66"/>
        <v>Yes</v>
      </c>
      <c r="AB230" s="44" t="str">
        <f t="shared" si="67"/>
        <v>Yes</v>
      </c>
      <c r="AC230" s="80">
        <f t="shared" si="74"/>
        <v>0</v>
      </c>
      <c r="AD230" s="80">
        <f t="shared" si="75"/>
        <v>0.14000000000000001</v>
      </c>
      <c r="AE230" s="44">
        <f t="shared" si="68"/>
        <v>0</v>
      </c>
      <c r="AF230" s="44">
        <f t="shared" si="68"/>
        <v>244224.01829303731</v>
      </c>
      <c r="AG230" s="44">
        <f t="shared" si="69"/>
        <v>244224.01829303731</v>
      </c>
      <c r="AH230" s="46">
        <f>IF(Y230="No",0,IFERROR(ROUNDDOWN(INDEX('90% of ACR'!K:K,MATCH(H:H,'90% of ACR'!A:A,0))*IF(I230&gt;0,IF(O230&gt;0,$R$4*MAX(O230-V230,0),0),0)/I230,2),0))</f>
        <v>0</v>
      </c>
      <c r="AI230" s="80">
        <f>IF(Y230="No",0,IFERROR(ROUNDDOWN(INDEX('90% of ACR'!R:R,MATCH(H:H,'90% of ACR'!A:A,0))*IF(J230&gt;0,IF(P230&gt;0,$R$4*MAX(P230-W230,0),0),0)/J230,2),0))</f>
        <v>0.14000000000000001</v>
      </c>
      <c r="AJ230" s="44">
        <f t="shared" si="70"/>
        <v>0</v>
      </c>
      <c r="AK230" s="44">
        <f t="shared" si="70"/>
        <v>244224.01829303731</v>
      </c>
      <c r="AL230" s="46">
        <f t="shared" si="71"/>
        <v>0.53</v>
      </c>
      <c r="AM230" s="46">
        <f t="shared" si="71"/>
        <v>0.24000000000000002</v>
      </c>
      <c r="AN230" s="81">
        <f>IFERROR(INDEX(FeeCalc!P:P,MATCH(C230,FeeCalc!F:F,0)),0)</f>
        <v>651259.48312956956</v>
      </c>
      <c r="AO230" s="81">
        <f>IFERROR(INDEX(FeeCalc!S:S,MATCH(C230,FeeCalc!F:F,0)),0)</f>
        <v>40075.383575465006</v>
      </c>
      <c r="AP230" s="81">
        <f t="shared" si="72"/>
        <v>691334.86670503463</v>
      </c>
      <c r="AQ230" s="68">
        <f t="shared" si="73"/>
        <v>272076.21946149983</v>
      </c>
      <c r="AR230" s="68">
        <f>INDEX('IGT Commitment Suggestions'!H:H,MATCH(G230,'IGT Commitment Suggestions'!A:A,0))*AQ230</f>
        <v>125413.04733452096</v>
      </c>
    </row>
    <row r="231" spans="1:44">
      <c r="A231" s="103" t="s">
        <v>371</v>
      </c>
      <c r="B231" s="123" t="s">
        <v>371</v>
      </c>
      <c r="C231" s="30" t="s">
        <v>372</v>
      </c>
      <c r="D231" s="124" t="s">
        <v>372</v>
      </c>
      <c r="E231" s="119" t="s">
        <v>2736</v>
      </c>
      <c r="F231" s="99" t="s">
        <v>2295</v>
      </c>
      <c r="G231" s="99" t="s">
        <v>1486</v>
      </c>
      <c r="H231" s="42" t="str">
        <f t="shared" si="59"/>
        <v>Rural MRSA Central</v>
      </c>
      <c r="I231" s="44">
        <f>INDEX(FeeCalc!M:M,MATCH(C:C,FeeCalc!F:F,0))</f>
        <v>2411.6044934395222</v>
      </c>
      <c r="J231" s="44">
        <f>INDEX(FeeCalc!L:L,MATCH(C:C,FeeCalc!F:F,0))</f>
        <v>99107.142798488741</v>
      </c>
      <c r="K231" s="44">
        <f t="shared" si="60"/>
        <v>101518.74729192826</v>
      </c>
      <c r="L231" s="44">
        <v>4660.01</v>
      </c>
      <c r="M231" s="44">
        <v>12239.98</v>
      </c>
      <c r="N231" s="44">
        <f t="shared" si="61"/>
        <v>16899.989999999998</v>
      </c>
      <c r="O231" s="44">
        <v>1340.9497562891265</v>
      </c>
      <c r="P231" s="44">
        <v>160010.49971266897</v>
      </c>
      <c r="Q231" s="44">
        <f t="shared" si="62"/>
        <v>161351.4494689581</v>
      </c>
      <c r="R231" s="44" t="str">
        <f t="shared" si="63"/>
        <v>Yes</v>
      </c>
      <c r="S231" s="45" t="str">
        <f t="shared" si="63"/>
        <v>Yes</v>
      </c>
      <c r="T231" s="46">
        <f>ROUND(INDEX(Summary!H:H,MATCH(H:H,Summary!A:A,0)),2)</f>
        <v>0.11</v>
      </c>
      <c r="U231" s="46">
        <f>ROUND(INDEX(Summary!I:I,MATCH(H:H,Summary!A:A,0)),2)</f>
        <v>0.09</v>
      </c>
      <c r="V231" s="79">
        <f t="shared" si="64"/>
        <v>265.27649427834746</v>
      </c>
      <c r="W231" s="79">
        <f t="shared" si="64"/>
        <v>8919.6428518639859</v>
      </c>
      <c r="X231" s="44">
        <f t="shared" si="65"/>
        <v>9184.9193461423329</v>
      </c>
      <c r="Y231" s="44" t="s">
        <v>2765</v>
      </c>
      <c r="Z231" s="44" t="str">
        <f t="shared" si="66"/>
        <v>Yes</v>
      </c>
      <c r="AA231" s="44" t="str">
        <f t="shared" si="66"/>
        <v>Yes</v>
      </c>
      <c r="AB231" s="44" t="str">
        <f t="shared" si="67"/>
        <v>Yes</v>
      </c>
      <c r="AC231" s="80">
        <f t="shared" si="74"/>
        <v>0.31</v>
      </c>
      <c r="AD231" s="80">
        <f t="shared" si="75"/>
        <v>1.06</v>
      </c>
      <c r="AE231" s="44">
        <f t="shared" si="68"/>
        <v>747.59739296625185</v>
      </c>
      <c r="AF231" s="44">
        <f t="shared" si="68"/>
        <v>105053.57136639807</v>
      </c>
      <c r="AG231" s="44">
        <f t="shared" si="69"/>
        <v>105801.16875936433</v>
      </c>
      <c r="AH231" s="46">
        <f>IF(Y231="No",0,IFERROR(ROUNDDOWN(INDEX('90% of ACR'!K:K,MATCH(H:H,'90% of ACR'!A:A,0))*IF(I231&gt;0,IF(O231&gt;0,$R$4*MAX(O231-V231,0),0),0)/I231,2),0))</f>
        <v>0.16</v>
      </c>
      <c r="AI231" s="80">
        <f>IF(Y231="No",0,IFERROR(ROUNDDOWN(INDEX('90% of ACR'!R:R,MATCH(H:H,'90% of ACR'!A:A,0))*IF(J231&gt;0,IF(P231&gt;0,$R$4*MAX(P231-W231,0),0),0)/J231,2),0))</f>
        <v>1.06</v>
      </c>
      <c r="AJ231" s="44">
        <f t="shared" si="70"/>
        <v>385.85671895032357</v>
      </c>
      <c r="AK231" s="44">
        <f t="shared" si="70"/>
        <v>105053.57136639807</v>
      </c>
      <c r="AL231" s="46">
        <f t="shared" si="71"/>
        <v>0.27</v>
      </c>
      <c r="AM231" s="46">
        <f t="shared" si="71"/>
        <v>1.1500000000000001</v>
      </c>
      <c r="AN231" s="81">
        <f>IFERROR(INDEX(FeeCalc!P:P,MATCH(C231,FeeCalc!F:F,0)),0)</f>
        <v>114624.34743149074</v>
      </c>
      <c r="AO231" s="81">
        <f>IFERROR(INDEX(FeeCalc!S:S,MATCH(C231,FeeCalc!F:F,0)),0)</f>
        <v>6992.9973234065965</v>
      </c>
      <c r="AP231" s="81">
        <f t="shared" si="72"/>
        <v>121617.34475489733</v>
      </c>
      <c r="AQ231" s="68">
        <f t="shared" si="73"/>
        <v>47862.749262979356</v>
      </c>
      <c r="AR231" s="68">
        <f>INDEX('IGT Commitment Suggestions'!H:H,MATCH(G231,'IGT Commitment Suggestions'!A:A,0))*AQ231</f>
        <v>21865.473052719219</v>
      </c>
    </row>
    <row r="232" spans="1:44">
      <c r="A232" s="103" t="s">
        <v>1419</v>
      </c>
      <c r="B232" s="123" t="s">
        <v>1419</v>
      </c>
      <c r="C232" s="30" t="s">
        <v>1420</v>
      </c>
      <c r="D232" s="124" t="s">
        <v>1420</v>
      </c>
      <c r="E232" s="119" t="s">
        <v>2653</v>
      </c>
      <c r="F232" s="99" t="s">
        <v>2283</v>
      </c>
      <c r="G232" s="99" t="s">
        <v>1365</v>
      </c>
      <c r="H232" s="42" t="str">
        <f t="shared" si="59"/>
        <v>Urban Tarrant</v>
      </c>
      <c r="I232" s="44">
        <f>INDEX(FeeCalc!M:M,MATCH(C:C,FeeCalc!F:F,0))</f>
        <v>0</v>
      </c>
      <c r="J232" s="44">
        <f>INDEX(FeeCalc!L:L,MATCH(C:C,FeeCalc!F:F,0))</f>
        <v>0</v>
      </c>
      <c r="K232" s="44">
        <f t="shared" si="60"/>
        <v>0</v>
      </c>
      <c r="L232" s="44">
        <v>43730.69</v>
      </c>
      <c r="M232" s="44">
        <v>0</v>
      </c>
      <c r="N232" s="44">
        <f t="shared" si="61"/>
        <v>43730.69</v>
      </c>
      <c r="O232" s="44">
        <v>22683.437683678225</v>
      </c>
      <c r="P232" s="44">
        <v>0</v>
      </c>
      <c r="Q232" s="44">
        <f t="shared" si="62"/>
        <v>22683.437683678225</v>
      </c>
      <c r="R232" s="44" t="str">
        <f t="shared" si="63"/>
        <v>Yes</v>
      </c>
      <c r="S232" s="45" t="str">
        <f t="shared" si="63"/>
        <v>No</v>
      </c>
      <c r="T232" s="46">
        <f>ROUND(INDEX(Summary!H:H,MATCH(H:H,Summary!A:A,0)),2)</f>
        <v>0.84</v>
      </c>
      <c r="U232" s="46">
        <f>ROUND(INDEX(Summary!I:I,MATCH(H:H,Summary!A:A,0)),2)</f>
        <v>0.55000000000000004</v>
      </c>
      <c r="V232" s="79">
        <f t="shared" si="64"/>
        <v>0</v>
      </c>
      <c r="W232" s="79">
        <f t="shared" si="64"/>
        <v>0</v>
      </c>
      <c r="X232" s="44">
        <f t="shared" si="65"/>
        <v>0</v>
      </c>
      <c r="Y232" s="44" t="s">
        <v>2765</v>
      </c>
      <c r="Z232" s="44" t="str">
        <f t="shared" si="66"/>
        <v>No</v>
      </c>
      <c r="AA232" s="44" t="str">
        <f t="shared" si="66"/>
        <v>No</v>
      </c>
      <c r="AB232" s="44" t="str">
        <f t="shared" si="67"/>
        <v>No</v>
      </c>
      <c r="AC232" s="80">
        <f t="shared" si="74"/>
        <v>0</v>
      </c>
      <c r="AD232" s="80">
        <f t="shared" si="75"/>
        <v>0</v>
      </c>
      <c r="AE232" s="44">
        <f t="shared" si="68"/>
        <v>0</v>
      </c>
      <c r="AF232" s="44">
        <f t="shared" si="68"/>
        <v>0</v>
      </c>
      <c r="AG232" s="44">
        <f t="shared" si="69"/>
        <v>0</v>
      </c>
      <c r="AH232" s="46">
        <f>IF(Y232="No",0,IFERROR(ROUNDDOWN(INDEX('90% of ACR'!K:K,MATCH(H:H,'90% of ACR'!A:A,0))*IF(I232&gt;0,IF(O232&gt;0,$R$4*MAX(O232-V232,0),0),0)/I232,2),0))</f>
        <v>0</v>
      </c>
      <c r="AI232" s="80">
        <f>IF(Y232="No",0,IFERROR(ROUNDDOWN(INDEX('90% of ACR'!R:R,MATCH(H:H,'90% of ACR'!A:A,0))*IF(J232&gt;0,IF(P232&gt;0,$R$4*MAX(P232-W232,0),0),0)/J232,2),0))</f>
        <v>0</v>
      </c>
      <c r="AJ232" s="44">
        <f t="shared" si="70"/>
        <v>0</v>
      </c>
      <c r="AK232" s="44">
        <f t="shared" si="70"/>
        <v>0</v>
      </c>
      <c r="AL232" s="46">
        <f t="shared" si="71"/>
        <v>0.84</v>
      </c>
      <c r="AM232" s="46">
        <f t="shared" si="71"/>
        <v>0.55000000000000004</v>
      </c>
      <c r="AN232" s="81">
        <f>IFERROR(INDEX(FeeCalc!P:P,MATCH(C232,FeeCalc!F:F,0)),0)</f>
        <v>0</v>
      </c>
      <c r="AO232" s="81">
        <f>IFERROR(INDEX(FeeCalc!S:S,MATCH(C232,FeeCalc!F:F,0)),0)</f>
        <v>0</v>
      </c>
      <c r="AP232" s="81">
        <f t="shared" si="72"/>
        <v>0</v>
      </c>
      <c r="AQ232" s="68">
        <f t="shared" si="73"/>
        <v>0</v>
      </c>
      <c r="AR232" s="68">
        <f>INDEX('IGT Commitment Suggestions'!H:H,MATCH(G232,'IGT Commitment Suggestions'!A:A,0))*AQ232</f>
        <v>0</v>
      </c>
    </row>
    <row r="233" spans="1:44">
      <c r="A233" s="103" t="s">
        <v>1425</v>
      </c>
      <c r="B233" s="123" t="s">
        <v>1425</v>
      </c>
      <c r="C233" s="30" t="s">
        <v>1426</v>
      </c>
      <c r="D233" s="124" t="s">
        <v>1426</v>
      </c>
      <c r="E233" s="119" t="s">
        <v>2655</v>
      </c>
      <c r="F233" s="99" t="s">
        <v>2283</v>
      </c>
      <c r="G233" s="99" t="s">
        <v>227</v>
      </c>
      <c r="H233" s="42" t="str">
        <f t="shared" si="59"/>
        <v>Urban MRSA West</v>
      </c>
      <c r="I233" s="44">
        <f>INDEX(FeeCalc!M:M,MATCH(C:C,FeeCalc!F:F,0))</f>
        <v>980436.30169988098</v>
      </c>
      <c r="J233" s="44">
        <f>INDEX(FeeCalc!L:L,MATCH(C:C,FeeCalc!F:F,0))</f>
        <v>0</v>
      </c>
      <c r="K233" s="44">
        <f t="shared" si="60"/>
        <v>980436.30169988098</v>
      </c>
      <c r="L233" s="44">
        <v>912508.33</v>
      </c>
      <c r="M233" s="44">
        <v>0</v>
      </c>
      <c r="N233" s="44">
        <f t="shared" si="61"/>
        <v>912508.33</v>
      </c>
      <c r="O233" s="44">
        <v>274587.19807757076</v>
      </c>
      <c r="P233" s="44">
        <v>0</v>
      </c>
      <c r="Q233" s="44">
        <f t="shared" si="62"/>
        <v>274587.19807757076</v>
      </c>
      <c r="R233" s="44" t="str">
        <f t="shared" si="63"/>
        <v>Yes</v>
      </c>
      <c r="S233" s="45" t="str">
        <f t="shared" si="63"/>
        <v>No</v>
      </c>
      <c r="T233" s="46">
        <f>ROUND(INDEX(Summary!H:H,MATCH(H:H,Summary!A:A,0)),2)</f>
        <v>0.33</v>
      </c>
      <c r="U233" s="46">
        <f>ROUND(INDEX(Summary!I:I,MATCH(H:H,Summary!A:A,0)),2)</f>
        <v>0.85</v>
      </c>
      <c r="V233" s="79">
        <f t="shared" si="64"/>
        <v>323543.97956096072</v>
      </c>
      <c r="W233" s="79">
        <f t="shared" si="64"/>
        <v>0</v>
      </c>
      <c r="X233" s="44">
        <f t="shared" si="65"/>
        <v>323543.97956096072</v>
      </c>
      <c r="Y233" s="44" t="s">
        <v>2765</v>
      </c>
      <c r="Z233" s="44" t="str">
        <f t="shared" si="66"/>
        <v>No</v>
      </c>
      <c r="AA233" s="44" t="str">
        <f t="shared" si="66"/>
        <v>No</v>
      </c>
      <c r="AB233" s="44" t="str">
        <f t="shared" si="67"/>
        <v>No</v>
      </c>
      <c r="AC233" s="80">
        <f t="shared" si="74"/>
        <v>0</v>
      </c>
      <c r="AD233" s="80">
        <f t="shared" si="75"/>
        <v>0</v>
      </c>
      <c r="AE233" s="44">
        <f t="shared" si="68"/>
        <v>0</v>
      </c>
      <c r="AF233" s="44">
        <f t="shared" si="68"/>
        <v>0</v>
      </c>
      <c r="AG233" s="44">
        <f t="shared" si="69"/>
        <v>0</v>
      </c>
      <c r="AH233" s="46">
        <f>IF(Y233="No",0,IFERROR(ROUNDDOWN(INDEX('90% of ACR'!K:K,MATCH(H:H,'90% of ACR'!A:A,0))*IF(I233&gt;0,IF(O233&gt;0,$R$4*MAX(O233-V233,0),0),0)/I233,2),0))</f>
        <v>0</v>
      </c>
      <c r="AI233" s="80">
        <f>IF(Y233="No",0,IFERROR(ROUNDDOWN(INDEX('90% of ACR'!R:R,MATCH(H:H,'90% of ACR'!A:A,0))*IF(J233&gt;0,IF(P233&gt;0,$R$4*MAX(P233-W233,0),0),0)/J233,2),0))</f>
        <v>0</v>
      </c>
      <c r="AJ233" s="44">
        <f t="shared" si="70"/>
        <v>0</v>
      </c>
      <c r="AK233" s="44">
        <f t="shared" si="70"/>
        <v>0</v>
      </c>
      <c r="AL233" s="46">
        <f t="shared" si="71"/>
        <v>0.33</v>
      </c>
      <c r="AM233" s="46">
        <f t="shared" si="71"/>
        <v>0.85</v>
      </c>
      <c r="AN233" s="81">
        <f>IFERROR(INDEX(FeeCalc!P:P,MATCH(C233,FeeCalc!F:F,0)),0)</f>
        <v>323543.97956096072</v>
      </c>
      <c r="AO233" s="81">
        <f>IFERROR(INDEX(FeeCalc!S:S,MATCH(C233,FeeCalc!F:F,0)),0)</f>
        <v>20364.754724778926</v>
      </c>
      <c r="AP233" s="81">
        <f t="shared" si="72"/>
        <v>343908.73428573966</v>
      </c>
      <c r="AQ233" s="68">
        <f t="shared" si="73"/>
        <v>135345.97019562143</v>
      </c>
      <c r="AR233" s="68">
        <f>INDEX('IGT Commitment Suggestions'!H:H,MATCH(G233,'IGT Commitment Suggestions'!A:A,0))*AQ233</f>
        <v>66328.140261773049</v>
      </c>
    </row>
    <row r="234" spans="1:44">
      <c r="A234" s="103" t="s">
        <v>1465</v>
      </c>
      <c r="B234" s="123" t="s">
        <v>1465</v>
      </c>
      <c r="C234" s="30" t="s">
        <v>1466</v>
      </c>
      <c r="D234" s="124" t="s">
        <v>1466</v>
      </c>
      <c r="E234" s="119" t="s">
        <v>2550</v>
      </c>
      <c r="F234" s="99" t="s">
        <v>2283</v>
      </c>
      <c r="G234" s="99" t="s">
        <v>300</v>
      </c>
      <c r="H234" s="42" t="str">
        <f t="shared" si="59"/>
        <v>Urban Harris</v>
      </c>
      <c r="I234" s="44">
        <f>INDEX(FeeCalc!M:M,MATCH(C:C,FeeCalc!F:F,0))</f>
        <v>0</v>
      </c>
      <c r="J234" s="44">
        <f>INDEX(FeeCalc!L:L,MATCH(C:C,FeeCalc!F:F,0))</f>
        <v>0</v>
      </c>
      <c r="K234" s="44">
        <f t="shared" si="60"/>
        <v>0</v>
      </c>
      <c r="L234" s="44">
        <v>26489.7</v>
      </c>
      <c r="M234" s="44">
        <v>0</v>
      </c>
      <c r="N234" s="44">
        <f t="shared" si="61"/>
        <v>26489.7</v>
      </c>
      <c r="O234" s="44">
        <v>16353.743698474324</v>
      </c>
      <c r="P234" s="44">
        <v>0</v>
      </c>
      <c r="Q234" s="44">
        <f t="shared" si="62"/>
        <v>16353.743698474324</v>
      </c>
      <c r="R234" s="44" t="str">
        <f t="shared" si="63"/>
        <v>Yes</v>
      </c>
      <c r="S234" s="45" t="str">
        <f t="shared" si="63"/>
        <v>No</v>
      </c>
      <c r="T234" s="46">
        <f>ROUND(INDEX(Summary!H:H,MATCH(H:H,Summary!A:A,0)),2)</f>
        <v>1.74</v>
      </c>
      <c r="U234" s="46">
        <f>ROUND(INDEX(Summary!I:I,MATCH(H:H,Summary!A:A,0)),2)</f>
        <v>0.33</v>
      </c>
      <c r="V234" s="79">
        <f t="shared" si="64"/>
        <v>0</v>
      </c>
      <c r="W234" s="79">
        <f t="shared" si="64"/>
        <v>0</v>
      </c>
      <c r="X234" s="44">
        <f t="shared" si="65"/>
        <v>0</v>
      </c>
      <c r="Y234" s="44" t="s">
        <v>2765</v>
      </c>
      <c r="Z234" s="44" t="str">
        <f t="shared" si="66"/>
        <v>No</v>
      </c>
      <c r="AA234" s="44" t="str">
        <f t="shared" si="66"/>
        <v>No</v>
      </c>
      <c r="AB234" s="44" t="str">
        <f t="shared" si="67"/>
        <v>No</v>
      </c>
      <c r="AC234" s="80">
        <f t="shared" si="74"/>
        <v>0</v>
      </c>
      <c r="AD234" s="80">
        <f t="shared" si="75"/>
        <v>0</v>
      </c>
      <c r="AE234" s="44">
        <f t="shared" si="68"/>
        <v>0</v>
      </c>
      <c r="AF234" s="44">
        <f t="shared" si="68"/>
        <v>0</v>
      </c>
      <c r="AG234" s="44">
        <f t="shared" si="69"/>
        <v>0</v>
      </c>
      <c r="AH234" s="46">
        <f>IF(Y234="No",0,IFERROR(ROUNDDOWN(INDEX('90% of ACR'!K:K,MATCH(H:H,'90% of ACR'!A:A,0))*IF(I234&gt;0,IF(O234&gt;0,$R$4*MAX(O234-V234,0),0),0)/I234,2),0))</f>
        <v>0</v>
      </c>
      <c r="AI234" s="80">
        <f>IF(Y234="No",0,IFERROR(ROUNDDOWN(INDEX('90% of ACR'!R:R,MATCH(H:H,'90% of ACR'!A:A,0))*IF(J234&gt;0,IF(P234&gt;0,$R$4*MAX(P234-W234,0),0),0)/J234,2),0))</f>
        <v>0</v>
      </c>
      <c r="AJ234" s="44">
        <f t="shared" si="70"/>
        <v>0</v>
      </c>
      <c r="AK234" s="44">
        <f t="shared" si="70"/>
        <v>0</v>
      </c>
      <c r="AL234" s="46">
        <f t="shared" si="71"/>
        <v>1.74</v>
      </c>
      <c r="AM234" s="46">
        <f t="shared" si="71"/>
        <v>0.33</v>
      </c>
      <c r="AN234" s="81">
        <f>IFERROR(INDEX(FeeCalc!P:P,MATCH(C234,FeeCalc!F:F,0)),0)</f>
        <v>0</v>
      </c>
      <c r="AO234" s="81">
        <f>IFERROR(INDEX(FeeCalc!S:S,MATCH(C234,FeeCalc!F:F,0)),0)</f>
        <v>0</v>
      </c>
      <c r="AP234" s="81">
        <f t="shared" si="72"/>
        <v>0</v>
      </c>
      <c r="AQ234" s="68">
        <f t="shared" si="73"/>
        <v>0</v>
      </c>
      <c r="AR234" s="68">
        <f>INDEX('IGT Commitment Suggestions'!H:H,MATCH(G234,'IGT Commitment Suggestions'!A:A,0))*AQ234</f>
        <v>0</v>
      </c>
    </row>
    <row r="235" spans="1:44">
      <c r="A235" s="103" t="s">
        <v>1413</v>
      </c>
      <c r="B235" s="123" t="s">
        <v>1413</v>
      </c>
      <c r="C235" s="30" t="s">
        <v>1414</v>
      </c>
      <c r="D235" s="124" t="s">
        <v>1414</v>
      </c>
      <c r="E235" s="119" t="s">
        <v>2659</v>
      </c>
      <c r="F235" s="99" t="s">
        <v>2283</v>
      </c>
      <c r="G235" s="99" t="s">
        <v>223</v>
      </c>
      <c r="H235" s="42" t="str">
        <f t="shared" si="59"/>
        <v>Urban Dallas</v>
      </c>
      <c r="I235" s="44">
        <f>INDEX(FeeCalc!M:M,MATCH(C:C,FeeCalc!F:F,0))</f>
        <v>271925.31827725534</v>
      </c>
      <c r="J235" s="44">
        <f>INDEX(FeeCalc!L:L,MATCH(C:C,FeeCalc!F:F,0))</f>
        <v>0</v>
      </c>
      <c r="K235" s="44">
        <f t="shared" si="60"/>
        <v>271925.31827725534</v>
      </c>
      <c r="L235" s="44">
        <v>225226.7</v>
      </c>
      <c r="M235" s="44">
        <v>0</v>
      </c>
      <c r="N235" s="44">
        <f t="shared" si="61"/>
        <v>225226.7</v>
      </c>
      <c r="O235" s="44">
        <v>61733.134597984026</v>
      </c>
      <c r="P235" s="44">
        <v>0</v>
      </c>
      <c r="Q235" s="44">
        <f t="shared" si="62"/>
        <v>61733.134597984026</v>
      </c>
      <c r="R235" s="44" t="str">
        <f t="shared" si="63"/>
        <v>Yes</v>
      </c>
      <c r="S235" s="45" t="str">
        <f t="shared" si="63"/>
        <v>No</v>
      </c>
      <c r="T235" s="46">
        <f>ROUND(INDEX(Summary!H:H,MATCH(H:H,Summary!A:A,0)),2)</f>
        <v>0.6</v>
      </c>
      <c r="U235" s="46">
        <f>ROUND(INDEX(Summary!I:I,MATCH(H:H,Summary!A:A,0)),2)</f>
        <v>0.3</v>
      </c>
      <c r="V235" s="79">
        <f t="shared" si="64"/>
        <v>163155.1909663532</v>
      </c>
      <c r="W235" s="79">
        <f t="shared" si="64"/>
        <v>0</v>
      </c>
      <c r="X235" s="44">
        <f t="shared" si="65"/>
        <v>163155.1909663532</v>
      </c>
      <c r="Y235" s="44" t="s">
        <v>2765</v>
      </c>
      <c r="Z235" s="44" t="str">
        <f t="shared" si="66"/>
        <v>No</v>
      </c>
      <c r="AA235" s="44" t="str">
        <f t="shared" si="66"/>
        <v>No</v>
      </c>
      <c r="AB235" s="44" t="str">
        <f t="shared" si="67"/>
        <v>No</v>
      </c>
      <c r="AC235" s="80">
        <f t="shared" si="74"/>
        <v>0</v>
      </c>
      <c r="AD235" s="80">
        <f t="shared" si="75"/>
        <v>0</v>
      </c>
      <c r="AE235" s="44">
        <f t="shared" si="68"/>
        <v>0</v>
      </c>
      <c r="AF235" s="44">
        <f t="shared" si="68"/>
        <v>0</v>
      </c>
      <c r="AG235" s="44">
        <f t="shared" si="69"/>
        <v>0</v>
      </c>
      <c r="AH235" s="46">
        <f>IF(Y235="No",0,IFERROR(ROUNDDOWN(INDEX('90% of ACR'!K:K,MATCH(H:H,'90% of ACR'!A:A,0))*IF(I235&gt;0,IF(O235&gt;0,$R$4*MAX(O235-V235,0),0),0)/I235,2),0))</f>
        <v>0</v>
      </c>
      <c r="AI235" s="80">
        <f>IF(Y235="No",0,IFERROR(ROUNDDOWN(INDEX('90% of ACR'!R:R,MATCH(H:H,'90% of ACR'!A:A,0))*IF(J235&gt;0,IF(P235&gt;0,$R$4*MAX(P235-W235,0),0),0)/J235,2),0))</f>
        <v>0</v>
      </c>
      <c r="AJ235" s="44">
        <f t="shared" si="70"/>
        <v>0</v>
      </c>
      <c r="AK235" s="44">
        <f t="shared" si="70"/>
        <v>0</v>
      </c>
      <c r="AL235" s="46">
        <f t="shared" si="71"/>
        <v>0.6</v>
      </c>
      <c r="AM235" s="46">
        <f t="shared" si="71"/>
        <v>0.3</v>
      </c>
      <c r="AN235" s="81">
        <f>IFERROR(INDEX(FeeCalc!P:P,MATCH(C235,FeeCalc!F:F,0)),0)</f>
        <v>163155.1909663532</v>
      </c>
      <c r="AO235" s="81">
        <f>IFERROR(INDEX(FeeCalc!S:S,MATCH(C235,FeeCalc!F:F,0)),0)</f>
        <v>10414.161125511908</v>
      </c>
      <c r="AP235" s="81">
        <f t="shared" si="72"/>
        <v>173569.35209186512</v>
      </c>
      <c r="AQ235" s="68">
        <f t="shared" si="73"/>
        <v>68308.565654457707</v>
      </c>
      <c r="AR235" s="68">
        <f>INDEX('IGT Commitment Suggestions'!H:H,MATCH(G235,'IGT Commitment Suggestions'!A:A,0))*AQ235</f>
        <v>31239.811296768548</v>
      </c>
    </row>
    <row r="236" spans="1:44">
      <c r="A236" s="103" t="s">
        <v>1075</v>
      </c>
      <c r="B236" s="123" t="s">
        <v>1075</v>
      </c>
      <c r="C236" s="30" t="s">
        <v>1076</v>
      </c>
      <c r="D236" s="124" t="s">
        <v>1076</v>
      </c>
      <c r="E236" s="119" t="s">
        <v>2654</v>
      </c>
      <c r="F236" s="99" t="s">
        <v>2295</v>
      </c>
      <c r="G236" s="99" t="s">
        <v>1526</v>
      </c>
      <c r="H236" s="42" t="str">
        <f t="shared" si="59"/>
        <v>Rural Lubbock</v>
      </c>
      <c r="I236" s="44">
        <f>INDEX(FeeCalc!M:M,MATCH(C:C,FeeCalc!F:F,0))</f>
        <v>27609.133295868167</v>
      </c>
      <c r="J236" s="44">
        <f>INDEX(FeeCalc!L:L,MATCH(C:C,FeeCalc!F:F,0))</f>
        <v>352627.19470232679</v>
      </c>
      <c r="K236" s="44">
        <f t="shared" si="60"/>
        <v>380236.32799819496</v>
      </c>
      <c r="L236" s="44">
        <v>25613</v>
      </c>
      <c r="M236" s="44">
        <v>-37447.42</v>
      </c>
      <c r="N236" s="44">
        <f t="shared" si="61"/>
        <v>-11834.419999999998</v>
      </c>
      <c r="O236" s="44">
        <v>14238.448419595814</v>
      </c>
      <c r="P236" s="44">
        <v>58288.791156800988</v>
      </c>
      <c r="Q236" s="44">
        <f t="shared" si="62"/>
        <v>72527.239576396794</v>
      </c>
      <c r="R236" s="44" t="str">
        <f t="shared" si="63"/>
        <v>Yes</v>
      </c>
      <c r="S236" s="45" t="str">
        <f t="shared" si="63"/>
        <v>Yes</v>
      </c>
      <c r="T236" s="46">
        <f>ROUND(INDEX(Summary!H:H,MATCH(H:H,Summary!A:A,0)),2)</f>
        <v>0.62</v>
      </c>
      <c r="U236" s="46">
        <f>ROUND(INDEX(Summary!I:I,MATCH(H:H,Summary!A:A,0)),2)</f>
        <v>0.2</v>
      </c>
      <c r="V236" s="79">
        <f t="shared" si="64"/>
        <v>17117.662643438263</v>
      </c>
      <c r="W236" s="79">
        <f t="shared" si="64"/>
        <v>70525.438940465363</v>
      </c>
      <c r="X236" s="44">
        <f t="shared" si="65"/>
        <v>87643.101583903626</v>
      </c>
      <c r="Y236" s="44" t="s">
        <v>2765</v>
      </c>
      <c r="Z236" s="44" t="str">
        <f t="shared" si="66"/>
        <v>No</v>
      </c>
      <c r="AA236" s="44" t="str">
        <f t="shared" si="66"/>
        <v>No</v>
      </c>
      <c r="AB236" s="44" t="str">
        <f t="shared" si="67"/>
        <v>No</v>
      </c>
      <c r="AC236" s="80">
        <f t="shared" si="74"/>
        <v>0</v>
      </c>
      <c r="AD236" s="80">
        <f t="shared" si="75"/>
        <v>0</v>
      </c>
      <c r="AE236" s="44">
        <f t="shared" si="68"/>
        <v>0</v>
      </c>
      <c r="AF236" s="44">
        <f t="shared" si="68"/>
        <v>0</v>
      </c>
      <c r="AG236" s="44">
        <f t="shared" si="69"/>
        <v>0</v>
      </c>
      <c r="AH236" s="46">
        <f>IF(Y236="No",0,IFERROR(ROUNDDOWN(INDEX('90% of ACR'!K:K,MATCH(H:H,'90% of ACR'!A:A,0))*IF(I236&gt;0,IF(O236&gt;0,$R$4*MAX(O236-V236,0),0),0)/I236,2),0))</f>
        <v>0</v>
      </c>
      <c r="AI236" s="80">
        <f>IF(Y236="No",0,IFERROR(ROUNDDOWN(INDEX('90% of ACR'!R:R,MATCH(H:H,'90% of ACR'!A:A,0))*IF(J236&gt;0,IF(P236&gt;0,$R$4*MAX(P236-W236,0),0),0)/J236,2),0))</f>
        <v>0</v>
      </c>
      <c r="AJ236" s="44">
        <f t="shared" si="70"/>
        <v>0</v>
      </c>
      <c r="AK236" s="44">
        <f t="shared" si="70"/>
        <v>0</v>
      </c>
      <c r="AL236" s="46">
        <f t="shared" si="71"/>
        <v>0.62</v>
      </c>
      <c r="AM236" s="46">
        <f t="shared" si="71"/>
        <v>0.2</v>
      </c>
      <c r="AN236" s="81">
        <f>IFERROR(INDEX(FeeCalc!P:P,MATCH(C236,FeeCalc!F:F,0)),0)</f>
        <v>87643.101583903626</v>
      </c>
      <c r="AO236" s="81">
        <f>IFERROR(INDEX(FeeCalc!S:S,MATCH(C236,FeeCalc!F:F,0)),0)</f>
        <v>5387.7418216029746</v>
      </c>
      <c r="AP236" s="81">
        <f t="shared" si="72"/>
        <v>93030.843405506603</v>
      </c>
      <c r="AQ236" s="68">
        <f t="shared" si="73"/>
        <v>36612.474483923936</v>
      </c>
      <c r="AR236" s="68">
        <f>INDEX('IGT Commitment Suggestions'!H:H,MATCH(G236,'IGT Commitment Suggestions'!A:A,0))*AQ236</f>
        <v>16766.925371804358</v>
      </c>
    </row>
    <row r="237" spans="1:44">
      <c r="A237" s="103" t="s">
        <v>1444</v>
      </c>
      <c r="B237" s="123" t="s">
        <v>1444</v>
      </c>
      <c r="C237" s="30" t="s">
        <v>1445</v>
      </c>
      <c r="D237" s="124" t="s">
        <v>1445</v>
      </c>
      <c r="E237" s="119" t="s">
        <v>2661</v>
      </c>
      <c r="F237" s="99" t="s">
        <v>2283</v>
      </c>
      <c r="G237" s="99" t="s">
        <v>223</v>
      </c>
      <c r="H237" s="42" t="str">
        <f t="shared" si="59"/>
        <v>Urban Dallas</v>
      </c>
      <c r="I237" s="44">
        <f>INDEX(FeeCalc!M:M,MATCH(C:C,FeeCalc!F:F,0))</f>
        <v>58086.987127870154</v>
      </c>
      <c r="J237" s="44">
        <f>INDEX(FeeCalc!L:L,MATCH(C:C,FeeCalc!F:F,0))</f>
        <v>0</v>
      </c>
      <c r="K237" s="44">
        <f t="shared" si="60"/>
        <v>58086.987127870154</v>
      </c>
      <c r="L237" s="44">
        <v>84907.7</v>
      </c>
      <c r="M237" s="44">
        <v>0</v>
      </c>
      <c r="N237" s="44">
        <f t="shared" si="61"/>
        <v>84907.7</v>
      </c>
      <c r="O237" s="44">
        <v>33921.0316497311</v>
      </c>
      <c r="P237" s="44">
        <v>0</v>
      </c>
      <c r="Q237" s="44">
        <f t="shared" si="62"/>
        <v>33921.0316497311</v>
      </c>
      <c r="R237" s="44" t="str">
        <f t="shared" si="63"/>
        <v>Yes</v>
      </c>
      <c r="S237" s="45" t="str">
        <f t="shared" si="63"/>
        <v>No</v>
      </c>
      <c r="T237" s="46">
        <f>ROUND(INDEX(Summary!H:H,MATCH(H:H,Summary!A:A,0)),2)</f>
        <v>0.6</v>
      </c>
      <c r="U237" s="46">
        <f>ROUND(INDEX(Summary!I:I,MATCH(H:H,Summary!A:A,0)),2)</f>
        <v>0.3</v>
      </c>
      <c r="V237" s="79">
        <f t="shared" si="64"/>
        <v>34852.192276722089</v>
      </c>
      <c r="W237" s="79">
        <f t="shared" si="64"/>
        <v>0</v>
      </c>
      <c r="X237" s="44">
        <f t="shared" si="65"/>
        <v>34852.192276722089</v>
      </c>
      <c r="Y237" s="44" t="s">
        <v>2765</v>
      </c>
      <c r="Z237" s="44" t="str">
        <f t="shared" si="66"/>
        <v>No</v>
      </c>
      <c r="AA237" s="44" t="str">
        <f t="shared" si="66"/>
        <v>No</v>
      </c>
      <c r="AB237" s="44" t="str">
        <f t="shared" si="67"/>
        <v>No</v>
      </c>
      <c r="AC237" s="80">
        <f t="shared" si="74"/>
        <v>0</v>
      </c>
      <c r="AD237" s="80">
        <f t="shared" si="75"/>
        <v>0</v>
      </c>
      <c r="AE237" s="44">
        <f t="shared" si="68"/>
        <v>0</v>
      </c>
      <c r="AF237" s="44">
        <f t="shared" si="68"/>
        <v>0</v>
      </c>
      <c r="AG237" s="44">
        <f t="shared" si="69"/>
        <v>0</v>
      </c>
      <c r="AH237" s="46">
        <f>IF(Y237="No",0,IFERROR(ROUNDDOWN(INDEX('90% of ACR'!K:K,MATCH(H:H,'90% of ACR'!A:A,0))*IF(I237&gt;0,IF(O237&gt;0,$R$4*MAX(O237-V237,0),0),0)/I237,2),0))</f>
        <v>0</v>
      </c>
      <c r="AI237" s="80">
        <f>IF(Y237="No",0,IFERROR(ROUNDDOWN(INDEX('90% of ACR'!R:R,MATCH(H:H,'90% of ACR'!A:A,0))*IF(J237&gt;0,IF(P237&gt;0,$R$4*MAX(P237-W237,0),0),0)/J237,2),0))</f>
        <v>0</v>
      </c>
      <c r="AJ237" s="44">
        <f t="shared" si="70"/>
        <v>0</v>
      </c>
      <c r="AK237" s="44">
        <f t="shared" si="70"/>
        <v>0</v>
      </c>
      <c r="AL237" s="46">
        <f t="shared" si="71"/>
        <v>0.6</v>
      </c>
      <c r="AM237" s="46">
        <f t="shared" si="71"/>
        <v>0.3</v>
      </c>
      <c r="AN237" s="81">
        <f>IFERROR(INDEX(FeeCalc!P:P,MATCH(C237,FeeCalc!F:F,0)),0)</f>
        <v>34852.192276722089</v>
      </c>
      <c r="AO237" s="81">
        <f>IFERROR(INDEX(FeeCalc!S:S,MATCH(C237,FeeCalc!F:F,0)),0)</f>
        <v>2224.6080176631126</v>
      </c>
      <c r="AP237" s="81">
        <f t="shared" si="72"/>
        <v>37076.800294385204</v>
      </c>
      <c r="AQ237" s="68">
        <f t="shared" si="73"/>
        <v>14591.648909455887</v>
      </c>
      <c r="AR237" s="68">
        <f>INDEX('IGT Commitment Suggestions'!H:H,MATCH(G237,'IGT Commitment Suggestions'!A:A,0))*AQ237</f>
        <v>6673.2532600082941</v>
      </c>
    </row>
    <row r="238" spans="1:44">
      <c r="A238" s="103" t="s">
        <v>10</v>
      </c>
      <c r="B238" s="123" t="s">
        <v>10</v>
      </c>
      <c r="C238" s="30" t="s">
        <v>11</v>
      </c>
      <c r="D238" s="124" t="s">
        <v>11</v>
      </c>
      <c r="E238" s="119" t="s">
        <v>2884</v>
      </c>
      <c r="F238" s="99" t="s">
        <v>2295</v>
      </c>
      <c r="G238" s="99" t="s">
        <v>227</v>
      </c>
      <c r="H238" s="42" t="str">
        <f t="shared" si="59"/>
        <v>Rural MRSA West</v>
      </c>
      <c r="I238" s="44">
        <f>INDEX(FeeCalc!M:M,MATCH(C:C,FeeCalc!F:F,0))</f>
        <v>33149.146502455827</v>
      </c>
      <c r="J238" s="44">
        <f>INDEX(FeeCalc!L:L,MATCH(C:C,FeeCalc!F:F,0))</f>
        <v>131180.6530035426</v>
      </c>
      <c r="K238" s="44">
        <f t="shared" si="60"/>
        <v>164329.79950599844</v>
      </c>
      <c r="L238" s="44">
        <v>56353.5</v>
      </c>
      <c r="M238" s="44">
        <v>106488.79</v>
      </c>
      <c r="N238" s="44">
        <f t="shared" si="61"/>
        <v>162842.28999999998</v>
      </c>
      <c r="O238" s="44">
        <v>-12912.960972972971</v>
      </c>
      <c r="P238" s="44">
        <v>3509.153726511322</v>
      </c>
      <c r="Q238" s="44">
        <f t="shared" si="62"/>
        <v>-9403.8072464616489</v>
      </c>
      <c r="R238" s="44" t="str">
        <f t="shared" si="63"/>
        <v>No</v>
      </c>
      <c r="S238" s="45" t="str">
        <f t="shared" si="63"/>
        <v>Yes</v>
      </c>
      <c r="T238" s="46">
        <f>ROUND(INDEX(Summary!H:H,MATCH(H:H,Summary!A:A,0)),2)</f>
        <v>0</v>
      </c>
      <c r="U238" s="46">
        <f>ROUND(INDEX(Summary!I:I,MATCH(H:H,Summary!A:A,0)),2)</f>
        <v>0.18</v>
      </c>
      <c r="V238" s="79">
        <f t="shared" si="64"/>
        <v>0</v>
      </c>
      <c r="W238" s="79">
        <f t="shared" si="64"/>
        <v>23612.517540637666</v>
      </c>
      <c r="X238" s="44">
        <f t="shared" si="65"/>
        <v>23612.517540637666</v>
      </c>
      <c r="Y238" s="44" t="s">
        <v>2765</v>
      </c>
      <c r="Z238" s="44" t="str">
        <f t="shared" si="66"/>
        <v>No</v>
      </c>
      <c r="AA238" s="44" t="str">
        <f t="shared" si="66"/>
        <v>No</v>
      </c>
      <c r="AB238" s="44" t="str">
        <f t="shared" si="67"/>
        <v>No</v>
      </c>
      <c r="AC238" s="80">
        <f t="shared" si="74"/>
        <v>0</v>
      </c>
      <c r="AD238" s="80">
        <f t="shared" si="75"/>
        <v>0</v>
      </c>
      <c r="AE238" s="44">
        <f t="shared" si="68"/>
        <v>0</v>
      </c>
      <c r="AF238" s="44">
        <f t="shared" si="68"/>
        <v>0</v>
      </c>
      <c r="AG238" s="44">
        <f t="shared" si="69"/>
        <v>0</v>
      </c>
      <c r="AH238" s="46">
        <f>IF(Y238="No",0,IFERROR(ROUNDDOWN(INDEX('90% of ACR'!K:K,MATCH(H:H,'90% of ACR'!A:A,0))*IF(I238&gt;0,IF(O238&gt;0,$R$4*MAX(O238-V238,0),0),0)/I238,2),0))</f>
        <v>0</v>
      </c>
      <c r="AI238" s="80">
        <f>IF(Y238="No",0,IFERROR(ROUNDDOWN(INDEX('90% of ACR'!R:R,MATCH(H:H,'90% of ACR'!A:A,0))*IF(J238&gt;0,IF(P238&gt;0,$R$4*MAX(P238-W238,0),0),0)/J238,2),0))</f>
        <v>0</v>
      </c>
      <c r="AJ238" s="44">
        <f t="shared" si="70"/>
        <v>0</v>
      </c>
      <c r="AK238" s="44">
        <f t="shared" si="70"/>
        <v>0</v>
      </c>
      <c r="AL238" s="46">
        <f t="shared" si="71"/>
        <v>0</v>
      </c>
      <c r="AM238" s="46">
        <f t="shared" si="71"/>
        <v>0.18</v>
      </c>
      <c r="AN238" s="81">
        <f>IFERROR(INDEX(FeeCalc!P:P,MATCH(C238,FeeCalc!F:F,0)),0)</f>
        <v>23612.517540637666</v>
      </c>
      <c r="AO238" s="81">
        <f>IFERROR(INDEX(FeeCalc!S:S,MATCH(C238,FeeCalc!F:F,0)),0)</f>
        <v>1464.752685748844</v>
      </c>
      <c r="AP238" s="81">
        <f t="shared" si="72"/>
        <v>25077.27022638651</v>
      </c>
      <c r="AQ238" s="68">
        <f t="shared" si="73"/>
        <v>9869.2098521348653</v>
      </c>
      <c r="AR238" s="68">
        <f>INDEX('IGT Commitment Suggestions'!H:H,MATCH(G238,'IGT Commitment Suggestions'!A:A,0))*AQ238</f>
        <v>4836.5410096742653</v>
      </c>
    </row>
    <row r="239" spans="1:44">
      <c r="A239" s="103" t="s">
        <v>1447</v>
      </c>
      <c r="B239" s="123" t="s">
        <v>1447</v>
      </c>
      <c r="C239" s="30" t="s">
        <v>1448</v>
      </c>
      <c r="D239" s="124" t="s">
        <v>1448</v>
      </c>
      <c r="E239" s="119" t="s">
        <v>2662</v>
      </c>
      <c r="F239" s="99" t="s">
        <v>2283</v>
      </c>
      <c r="G239" s="99" t="s">
        <v>1202</v>
      </c>
      <c r="H239" s="42" t="str">
        <f t="shared" si="59"/>
        <v>Urban Travis</v>
      </c>
      <c r="I239" s="44">
        <f>INDEX(FeeCalc!M:M,MATCH(C:C,FeeCalc!F:F,0))</f>
        <v>370262.65351571329</v>
      </c>
      <c r="J239" s="44">
        <f>INDEX(FeeCalc!L:L,MATCH(C:C,FeeCalc!F:F,0))</f>
        <v>0</v>
      </c>
      <c r="K239" s="44">
        <f t="shared" si="60"/>
        <v>370262.65351571329</v>
      </c>
      <c r="L239" s="44">
        <v>459747.78</v>
      </c>
      <c r="M239" s="44">
        <v>0</v>
      </c>
      <c r="N239" s="44">
        <f t="shared" si="61"/>
        <v>459747.78</v>
      </c>
      <c r="O239" s="44">
        <v>163835.2737334448</v>
      </c>
      <c r="P239" s="44">
        <v>0</v>
      </c>
      <c r="Q239" s="44">
        <f t="shared" si="62"/>
        <v>163835.2737334448</v>
      </c>
      <c r="R239" s="44" t="str">
        <f t="shared" si="63"/>
        <v>Yes</v>
      </c>
      <c r="S239" s="45" t="str">
        <f t="shared" si="63"/>
        <v>No</v>
      </c>
      <c r="T239" s="46">
        <f>ROUND(INDEX(Summary!H:H,MATCH(H:H,Summary!A:A,0)),2)</f>
        <v>0.4</v>
      </c>
      <c r="U239" s="46">
        <f>ROUND(INDEX(Summary!I:I,MATCH(H:H,Summary!A:A,0)),2)</f>
        <v>1.03</v>
      </c>
      <c r="V239" s="79">
        <f t="shared" si="64"/>
        <v>148105.06140628533</v>
      </c>
      <c r="W239" s="79">
        <f t="shared" si="64"/>
        <v>0</v>
      </c>
      <c r="X239" s="44">
        <f t="shared" si="65"/>
        <v>148105.06140628533</v>
      </c>
      <c r="Y239" s="44" t="s">
        <v>2765</v>
      </c>
      <c r="Z239" s="44" t="str">
        <f t="shared" si="66"/>
        <v>Yes</v>
      </c>
      <c r="AA239" s="44" t="str">
        <f t="shared" si="66"/>
        <v>No</v>
      </c>
      <c r="AB239" s="44" t="str">
        <f t="shared" si="67"/>
        <v>Yes</v>
      </c>
      <c r="AC239" s="80">
        <f t="shared" si="74"/>
        <v>0.03</v>
      </c>
      <c r="AD239" s="80">
        <f t="shared" si="75"/>
        <v>0</v>
      </c>
      <c r="AE239" s="44">
        <f t="shared" si="68"/>
        <v>11107.879605471398</v>
      </c>
      <c r="AF239" s="44">
        <f t="shared" si="68"/>
        <v>0</v>
      </c>
      <c r="AG239" s="44">
        <f t="shared" si="69"/>
        <v>11107.879605471398</v>
      </c>
      <c r="AH239" s="46">
        <f>IF(Y239="No",0,IFERROR(ROUNDDOWN(INDEX('90% of ACR'!K:K,MATCH(H:H,'90% of ACR'!A:A,0))*IF(I239&gt;0,IF(O239&gt;0,$R$4*MAX(O239-V239,0),0),0)/I239,2),0))</f>
        <v>0.02</v>
      </c>
      <c r="AI239" s="80">
        <f>IF(Y239="No",0,IFERROR(ROUNDDOWN(INDEX('90% of ACR'!R:R,MATCH(H:H,'90% of ACR'!A:A,0))*IF(J239&gt;0,IF(P239&gt;0,$R$4*MAX(P239-W239,0),0),0)/J239,2),0))</f>
        <v>0</v>
      </c>
      <c r="AJ239" s="44">
        <f t="shared" si="70"/>
        <v>7405.2530703142656</v>
      </c>
      <c r="AK239" s="44">
        <f t="shared" si="70"/>
        <v>0</v>
      </c>
      <c r="AL239" s="46">
        <f t="shared" si="71"/>
        <v>0.42000000000000004</v>
      </c>
      <c r="AM239" s="46">
        <f t="shared" si="71"/>
        <v>1.03</v>
      </c>
      <c r="AN239" s="81">
        <f>IFERROR(INDEX(FeeCalc!P:P,MATCH(C239,FeeCalc!F:F,0)),0)</f>
        <v>155510.3144765996</v>
      </c>
      <c r="AO239" s="81">
        <f>IFERROR(INDEX(FeeCalc!S:S,MATCH(C239,FeeCalc!F:F,0)),0)</f>
        <v>9689.0382154860999</v>
      </c>
      <c r="AP239" s="81">
        <f t="shared" si="72"/>
        <v>165199.3526920857</v>
      </c>
      <c r="AQ239" s="68">
        <f t="shared" si="73"/>
        <v>65014.535650675709</v>
      </c>
      <c r="AR239" s="68">
        <f>INDEX('IGT Commitment Suggestions'!H:H,MATCH(G239,'IGT Commitment Suggestions'!A:A,0))*AQ239</f>
        <v>29872.496029404665</v>
      </c>
    </row>
    <row r="240" spans="1:44">
      <c r="A240" s="103" t="s">
        <v>2971</v>
      </c>
      <c r="B240" s="123" t="s">
        <v>2971</v>
      </c>
      <c r="C240" s="30" t="s">
        <v>2966</v>
      </c>
      <c r="D240" s="124" t="s">
        <v>2966</v>
      </c>
      <c r="E240" s="119" t="s">
        <v>2885</v>
      </c>
      <c r="F240" s="99" t="s">
        <v>2283</v>
      </c>
      <c r="G240" s="99" t="s">
        <v>227</v>
      </c>
      <c r="H240" s="42" t="str">
        <f t="shared" si="59"/>
        <v>Urban MRSA West</v>
      </c>
      <c r="I240" s="44">
        <f>INDEX(FeeCalc!M:M,MATCH(C:C,FeeCalc!F:F,0))</f>
        <v>0</v>
      </c>
      <c r="J240" s="44">
        <f>INDEX(FeeCalc!L:L,MATCH(C:C,FeeCalc!F:F,0))</f>
        <v>0</v>
      </c>
      <c r="K240" s="44">
        <f t="shared" si="60"/>
        <v>0</v>
      </c>
      <c r="L240" s="44">
        <v>0</v>
      </c>
      <c r="M240" s="44">
        <v>0</v>
      </c>
      <c r="N240" s="44">
        <f t="shared" si="61"/>
        <v>0</v>
      </c>
      <c r="O240" s="44">
        <v>0</v>
      </c>
      <c r="P240" s="44">
        <v>0</v>
      </c>
      <c r="Q240" s="44">
        <f t="shared" si="62"/>
        <v>0</v>
      </c>
      <c r="R240" s="44" t="str">
        <f t="shared" si="63"/>
        <v>No</v>
      </c>
      <c r="S240" s="45" t="str">
        <f t="shared" si="63"/>
        <v>No</v>
      </c>
      <c r="T240" s="46">
        <f>ROUND(INDEX(Summary!H:H,MATCH(H:H,Summary!A:A,0)),2)</f>
        <v>0.33</v>
      </c>
      <c r="U240" s="46">
        <f>ROUND(INDEX(Summary!I:I,MATCH(H:H,Summary!A:A,0)),2)</f>
        <v>0.85</v>
      </c>
      <c r="V240" s="79">
        <f t="shared" si="64"/>
        <v>0</v>
      </c>
      <c r="W240" s="79">
        <f t="shared" si="64"/>
        <v>0</v>
      </c>
      <c r="X240" s="44">
        <f t="shared" si="65"/>
        <v>0</v>
      </c>
      <c r="Y240" s="44" t="s">
        <v>2765</v>
      </c>
      <c r="Z240" s="44" t="str">
        <f t="shared" si="66"/>
        <v>No</v>
      </c>
      <c r="AA240" s="44" t="str">
        <f t="shared" si="66"/>
        <v>No</v>
      </c>
      <c r="AB240" s="44" t="str">
        <f t="shared" si="67"/>
        <v>No</v>
      </c>
      <c r="AC240" s="80">
        <f t="shared" si="74"/>
        <v>0</v>
      </c>
      <c r="AD240" s="80">
        <f t="shared" si="75"/>
        <v>0</v>
      </c>
      <c r="AE240" s="44">
        <f t="shared" si="68"/>
        <v>0</v>
      </c>
      <c r="AF240" s="44">
        <f t="shared" si="68"/>
        <v>0</v>
      </c>
      <c r="AG240" s="44">
        <f t="shared" si="69"/>
        <v>0</v>
      </c>
      <c r="AH240" s="46">
        <f>IF(Y240="No",0,IFERROR(ROUNDDOWN(INDEX('90% of ACR'!K:K,MATCH(H:H,'90% of ACR'!A:A,0))*IF(I240&gt;0,IF(O240&gt;0,$R$4*MAX(O240-V240,0),0),0)/I240,2),0))</f>
        <v>0</v>
      </c>
      <c r="AI240" s="80">
        <f>IF(Y240="No",0,IFERROR(ROUNDDOWN(INDEX('90% of ACR'!R:R,MATCH(H:H,'90% of ACR'!A:A,0))*IF(J240&gt;0,IF(P240&gt;0,$R$4*MAX(P240-W240,0),0),0)/J240,2),0))</f>
        <v>0</v>
      </c>
      <c r="AJ240" s="44">
        <f t="shared" si="70"/>
        <v>0</v>
      </c>
      <c r="AK240" s="44">
        <f t="shared" si="70"/>
        <v>0</v>
      </c>
      <c r="AL240" s="46">
        <f t="shared" si="71"/>
        <v>0.33</v>
      </c>
      <c r="AM240" s="46">
        <f t="shared" si="71"/>
        <v>0.85</v>
      </c>
      <c r="AN240" s="81">
        <f>IFERROR(INDEX(FeeCalc!P:P,MATCH(C240,FeeCalc!F:F,0)),0)</f>
        <v>0</v>
      </c>
      <c r="AO240" s="81">
        <f>IFERROR(INDEX(FeeCalc!S:S,MATCH(C240,FeeCalc!F:F,0)),0)</f>
        <v>0</v>
      </c>
      <c r="AP240" s="81">
        <f t="shared" si="72"/>
        <v>0</v>
      </c>
      <c r="AQ240" s="68">
        <f t="shared" si="73"/>
        <v>0</v>
      </c>
      <c r="AR240" s="68">
        <f>INDEX('IGT Commitment Suggestions'!H:H,MATCH(G240,'IGT Commitment Suggestions'!A:A,0))*AQ240</f>
        <v>0</v>
      </c>
    </row>
    <row r="241" spans="1:44">
      <c r="A241" s="103" t="s">
        <v>1462</v>
      </c>
      <c r="B241" s="123" t="s">
        <v>1462</v>
      </c>
      <c r="C241" s="30" t="s">
        <v>1463</v>
      </c>
      <c r="D241" s="124" t="s">
        <v>1463</v>
      </c>
      <c r="E241" s="119" t="s">
        <v>2663</v>
      </c>
      <c r="F241" s="99" t="s">
        <v>2283</v>
      </c>
      <c r="G241" s="99" t="s">
        <v>487</v>
      </c>
      <c r="H241" s="42" t="str">
        <f t="shared" si="59"/>
        <v>Urban Bexar</v>
      </c>
      <c r="I241" s="44">
        <f>INDEX(FeeCalc!M:M,MATCH(C:C,FeeCalc!F:F,0))</f>
        <v>615804.8334880427</v>
      </c>
      <c r="J241" s="44">
        <f>INDEX(FeeCalc!L:L,MATCH(C:C,FeeCalc!F:F,0))</f>
        <v>0</v>
      </c>
      <c r="K241" s="44">
        <f t="shared" si="60"/>
        <v>615804.8334880427</v>
      </c>
      <c r="L241" s="44">
        <v>382109.25</v>
      </c>
      <c r="M241" s="44">
        <v>0</v>
      </c>
      <c r="N241" s="44">
        <f t="shared" si="61"/>
        <v>382109.25</v>
      </c>
      <c r="O241" s="44">
        <v>35526.393335515691</v>
      </c>
      <c r="P241" s="44">
        <v>0</v>
      </c>
      <c r="Q241" s="44">
        <f t="shared" si="62"/>
        <v>35526.393335515691</v>
      </c>
      <c r="R241" s="44" t="str">
        <f t="shared" si="63"/>
        <v>Yes</v>
      </c>
      <c r="S241" s="45" t="str">
        <f t="shared" si="63"/>
        <v>No</v>
      </c>
      <c r="T241" s="46">
        <f>ROUND(INDEX(Summary!H:H,MATCH(H:H,Summary!A:A,0)),2)</f>
        <v>0.44</v>
      </c>
      <c r="U241" s="46">
        <f>ROUND(INDEX(Summary!I:I,MATCH(H:H,Summary!A:A,0)),2)</f>
        <v>0.49</v>
      </c>
      <c r="V241" s="79">
        <f t="shared" si="64"/>
        <v>270954.12673473876</v>
      </c>
      <c r="W241" s="79">
        <f t="shared" si="64"/>
        <v>0</v>
      </c>
      <c r="X241" s="44">
        <f t="shared" si="65"/>
        <v>270954.12673473876</v>
      </c>
      <c r="Y241" s="44" t="s">
        <v>2765</v>
      </c>
      <c r="Z241" s="44" t="str">
        <f t="shared" si="66"/>
        <v>No</v>
      </c>
      <c r="AA241" s="44" t="str">
        <f t="shared" si="66"/>
        <v>No</v>
      </c>
      <c r="AB241" s="44" t="str">
        <f t="shared" si="67"/>
        <v>No</v>
      </c>
      <c r="AC241" s="80">
        <f t="shared" si="74"/>
        <v>0</v>
      </c>
      <c r="AD241" s="80">
        <f t="shared" si="75"/>
        <v>0</v>
      </c>
      <c r="AE241" s="44">
        <f t="shared" si="68"/>
        <v>0</v>
      </c>
      <c r="AF241" s="44">
        <f t="shared" si="68"/>
        <v>0</v>
      </c>
      <c r="AG241" s="44">
        <f t="shared" si="69"/>
        <v>0</v>
      </c>
      <c r="AH241" s="46">
        <f>IF(Y241="No",0,IFERROR(ROUNDDOWN(INDEX('90% of ACR'!K:K,MATCH(H:H,'90% of ACR'!A:A,0))*IF(I241&gt;0,IF(O241&gt;0,$R$4*MAX(O241-V241,0),0),0)/I241,2),0))</f>
        <v>0</v>
      </c>
      <c r="AI241" s="80">
        <f>IF(Y241="No",0,IFERROR(ROUNDDOWN(INDEX('90% of ACR'!R:R,MATCH(H:H,'90% of ACR'!A:A,0))*IF(J241&gt;0,IF(P241&gt;0,$R$4*MAX(P241-W241,0),0),0)/J241,2),0))</f>
        <v>0</v>
      </c>
      <c r="AJ241" s="44">
        <f t="shared" si="70"/>
        <v>0</v>
      </c>
      <c r="AK241" s="44">
        <f t="shared" si="70"/>
        <v>0</v>
      </c>
      <c r="AL241" s="46">
        <f t="shared" si="71"/>
        <v>0.44</v>
      </c>
      <c r="AM241" s="46">
        <f t="shared" si="71"/>
        <v>0.49</v>
      </c>
      <c r="AN241" s="81">
        <f>IFERROR(INDEX(FeeCalc!P:P,MATCH(C241,FeeCalc!F:F,0)),0)</f>
        <v>270954.12673473876</v>
      </c>
      <c r="AO241" s="81">
        <f>IFERROR(INDEX(FeeCalc!S:S,MATCH(C241,FeeCalc!F:F,0)),0)</f>
        <v>17003.147211295061</v>
      </c>
      <c r="AP241" s="81">
        <f t="shared" si="72"/>
        <v>287957.27394603385</v>
      </c>
      <c r="AQ241" s="68">
        <f t="shared" si="73"/>
        <v>113326.16107600952</v>
      </c>
      <c r="AR241" s="68">
        <f>INDEX('IGT Commitment Suggestions'!H:H,MATCH(G241,'IGT Commitment Suggestions'!A:A,0))*AQ241</f>
        <v>52237.491506589693</v>
      </c>
    </row>
    <row r="242" spans="1:44">
      <c r="A242" s="103" t="s">
        <v>1050</v>
      </c>
      <c r="B242" s="123" t="s">
        <v>1050</v>
      </c>
      <c r="C242" s="30" t="s">
        <v>1051</v>
      </c>
      <c r="D242" s="124" t="s">
        <v>1051</v>
      </c>
      <c r="E242" s="119" t="s">
        <v>2612</v>
      </c>
      <c r="F242" s="99" t="s">
        <v>2295</v>
      </c>
      <c r="G242" s="99" t="s">
        <v>1486</v>
      </c>
      <c r="H242" s="42" t="str">
        <f t="shared" si="59"/>
        <v>Rural MRSA Central</v>
      </c>
      <c r="I242" s="44">
        <f>INDEX(FeeCalc!M:M,MATCH(C:C,FeeCalc!F:F,0))</f>
        <v>26599.769505051405</v>
      </c>
      <c r="J242" s="44">
        <f>INDEX(FeeCalc!L:L,MATCH(C:C,FeeCalc!F:F,0))</f>
        <v>299462.17945288162</v>
      </c>
      <c r="K242" s="44">
        <f t="shared" si="60"/>
        <v>326061.94895793305</v>
      </c>
      <c r="L242" s="44">
        <v>15253.48</v>
      </c>
      <c r="M242" s="44">
        <v>123598.08</v>
      </c>
      <c r="N242" s="44">
        <f t="shared" si="61"/>
        <v>138851.56</v>
      </c>
      <c r="O242" s="44">
        <v>2443.5809612194425</v>
      </c>
      <c r="P242" s="44">
        <v>131283.53189534167</v>
      </c>
      <c r="Q242" s="44">
        <f t="shared" si="62"/>
        <v>133727.11285656111</v>
      </c>
      <c r="R242" s="44" t="str">
        <f t="shared" si="63"/>
        <v>Yes</v>
      </c>
      <c r="S242" s="45" t="str">
        <f t="shared" si="63"/>
        <v>Yes</v>
      </c>
      <c r="T242" s="46">
        <f>ROUND(INDEX(Summary!H:H,MATCH(H:H,Summary!A:A,0)),2)</f>
        <v>0.11</v>
      </c>
      <c r="U242" s="46">
        <f>ROUND(INDEX(Summary!I:I,MATCH(H:H,Summary!A:A,0)),2)</f>
        <v>0.09</v>
      </c>
      <c r="V242" s="79">
        <f t="shared" si="64"/>
        <v>2925.9746455556547</v>
      </c>
      <c r="W242" s="79">
        <f t="shared" si="64"/>
        <v>26951.596150759346</v>
      </c>
      <c r="X242" s="44">
        <f t="shared" si="65"/>
        <v>29877.570796315002</v>
      </c>
      <c r="Y242" s="44" t="s">
        <v>2765</v>
      </c>
      <c r="Z242" s="44" t="str">
        <f t="shared" si="66"/>
        <v>No</v>
      </c>
      <c r="AA242" s="44" t="str">
        <f t="shared" si="66"/>
        <v>Yes</v>
      </c>
      <c r="AB242" s="44" t="str">
        <f t="shared" si="67"/>
        <v>Yes</v>
      </c>
      <c r="AC242" s="80">
        <f t="shared" si="74"/>
        <v>0</v>
      </c>
      <c r="AD242" s="80">
        <f t="shared" si="75"/>
        <v>0.24</v>
      </c>
      <c r="AE242" s="44">
        <f t="shared" si="68"/>
        <v>0</v>
      </c>
      <c r="AF242" s="44">
        <f t="shared" si="68"/>
        <v>71870.923068691583</v>
      </c>
      <c r="AG242" s="44">
        <f t="shared" si="69"/>
        <v>71870.923068691583</v>
      </c>
      <c r="AH242" s="46">
        <f>IF(Y242="No",0,IFERROR(ROUNDDOWN(INDEX('90% of ACR'!K:K,MATCH(H:H,'90% of ACR'!A:A,0))*IF(I242&gt;0,IF(O242&gt;0,$R$4*MAX(O242-V242,0),0),0)/I242,2),0))</f>
        <v>0</v>
      </c>
      <c r="AI242" s="80">
        <f>IF(Y242="No",0,IFERROR(ROUNDDOWN(INDEX('90% of ACR'!R:R,MATCH(H:H,'90% of ACR'!A:A,0))*IF(J242&gt;0,IF(P242&gt;0,$R$4*MAX(P242-W242,0),0),0)/J242,2),0))</f>
        <v>0.24</v>
      </c>
      <c r="AJ242" s="44">
        <f t="shared" si="70"/>
        <v>0</v>
      </c>
      <c r="AK242" s="44">
        <f t="shared" si="70"/>
        <v>71870.923068691583</v>
      </c>
      <c r="AL242" s="46">
        <f t="shared" si="71"/>
        <v>0.11</v>
      </c>
      <c r="AM242" s="46">
        <f t="shared" si="71"/>
        <v>0.32999999999999996</v>
      </c>
      <c r="AN242" s="81">
        <f>IFERROR(INDEX(FeeCalc!P:P,MATCH(C242,FeeCalc!F:F,0)),0)</f>
        <v>101748.49386500659</v>
      </c>
      <c r="AO242" s="81">
        <f>IFERROR(INDEX(FeeCalc!S:S,MATCH(C242,FeeCalc!F:F,0)),0)</f>
        <v>6279.0315627328509</v>
      </c>
      <c r="AP242" s="81">
        <f t="shared" si="72"/>
        <v>108027.52542773944</v>
      </c>
      <c r="AQ242" s="68">
        <f t="shared" si="73"/>
        <v>42514.448687137716</v>
      </c>
      <c r="AR242" s="68">
        <f>INDEX('IGT Commitment Suggestions'!H:H,MATCH(G242,'IGT Commitment Suggestions'!A:A,0))*AQ242</f>
        <v>19422.171656128514</v>
      </c>
    </row>
    <row r="243" spans="1:44">
      <c r="A243" s="103" t="s">
        <v>2551</v>
      </c>
      <c r="B243" s="123" t="s">
        <v>2551</v>
      </c>
      <c r="C243" s="30" t="s">
        <v>2552</v>
      </c>
      <c r="D243" s="124" t="s">
        <v>2552</v>
      </c>
      <c r="E243" s="119" t="s">
        <v>2553</v>
      </c>
      <c r="F243" s="99" t="s">
        <v>2283</v>
      </c>
      <c r="G243" s="99" t="s">
        <v>1526</v>
      </c>
      <c r="H243" s="42" t="str">
        <f t="shared" si="59"/>
        <v>Urban Lubbock</v>
      </c>
      <c r="I243" s="44">
        <f>INDEX(FeeCalc!M:M,MATCH(C:C,FeeCalc!F:F,0))</f>
        <v>0</v>
      </c>
      <c r="J243" s="44">
        <f>INDEX(FeeCalc!L:L,MATCH(C:C,FeeCalc!F:F,0))</f>
        <v>0</v>
      </c>
      <c r="K243" s="44">
        <f t="shared" si="60"/>
        <v>0</v>
      </c>
      <c r="L243" s="44">
        <v>0</v>
      </c>
      <c r="M243" s="44">
        <v>0</v>
      </c>
      <c r="N243" s="44">
        <f t="shared" si="61"/>
        <v>0</v>
      </c>
      <c r="O243" s="44">
        <v>0</v>
      </c>
      <c r="P243" s="44">
        <v>0</v>
      </c>
      <c r="Q243" s="44">
        <f t="shared" si="62"/>
        <v>0</v>
      </c>
      <c r="R243" s="44" t="str">
        <f t="shared" si="63"/>
        <v>No</v>
      </c>
      <c r="S243" s="45" t="str">
        <f t="shared" si="63"/>
        <v>No</v>
      </c>
      <c r="T243" s="46">
        <f>ROUND(INDEX(Summary!H:H,MATCH(H:H,Summary!A:A,0)),2)</f>
        <v>0</v>
      </c>
      <c r="U243" s="46">
        <f>ROUND(INDEX(Summary!I:I,MATCH(H:H,Summary!A:A,0)),2)</f>
        <v>0.66</v>
      </c>
      <c r="V243" s="79">
        <f t="shared" si="64"/>
        <v>0</v>
      </c>
      <c r="W243" s="79">
        <f t="shared" si="64"/>
        <v>0</v>
      </c>
      <c r="X243" s="44">
        <f t="shared" si="65"/>
        <v>0</v>
      </c>
      <c r="Y243" s="44" t="s">
        <v>2765</v>
      </c>
      <c r="Z243" s="44" t="str">
        <f t="shared" si="66"/>
        <v>No</v>
      </c>
      <c r="AA243" s="44" t="str">
        <f t="shared" si="66"/>
        <v>No</v>
      </c>
      <c r="AB243" s="44" t="str">
        <f t="shared" si="67"/>
        <v>No</v>
      </c>
      <c r="AC243" s="80">
        <f t="shared" si="74"/>
        <v>0</v>
      </c>
      <c r="AD243" s="80">
        <f t="shared" si="75"/>
        <v>0</v>
      </c>
      <c r="AE243" s="44">
        <f t="shared" si="68"/>
        <v>0</v>
      </c>
      <c r="AF243" s="44">
        <f t="shared" si="68"/>
        <v>0</v>
      </c>
      <c r="AG243" s="44">
        <f t="shared" si="69"/>
        <v>0</v>
      </c>
      <c r="AH243" s="46">
        <f>IF(Y243="No",0,IFERROR(ROUNDDOWN(INDEX('90% of ACR'!K:K,MATCH(H:H,'90% of ACR'!A:A,0))*IF(I243&gt;0,IF(O243&gt;0,$R$4*MAX(O243-V243,0),0),0)/I243,2),0))</f>
        <v>0</v>
      </c>
      <c r="AI243" s="80">
        <f>IF(Y243="No",0,IFERROR(ROUNDDOWN(INDEX('90% of ACR'!R:R,MATCH(H:H,'90% of ACR'!A:A,0))*IF(J243&gt;0,IF(P243&gt;0,$R$4*MAX(P243-W243,0),0),0)/J243,2),0))</f>
        <v>0</v>
      </c>
      <c r="AJ243" s="44">
        <f t="shared" si="70"/>
        <v>0</v>
      </c>
      <c r="AK243" s="44">
        <f t="shared" si="70"/>
        <v>0</v>
      </c>
      <c r="AL243" s="46">
        <f t="shared" si="71"/>
        <v>0</v>
      </c>
      <c r="AM243" s="46">
        <f t="shared" si="71"/>
        <v>0.66</v>
      </c>
      <c r="AN243" s="81">
        <f>IFERROR(INDEX(FeeCalc!P:P,MATCH(C243,FeeCalc!F:F,0)),0)</f>
        <v>0</v>
      </c>
      <c r="AO243" s="81">
        <f>IFERROR(INDEX(FeeCalc!S:S,MATCH(C243,FeeCalc!F:F,0)),0)</f>
        <v>0</v>
      </c>
      <c r="AP243" s="81">
        <f t="shared" si="72"/>
        <v>0</v>
      </c>
      <c r="AQ243" s="68">
        <f t="shared" si="73"/>
        <v>0</v>
      </c>
      <c r="AR243" s="68">
        <f>INDEX('IGT Commitment Suggestions'!H:H,MATCH(G243,'IGT Commitment Suggestions'!A:A,0))*AQ243</f>
        <v>0</v>
      </c>
    </row>
    <row r="244" spans="1:44">
      <c r="A244" s="103" t="s">
        <v>1450</v>
      </c>
      <c r="B244" s="123" t="s">
        <v>1450</v>
      </c>
      <c r="C244" s="30" t="s">
        <v>1451</v>
      </c>
      <c r="D244" s="124" t="s">
        <v>1451</v>
      </c>
      <c r="E244" s="119" t="s">
        <v>2677</v>
      </c>
      <c r="F244" s="99" t="s">
        <v>2283</v>
      </c>
      <c r="G244" s="99" t="s">
        <v>300</v>
      </c>
      <c r="H244" s="42" t="str">
        <f t="shared" si="59"/>
        <v>Urban Harris</v>
      </c>
      <c r="I244" s="44">
        <f>INDEX(FeeCalc!M:M,MATCH(C:C,FeeCalc!F:F,0))</f>
        <v>0</v>
      </c>
      <c r="J244" s="44">
        <f>INDEX(FeeCalc!L:L,MATCH(C:C,FeeCalc!F:F,0))</f>
        <v>0</v>
      </c>
      <c r="K244" s="44">
        <f t="shared" si="60"/>
        <v>0</v>
      </c>
      <c r="L244" s="44">
        <v>66781.73</v>
      </c>
      <c r="M244" s="44">
        <v>0</v>
      </c>
      <c r="N244" s="44">
        <f t="shared" si="61"/>
        <v>66781.73</v>
      </c>
      <c r="O244" s="44">
        <v>33760.023231928979</v>
      </c>
      <c r="P244" s="44">
        <v>0</v>
      </c>
      <c r="Q244" s="44">
        <f t="shared" si="62"/>
        <v>33760.023231928979</v>
      </c>
      <c r="R244" s="44" t="str">
        <f t="shared" si="63"/>
        <v>Yes</v>
      </c>
      <c r="S244" s="45" t="str">
        <f t="shared" si="63"/>
        <v>No</v>
      </c>
      <c r="T244" s="46">
        <f>ROUND(INDEX(Summary!H:H,MATCH(H:H,Summary!A:A,0)),2)</f>
        <v>1.74</v>
      </c>
      <c r="U244" s="46">
        <f>ROUND(INDEX(Summary!I:I,MATCH(H:H,Summary!A:A,0)),2)</f>
        <v>0.33</v>
      </c>
      <c r="V244" s="79">
        <f t="shared" si="64"/>
        <v>0</v>
      </c>
      <c r="W244" s="79">
        <f t="shared" si="64"/>
        <v>0</v>
      </c>
      <c r="X244" s="44">
        <f t="shared" si="65"/>
        <v>0</v>
      </c>
      <c r="Y244" s="44" t="s">
        <v>2765</v>
      </c>
      <c r="Z244" s="44" t="str">
        <f t="shared" si="66"/>
        <v>No</v>
      </c>
      <c r="AA244" s="44" t="str">
        <f t="shared" si="66"/>
        <v>No</v>
      </c>
      <c r="AB244" s="44" t="str">
        <f t="shared" si="67"/>
        <v>No</v>
      </c>
      <c r="AC244" s="80">
        <f t="shared" si="74"/>
        <v>0</v>
      </c>
      <c r="AD244" s="80">
        <f t="shared" si="75"/>
        <v>0</v>
      </c>
      <c r="AE244" s="44">
        <f t="shared" si="68"/>
        <v>0</v>
      </c>
      <c r="AF244" s="44">
        <f t="shared" si="68"/>
        <v>0</v>
      </c>
      <c r="AG244" s="44">
        <f t="shared" si="69"/>
        <v>0</v>
      </c>
      <c r="AH244" s="46">
        <f>IF(Y244="No",0,IFERROR(ROUNDDOWN(INDEX('90% of ACR'!K:K,MATCH(H:H,'90% of ACR'!A:A,0))*IF(I244&gt;0,IF(O244&gt;0,$R$4*MAX(O244-V244,0),0),0)/I244,2),0))</f>
        <v>0</v>
      </c>
      <c r="AI244" s="80">
        <f>IF(Y244="No",0,IFERROR(ROUNDDOWN(INDEX('90% of ACR'!R:R,MATCH(H:H,'90% of ACR'!A:A,0))*IF(J244&gt;0,IF(P244&gt;0,$R$4*MAX(P244-W244,0),0),0)/J244,2),0))</f>
        <v>0</v>
      </c>
      <c r="AJ244" s="44">
        <f t="shared" si="70"/>
        <v>0</v>
      </c>
      <c r="AK244" s="44">
        <f t="shared" si="70"/>
        <v>0</v>
      </c>
      <c r="AL244" s="46">
        <f t="shared" si="71"/>
        <v>1.74</v>
      </c>
      <c r="AM244" s="46">
        <f t="shared" si="71"/>
        <v>0.33</v>
      </c>
      <c r="AN244" s="81">
        <f>IFERROR(INDEX(FeeCalc!P:P,MATCH(C244,FeeCalc!F:F,0)),0)</f>
        <v>0</v>
      </c>
      <c r="AO244" s="81">
        <f>IFERROR(INDEX(FeeCalc!S:S,MATCH(C244,FeeCalc!F:F,0)),0)</f>
        <v>0</v>
      </c>
      <c r="AP244" s="81">
        <f t="shared" si="72"/>
        <v>0</v>
      </c>
      <c r="AQ244" s="68">
        <f t="shared" si="73"/>
        <v>0</v>
      </c>
      <c r="AR244" s="68">
        <f>INDEX('IGT Commitment Suggestions'!H:H,MATCH(G244,'IGT Commitment Suggestions'!A:A,0))*AQ244</f>
        <v>0</v>
      </c>
    </row>
    <row r="245" spans="1:44">
      <c r="A245" s="103" t="s">
        <v>1459</v>
      </c>
      <c r="B245" s="123" t="s">
        <v>1459</v>
      </c>
      <c r="C245" s="30" t="s">
        <v>1460</v>
      </c>
      <c r="D245" s="124" t="s">
        <v>1460</v>
      </c>
      <c r="E245" s="119" t="s">
        <v>2678</v>
      </c>
      <c r="F245" s="99" t="s">
        <v>2283</v>
      </c>
      <c r="G245" s="99" t="s">
        <v>310</v>
      </c>
      <c r="H245" s="42" t="str">
        <f t="shared" si="59"/>
        <v>Urban MRSA Northeast</v>
      </c>
      <c r="I245" s="44">
        <f>INDEX(FeeCalc!M:M,MATCH(C:C,FeeCalc!F:F,0))</f>
        <v>13089.159998290668</v>
      </c>
      <c r="J245" s="44">
        <f>INDEX(FeeCalc!L:L,MATCH(C:C,FeeCalc!F:F,0))</f>
        <v>62.896945517894196</v>
      </c>
      <c r="K245" s="44">
        <f t="shared" si="60"/>
        <v>13152.056943808562</v>
      </c>
      <c r="L245" s="44">
        <v>59944.6</v>
      </c>
      <c r="M245" s="44">
        <v>0</v>
      </c>
      <c r="N245" s="44">
        <f t="shared" si="61"/>
        <v>59944.6</v>
      </c>
      <c r="O245" s="44">
        <v>43825.772653332897</v>
      </c>
      <c r="P245" s="44">
        <v>0</v>
      </c>
      <c r="Q245" s="44">
        <f t="shared" si="62"/>
        <v>43825.772653332897</v>
      </c>
      <c r="R245" s="44" t="str">
        <f t="shared" si="63"/>
        <v>Yes</v>
      </c>
      <c r="S245" s="45" t="str">
        <f t="shared" si="63"/>
        <v>No</v>
      </c>
      <c r="T245" s="46">
        <f>ROUND(INDEX(Summary!H:H,MATCH(H:H,Summary!A:A,0)),2)</f>
        <v>0.68</v>
      </c>
      <c r="U245" s="46">
        <f>ROUND(INDEX(Summary!I:I,MATCH(H:H,Summary!A:A,0)),2)</f>
        <v>1.06</v>
      </c>
      <c r="V245" s="79">
        <f t="shared" si="64"/>
        <v>8900.6287988376553</v>
      </c>
      <c r="W245" s="79">
        <f t="shared" si="64"/>
        <v>66.670762248967847</v>
      </c>
      <c r="X245" s="44">
        <f t="shared" si="65"/>
        <v>8967.2995610866237</v>
      </c>
      <c r="Y245" s="44" t="s">
        <v>2765</v>
      </c>
      <c r="Z245" s="44" t="str">
        <f t="shared" si="66"/>
        <v>Yes</v>
      </c>
      <c r="AA245" s="44" t="str">
        <f t="shared" si="66"/>
        <v>No</v>
      </c>
      <c r="AB245" s="44" t="str">
        <f t="shared" si="67"/>
        <v>Yes</v>
      </c>
      <c r="AC245" s="80">
        <f t="shared" si="74"/>
        <v>1.86</v>
      </c>
      <c r="AD245" s="80">
        <f t="shared" si="75"/>
        <v>0</v>
      </c>
      <c r="AE245" s="44">
        <f t="shared" si="68"/>
        <v>24345.837596820646</v>
      </c>
      <c r="AF245" s="44">
        <f t="shared" si="68"/>
        <v>0</v>
      </c>
      <c r="AG245" s="44">
        <f t="shared" si="69"/>
        <v>24345.837596820646</v>
      </c>
      <c r="AH245" s="46">
        <f>IF(Y245="No",0,IFERROR(ROUNDDOWN(INDEX('90% of ACR'!K:K,MATCH(H:H,'90% of ACR'!A:A,0))*IF(I245&gt;0,IF(O245&gt;0,$R$4*MAX(O245-V245,0),0),0)/I245,2),0))</f>
        <v>1.85</v>
      </c>
      <c r="AI245" s="80">
        <f>IF(Y245="No",0,IFERROR(ROUNDDOWN(INDEX('90% of ACR'!R:R,MATCH(H:H,'90% of ACR'!A:A,0))*IF(J245&gt;0,IF(P245&gt;0,$R$4*MAX(P245-W245,0),0),0)/J245,2),0))</f>
        <v>0</v>
      </c>
      <c r="AJ245" s="44">
        <f t="shared" si="70"/>
        <v>24214.945996837738</v>
      </c>
      <c r="AK245" s="44">
        <f t="shared" si="70"/>
        <v>0</v>
      </c>
      <c r="AL245" s="46">
        <f t="shared" si="71"/>
        <v>2.5300000000000002</v>
      </c>
      <c r="AM245" s="46">
        <f t="shared" si="71"/>
        <v>1.06</v>
      </c>
      <c r="AN245" s="81">
        <f>IFERROR(INDEX(FeeCalc!P:P,MATCH(C245,FeeCalc!F:F,0)),0)</f>
        <v>33182.245557924361</v>
      </c>
      <c r="AO245" s="81">
        <f>IFERROR(INDEX(FeeCalc!S:S,MATCH(C245,FeeCalc!F:F,0)),0)</f>
        <v>2041.7888290825704</v>
      </c>
      <c r="AP245" s="81">
        <f t="shared" si="72"/>
        <v>35224.034387006934</v>
      </c>
      <c r="AQ245" s="68">
        <f t="shared" si="73"/>
        <v>13862.489181075352</v>
      </c>
      <c r="AR245" s="68">
        <f>INDEX('IGT Commitment Suggestions'!H:H,MATCH(G245,'IGT Commitment Suggestions'!A:A,0))*AQ245</f>
        <v>6349.1090577048089</v>
      </c>
    </row>
    <row r="246" spans="1:44">
      <c r="A246" s="103" t="s">
        <v>1453</v>
      </c>
      <c r="B246" s="123" t="s">
        <v>1453</v>
      </c>
      <c r="C246" s="30" t="s">
        <v>1454</v>
      </c>
      <c r="D246" s="124" t="s">
        <v>1454</v>
      </c>
      <c r="E246" s="119" t="s">
        <v>2680</v>
      </c>
      <c r="F246" s="99" t="s">
        <v>2283</v>
      </c>
      <c r="G246" s="99" t="s">
        <v>300</v>
      </c>
      <c r="H246" s="42" t="str">
        <f t="shared" si="59"/>
        <v>Urban Harris</v>
      </c>
      <c r="I246" s="44">
        <f>INDEX(FeeCalc!M:M,MATCH(C:C,FeeCalc!F:F,0))</f>
        <v>0</v>
      </c>
      <c r="J246" s="44">
        <f>INDEX(FeeCalc!L:L,MATCH(C:C,FeeCalc!F:F,0))</f>
        <v>0</v>
      </c>
      <c r="K246" s="44">
        <f t="shared" si="60"/>
        <v>0</v>
      </c>
      <c r="L246" s="44">
        <v>0</v>
      </c>
      <c r="M246" s="44">
        <v>0</v>
      </c>
      <c r="N246" s="44">
        <f t="shared" si="61"/>
        <v>0</v>
      </c>
      <c r="O246" s="44">
        <v>0</v>
      </c>
      <c r="P246" s="44">
        <v>0</v>
      </c>
      <c r="Q246" s="44">
        <f t="shared" si="62"/>
        <v>0</v>
      </c>
      <c r="R246" s="44" t="str">
        <f t="shared" si="63"/>
        <v>No</v>
      </c>
      <c r="S246" s="45" t="str">
        <f t="shared" si="63"/>
        <v>No</v>
      </c>
      <c r="T246" s="46">
        <f>ROUND(INDEX(Summary!H:H,MATCH(H:H,Summary!A:A,0)),2)</f>
        <v>1.74</v>
      </c>
      <c r="U246" s="46">
        <f>ROUND(INDEX(Summary!I:I,MATCH(H:H,Summary!A:A,0)),2)</f>
        <v>0.33</v>
      </c>
      <c r="V246" s="79">
        <f t="shared" si="64"/>
        <v>0</v>
      </c>
      <c r="W246" s="79">
        <f t="shared" si="64"/>
        <v>0</v>
      </c>
      <c r="X246" s="44">
        <f t="shared" si="65"/>
        <v>0</v>
      </c>
      <c r="Y246" s="44" t="s">
        <v>2765</v>
      </c>
      <c r="Z246" s="44" t="str">
        <f t="shared" si="66"/>
        <v>No</v>
      </c>
      <c r="AA246" s="44" t="str">
        <f t="shared" si="66"/>
        <v>No</v>
      </c>
      <c r="AB246" s="44" t="str">
        <f t="shared" si="67"/>
        <v>No</v>
      </c>
      <c r="AC246" s="80">
        <f t="shared" si="74"/>
        <v>0</v>
      </c>
      <c r="AD246" s="80">
        <f t="shared" si="75"/>
        <v>0</v>
      </c>
      <c r="AE246" s="44">
        <f t="shared" si="68"/>
        <v>0</v>
      </c>
      <c r="AF246" s="44">
        <f t="shared" si="68"/>
        <v>0</v>
      </c>
      <c r="AG246" s="44">
        <f t="shared" si="69"/>
        <v>0</v>
      </c>
      <c r="AH246" s="46">
        <f>IF(Y246="No",0,IFERROR(ROUNDDOWN(INDEX('90% of ACR'!K:K,MATCH(H:H,'90% of ACR'!A:A,0))*IF(I246&gt;0,IF(O246&gt;0,$R$4*MAX(O246-V246,0),0),0)/I246,2),0))</f>
        <v>0</v>
      </c>
      <c r="AI246" s="80">
        <f>IF(Y246="No",0,IFERROR(ROUNDDOWN(INDEX('90% of ACR'!R:R,MATCH(H:H,'90% of ACR'!A:A,0))*IF(J246&gt;0,IF(P246&gt;0,$R$4*MAX(P246-W246,0),0),0)/J246,2),0))</f>
        <v>0</v>
      </c>
      <c r="AJ246" s="44">
        <f t="shared" si="70"/>
        <v>0</v>
      </c>
      <c r="AK246" s="44">
        <f t="shared" si="70"/>
        <v>0</v>
      </c>
      <c r="AL246" s="46">
        <f t="shared" si="71"/>
        <v>1.74</v>
      </c>
      <c r="AM246" s="46">
        <f t="shared" si="71"/>
        <v>0.33</v>
      </c>
      <c r="AN246" s="81">
        <f>IFERROR(INDEX(FeeCalc!P:P,MATCH(C246,FeeCalc!F:F,0)),0)</f>
        <v>0</v>
      </c>
      <c r="AO246" s="81">
        <f>IFERROR(INDEX(FeeCalc!S:S,MATCH(C246,FeeCalc!F:F,0)),0)</f>
        <v>0</v>
      </c>
      <c r="AP246" s="81">
        <f t="shared" si="72"/>
        <v>0</v>
      </c>
      <c r="AQ246" s="68">
        <f t="shared" si="73"/>
        <v>0</v>
      </c>
      <c r="AR246" s="68">
        <f>INDEX('IGT Commitment Suggestions'!H:H,MATCH(G246,'IGT Commitment Suggestions'!A:A,0))*AQ246</f>
        <v>0</v>
      </c>
    </row>
    <row r="247" spans="1:44">
      <c r="A247" s="103" t="s">
        <v>1456</v>
      </c>
      <c r="B247" s="123" t="s">
        <v>1456</v>
      </c>
      <c r="C247" s="30" t="s">
        <v>1457</v>
      </c>
      <c r="D247" s="124" t="s">
        <v>1457</v>
      </c>
      <c r="E247" s="119" t="s">
        <v>2681</v>
      </c>
      <c r="F247" s="99" t="s">
        <v>2283</v>
      </c>
      <c r="G247" s="99" t="s">
        <v>300</v>
      </c>
      <c r="H247" s="42" t="str">
        <f t="shared" si="59"/>
        <v>Urban Harris</v>
      </c>
      <c r="I247" s="44">
        <f>INDEX(FeeCalc!M:M,MATCH(C:C,FeeCalc!F:F,0))</f>
        <v>0</v>
      </c>
      <c r="J247" s="44">
        <f>INDEX(FeeCalc!L:L,MATCH(C:C,FeeCalc!F:F,0))</f>
        <v>0</v>
      </c>
      <c r="K247" s="44">
        <f t="shared" si="60"/>
        <v>0</v>
      </c>
      <c r="L247" s="44">
        <v>9137.16</v>
      </c>
      <c r="M247" s="44">
        <v>0</v>
      </c>
      <c r="N247" s="44">
        <f t="shared" si="61"/>
        <v>9137.16</v>
      </c>
      <c r="O247" s="44">
        <v>3500.77100811327</v>
      </c>
      <c r="P247" s="44">
        <v>0</v>
      </c>
      <c r="Q247" s="44">
        <f t="shared" si="62"/>
        <v>3500.77100811327</v>
      </c>
      <c r="R247" s="44" t="str">
        <f t="shared" si="63"/>
        <v>Yes</v>
      </c>
      <c r="S247" s="45" t="str">
        <f t="shared" si="63"/>
        <v>No</v>
      </c>
      <c r="T247" s="46">
        <f>ROUND(INDEX(Summary!H:H,MATCH(H:H,Summary!A:A,0)),2)</f>
        <v>1.74</v>
      </c>
      <c r="U247" s="46">
        <f>ROUND(INDEX(Summary!I:I,MATCH(H:H,Summary!A:A,0)),2)</f>
        <v>0.33</v>
      </c>
      <c r="V247" s="79">
        <f t="shared" si="64"/>
        <v>0</v>
      </c>
      <c r="W247" s="79">
        <f t="shared" si="64"/>
        <v>0</v>
      </c>
      <c r="X247" s="44">
        <f t="shared" si="65"/>
        <v>0</v>
      </c>
      <c r="Y247" s="44" t="s">
        <v>2765</v>
      </c>
      <c r="Z247" s="44" t="str">
        <f t="shared" si="66"/>
        <v>No</v>
      </c>
      <c r="AA247" s="44" t="str">
        <f t="shared" si="66"/>
        <v>No</v>
      </c>
      <c r="AB247" s="44" t="str">
        <f t="shared" si="67"/>
        <v>No</v>
      </c>
      <c r="AC247" s="80">
        <f t="shared" si="74"/>
        <v>0</v>
      </c>
      <c r="AD247" s="80">
        <f t="shared" si="75"/>
        <v>0</v>
      </c>
      <c r="AE247" s="44">
        <f t="shared" si="68"/>
        <v>0</v>
      </c>
      <c r="AF247" s="44">
        <f t="shared" si="68"/>
        <v>0</v>
      </c>
      <c r="AG247" s="44">
        <f t="shared" si="69"/>
        <v>0</v>
      </c>
      <c r="AH247" s="46">
        <f>IF(Y247="No",0,IFERROR(ROUNDDOWN(INDEX('90% of ACR'!K:K,MATCH(H:H,'90% of ACR'!A:A,0))*IF(I247&gt;0,IF(O247&gt;0,$R$4*MAX(O247-V247,0),0),0)/I247,2),0))</f>
        <v>0</v>
      </c>
      <c r="AI247" s="80">
        <f>IF(Y247="No",0,IFERROR(ROUNDDOWN(INDEX('90% of ACR'!R:R,MATCH(H:H,'90% of ACR'!A:A,0))*IF(J247&gt;0,IF(P247&gt;0,$R$4*MAX(P247-W247,0),0),0)/J247,2),0))</f>
        <v>0</v>
      </c>
      <c r="AJ247" s="44">
        <f t="shared" si="70"/>
        <v>0</v>
      </c>
      <c r="AK247" s="44">
        <f t="shared" si="70"/>
        <v>0</v>
      </c>
      <c r="AL247" s="46">
        <f t="shared" si="71"/>
        <v>1.74</v>
      </c>
      <c r="AM247" s="46">
        <f t="shared" si="71"/>
        <v>0.33</v>
      </c>
      <c r="AN247" s="81">
        <f>IFERROR(INDEX(FeeCalc!P:P,MATCH(C247,FeeCalc!F:F,0)),0)</f>
        <v>0</v>
      </c>
      <c r="AO247" s="81">
        <f>IFERROR(INDEX(FeeCalc!S:S,MATCH(C247,FeeCalc!F:F,0)),0)</f>
        <v>0</v>
      </c>
      <c r="AP247" s="81">
        <f t="shared" si="72"/>
        <v>0</v>
      </c>
      <c r="AQ247" s="68">
        <f t="shared" si="73"/>
        <v>0</v>
      </c>
      <c r="AR247" s="68">
        <f>INDEX('IGT Commitment Suggestions'!H:H,MATCH(G247,'IGT Commitment Suggestions'!A:A,0))*AQ247</f>
        <v>0</v>
      </c>
    </row>
    <row r="248" spans="1:44">
      <c r="A248" s="103" t="s">
        <v>1518</v>
      </c>
      <c r="B248" s="123" t="s">
        <v>1518</v>
      </c>
      <c r="C248" s="30" t="s">
        <v>1519</v>
      </c>
      <c r="D248" s="124" t="s">
        <v>1519</v>
      </c>
      <c r="E248" s="119" t="s">
        <v>2684</v>
      </c>
      <c r="F248" s="99" t="s">
        <v>2283</v>
      </c>
      <c r="G248" s="99" t="s">
        <v>310</v>
      </c>
      <c r="H248" s="42" t="str">
        <f t="shared" si="59"/>
        <v>Urban MRSA Northeast</v>
      </c>
      <c r="I248" s="44">
        <f>INDEX(FeeCalc!M:M,MATCH(C:C,FeeCalc!F:F,0))</f>
        <v>145504.09546872432</v>
      </c>
      <c r="J248" s="44">
        <f>INDEX(FeeCalc!L:L,MATCH(C:C,FeeCalc!F:F,0))</f>
        <v>0</v>
      </c>
      <c r="K248" s="44">
        <f t="shared" si="60"/>
        <v>145504.09546872432</v>
      </c>
      <c r="L248" s="44">
        <v>112100.93</v>
      </c>
      <c r="M248" s="44">
        <v>0</v>
      </c>
      <c r="N248" s="44">
        <f t="shared" si="61"/>
        <v>112100.93</v>
      </c>
      <c r="O248" s="44">
        <v>67096.639479749429</v>
      </c>
      <c r="P248" s="44">
        <v>0</v>
      </c>
      <c r="Q248" s="44">
        <f t="shared" si="62"/>
        <v>67096.639479749429</v>
      </c>
      <c r="R248" s="44" t="str">
        <f t="shared" si="63"/>
        <v>Yes</v>
      </c>
      <c r="S248" s="45" t="str">
        <f t="shared" si="63"/>
        <v>No</v>
      </c>
      <c r="T248" s="46">
        <f>ROUND(INDEX(Summary!H:H,MATCH(H:H,Summary!A:A,0)),2)</f>
        <v>0.68</v>
      </c>
      <c r="U248" s="46">
        <f>ROUND(INDEX(Summary!I:I,MATCH(H:H,Summary!A:A,0)),2)</f>
        <v>1.06</v>
      </c>
      <c r="V248" s="79">
        <f t="shared" si="64"/>
        <v>98942.784918732548</v>
      </c>
      <c r="W248" s="79">
        <f t="shared" si="64"/>
        <v>0</v>
      </c>
      <c r="X248" s="44">
        <f t="shared" si="65"/>
        <v>98942.784918732548</v>
      </c>
      <c r="Y248" s="44" t="s">
        <v>2765</v>
      </c>
      <c r="Z248" s="44" t="str">
        <f t="shared" si="66"/>
        <v>No</v>
      </c>
      <c r="AA248" s="44" t="str">
        <f t="shared" si="66"/>
        <v>No</v>
      </c>
      <c r="AB248" s="44" t="str">
        <f t="shared" si="67"/>
        <v>No</v>
      </c>
      <c r="AC248" s="80">
        <f t="shared" si="74"/>
        <v>0</v>
      </c>
      <c r="AD248" s="80">
        <f t="shared" si="75"/>
        <v>0</v>
      </c>
      <c r="AE248" s="44">
        <f t="shared" si="68"/>
        <v>0</v>
      </c>
      <c r="AF248" s="44">
        <f t="shared" si="68"/>
        <v>0</v>
      </c>
      <c r="AG248" s="44">
        <f t="shared" si="69"/>
        <v>0</v>
      </c>
      <c r="AH248" s="46">
        <f>IF(Y248="No",0,IFERROR(ROUNDDOWN(INDEX('90% of ACR'!K:K,MATCH(H:H,'90% of ACR'!A:A,0))*IF(I248&gt;0,IF(O248&gt;0,$R$4*MAX(O248-V248,0),0),0)/I248,2),0))</f>
        <v>0</v>
      </c>
      <c r="AI248" s="80">
        <f>IF(Y248="No",0,IFERROR(ROUNDDOWN(INDEX('90% of ACR'!R:R,MATCH(H:H,'90% of ACR'!A:A,0))*IF(J248&gt;0,IF(P248&gt;0,$R$4*MAX(P248-W248,0),0),0)/J248,2),0))</f>
        <v>0</v>
      </c>
      <c r="AJ248" s="44">
        <f t="shared" si="70"/>
        <v>0</v>
      </c>
      <c r="AK248" s="44">
        <f t="shared" si="70"/>
        <v>0</v>
      </c>
      <c r="AL248" s="46">
        <f t="shared" si="71"/>
        <v>0.68</v>
      </c>
      <c r="AM248" s="46">
        <f t="shared" si="71"/>
        <v>1.06</v>
      </c>
      <c r="AN248" s="81">
        <f>IFERROR(INDEX(FeeCalc!P:P,MATCH(C248,FeeCalc!F:F,0)),0)</f>
        <v>98942.784918732548</v>
      </c>
      <c r="AO248" s="81">
        <f>IFERROR(INDEX(FeeCalc!S:S,MATCH(C248,FeeCalc!F:F,0)),0)</f>
        <v>6036.2972231587501</v>
      </c>
      <c r="AP248" s="81">
        <f t="shared" si="72"/>
        <v>104979.0821418913</v>
      </c>
      <c r="AQ248" s="68">
        <f t="shared" si="73"/>
        <v>41314.727735105611</v>
      </c>
      <c r="AR248" s="68">
        <f>INDEX('IGT Commitment Suggestions'!H:H,MATCH(G248,'IGT Commitment Suggestions'!A:A,0))*AQ248</f>
        <v>18922.410589698931</v>
      </c>
    </row>
    <row r="249" spans="1:44">
      <c r="A249" s="103" t="s">
        <v>683</v>
      </c>
      <c r="B249" s="123" t="s">
        <v>683</v>
      </c>
      <c r="C249" s="30" t="s">
        <v>684</v>
      </c>
      <c r="D249" s="124" t="s">
        <v>684</v>
      </c>
      <c r="E249" s="119" t="s">
        <v>2886</v>
      </c>
      <c r="F249" s="99" t="s">
        <v>2295</v>
      </c>
      <c r="G249" s="99" t="s">
        <v>1526</v>
      </c>
      <c r="H249" s="42" t="str">
        <f t="shared" si="59"/>
        <v>Rural Lubbock</v>
      </c>
      <c r="I249" s="44">
        <f>INDEX(FeeCalc!M:M,MATCH(C:C,FeeCalc!F:F,0))</f>
        <v>827838.72210117092</v>
      </c>
      <c r="J249" s="44">
        <f>INDEX(FeeCalc!L:L,MATCH(C:C,FeeCalc!F:F,0))</f>
        <v>1696695.8558344902</v>
      </c>
      <c r="K249" s="44">
        <f t="shared" si="60"/>
        <v>2524534.5779356612</v>
      </c>
      <c r="L249" s="44">
        <v>682021.42</v>
      </c>
      <c r="M249" s="44">
        <v>137745.81</v>
      </c>
      <c r="N249" s="44">
        <f t="shared" si="61"/>
        <v>819767.23</v>
      </c>
      <c r="O249" s="44">
        <v>159018.15346053115</v>
      </c>
      <c r="P249" s="44">
        <v>82966.418447942648</v>
      </c>
      <c r="Q249" s="44">
        <f t="shared" si="62"/>
        <v>241984.57190847379</v>
      </c>
      <c r="R249" s="44" t="str">
        <f t="shared" si="63"/>
        <v>Yes</v>
      </c>
      <c r="S249" s="45" t="str">
        <f t="shared" si="63"/>
        <v>Yes</v>
      </c>
      <c r="T249" s="46">
        <f>ROUND(INDEX(Summary!H:H,MATCH(H:H,Summary!A:A,0)),2)</f>
        <v>0.62</v>
      </c>
      <c r="U249" s="46">
        <f>ROUND(INDEX(Summary!I:I,MATCH(H:H,Summary!A:A,0)),2)</f>
        <v>0.2</v>
      </c>
      <c r="V249" s="79">
        <f t="shared" si="64"/>
        <v>513260.00770272594</v>
      </c>
      <c r="W249" s="79">
        <f t="shared" si="64"/>
        <v>339339.17116689804</v>
      </c>
      <c r="X249" s="44">
        <f t="shared" si="65"/>
        <v>852599.17886962392</v>
      </c>
      <c r="Y249" s="44" t="s">
        <v>2765</v>
      </c>
      <c r="Z249" s="44" t="str">
        <f t="shared" si="66"/>
        <v>No</v>
      </c>
      <c r="AA249" s="44" t="str">
        <f t="shared" si="66"/>
        <v>No</v>
      </c>
      <c r="AB249" s="44" t="str">
        <f t="shared" si="67"/>
        <v>No</v>
      </c>
      <c r="AC249" s="80">
        <f t="shared" si="74"/>
        <v>0</v>
      </c>
      <c r="AD249" s="80">
        <f t="shared" si="75"/>
        <v>0</v>
      </c>
      <c r="AE249" s="44">
        <f t="shared" si="68"/>
        <v>0</v>
      </c>
      <c r="AF249" s="44">
        <f t="shared" si="68"/>
        <v>0</v>
      </c>
      <c r="AG249" s="44">
        <f t="shared" si="69"/>
        <v>0</v>
      </c>
      <c r="AH249" s="46">
        <f>IF(Y249="No",0,IFERROR(ROUNDDOWN(INDEX('90% of ACR'!K:K,MATCH(H:H,'90% of ACR'!A:A,0))*IF(I249&gt;0,IF(O249&gt;0,$R$4*MAX(O249-V249,0),0),0)/I249,2),0))</f>
        <v>0</v>
      </c>
      <c r="AI249" s="80">
        <f>IF(Y249="No",0,IFERROR(ROUNDDOWN(INDEX('90% of ACR'!R:R,MATCH(H:H,'90% of ACR'!A:A,0))*IF(J249&gt;0,IF(P249&gt;0,$R$4*MAX(P249-W249,0),0),0)/J249,2),0))</f>
        <v>0</v>
      </c>
      <c r="AJ249" s="44">
        <f t="shared" si="70"/>
        <v>0</v>
      </c>
      <c r="AK249" s="44">
        <f t="shared" si="70"/>
        <v>0</v>
      </c>
      <c r="AL249" s="46">
        <f t="shared" si="71"/>
        <v>0.62</v>
      </c>
      <c r="AM249" s="46">
        <f t="shared" si="71"/>
        <v>0.2</v>
      </c>
      <c r="AN249" s="81">
        <f>IFERROR(INDEX(FeeCalc!P:P,MATCH(C249,FeeCalc!F:F,0)),0)</f>
        <v>852599.17886962392</v>
      </c>
      <c r="AO249" s="81">
        <f>IFERROR(INDEX(FeeCalc!S:S,MATCH(C249,FeeCalc!F:F,0)),0)</f>
        <v>52156.648387712863</v>
      </c>
      <c r="AP249" s="81">
        <f t="shared" si="72"/>
        <v>904755.82725733682</v>
      </c>
      <c r="AQ249" s="68">
        <f t="shared" si="73"/>
        <v>356068.46532877942</v>
      </c>
      <c r="AR249" s="68">
        <f>INDEX('IGT Commitment Suggestions'!H:H,MATCH(G249,'IGT Commitment Suggestions'!A:A,0))*AQ249</f>
        <v>163063.91385924976</v>
      </c>
    </row>
    <row r="250" spans="1:44">
      <c r="A250" s="103" t="s">
        <v>1428</v>
      </c>
      <c r="B250" s="123" t="s">
        <v>1428</v>
      </c>
      <c r="C250" s="30" t="s">
        <v>1429</v>
      </c>
      <c r="D250" s="124" t="s">
        <v>1429</v>
      </c>
      <c r="E250" s="119" t="s">
        <v>2687</v>
      </c>
      <c r="F250" s="99" t="s">
        <v>2283</v>
      </c>
      <c r="G250" s="99" t="s">
        <v>300</v>
      </c>
      <c r="H250" s="42" t="str">
        <f t="shared" si="59"/>
        <v>Urban Harris</v>
      </c>
      <c r="I250" s="44">
        <f>INDEX(FeeCalc!M:M,MATCH(C:C,FeeCalc!F:F,0))</f>
        <v>0</v>
      </c>
      <c r="J250" s="44">
        <f>INDEX(FeeCalc!L:L,MATCH(C:C,FeeCalc!F:F,0))</f>
        <v>0</v>
      </c>
      <c r="K250" s="44">
        <f t="shared" si="60"/>
        <v>0</v>
      </c>
      <c r="L250" s="44">
        <v>21778.560000000001</v>
      </c>
      <c r="M250" s="44">
        <v>0</v>
      </c>
      <c r="N250" s="44">
        <f t="shared" si="61"/>
        <v>21778.560000000001</v>
      </c>
      <c r="O250" s="44">
        <v>12434.874186777535</v>
      </c>
      <c r="P250" s="44">
        <v>0</v>
      </c>
      <c r="Q250" s="44">
        <f t="shared" si="62"/>
        <v>12434.874186777535</v>
      </c>
      <c r="R250" s="44" t="str">
        <f t="shared" si="63"/>
        <v>Yes</v>
      </c>
      <c r="S250" s="45" t="str">
        <f t="shared" si="63"/>
        <v>No</v>
      </c>
      <c r="T250" s="46">
        <f>ROUND(INDEX(Summary!H:H,MATCH(H:H,Summary!A:A,0)),2)</f>
        <v>1.74</v>
      </c>
      <c r="U250" s="46">
        <f>ROUND(INDEX(Summary!I:I,MATCH(H:H,Summary!A:A,0)),2)</f>
        <v>0.33</v>
      </c>
      <c r="V250" s="79">
        <f t="shared" si="64"/>
        <v>0</v>
      </c>
      <c r="W250" s="79">
        <f t="shared" si="64"/>
        <v>0</v>
      </c>
      <c r="X250" s="44">
        <f t="shared" si="65"/>
        <v>0</v>
      </c>
      <c r="Y250" s="44" t="s">
        <v>2765</v>
      </c>
      <c r="Z250" s="44" t="str">
        <f t="shared" si="66"/>
        <v>No</v>
      </c>
      <c r="AA250" s="44" t="str">
        <f t="shared" si="66"/>
        <v>No</v>
      </c>
      <c r="AB250" s="44" t="str">
        <f t="shared" si="67"/>
        <v>No</v>
      </c>
      <c r="AC250" s="80">
        <f t="shared" si="74"/>
        <v>0</v>
      </c>
      <c r="AD250" s="80">
        <f t="shared" si="75"/>
        <v>0</v>
      </c>
      <c r="AE250" s="44">
        <f t="shared" si="68"/>
        <v>0</v>
      </c>
      <c r="AF250" s="44">
        <f t="shared" si="68"/>
        <v>0</v>
      </c>
      <c r="AG250" s="44">
        <f t="shared" si="69"/>
        <v>0</v>
      </c>
      <c r="AH250" s="46">
        <f>IF(Y250="No",0,IFERROR(ROUNDDOWN(INDEX('90% of ACR'!K:K,MATCH(H:H,'90% of ACR'!A:A,0))*IF(I250&gt;0,IF(O250&gt;0,$R$4*MAX(O250-V250,0),0),0)/I250,2),0))</f>
        <v>0</v>
      </c>
      <c r="AI250" s="80">
        <f>IF(Y250="No",0,IFERROR(ROUNDDOWN(INDEX('90% of ACR'!R:R,MATCH(H:H,'90% of ACR'!A:A,0))*IF(J250&gt;0,IF(P250&gt;0,$R$4*MAX(P250-W250,0),0),0)/J250,2),0))</f>
        <v>0</v>
      </c>
      <c r="AJ250" s="44">
        <f t="shared" si="70"/>
        <v>0</v>
      </c>
      <c r="AK250" s="44">
        <f t="shared" si="70"/>
        <v>0</v>
      </c>
      <c r="AL250" s="46">
        <f t="shared" si="71"/>
        <v>1.74</v>
      </c>
      <c r="AM250" s="46">
        <f t="shared" si="71"/>
        <v>0.33</v>
      </c>
      <c r="AN250" s="81">
        <f>IFERROR(INDEX(FeeCalc!P:P,MATCH(C250,FeeCalc!F:F,0)),0)</f>
        <v>0</v>
      </c>
      <c r="AO250" s="81">
        <f>IFERROR(INDEX(FeeCalc!S:S,MATCH(C250,FeeCalc!F:F,0)),0)</f>
        <v>0</v>
      </c>
      <c r="AP250" s="81">
        <f t="shared" si="72"/>
        <v>0</v>
      </c>
      <c r="AQ250" s="68">
        <f t="shared" si="73"/>
        <v>0</v>
      </c>
      <c r="AR250" s="68">
        <f>INDEX('IGT Commitment Suggestions'!H:H,MATCH(G250,'IGT Commitment Suggestions'!A:A,0))*AQ250</f>
        <v>0</v>
      </c>
    </row>
    <row r="251" spans="1:44">
      <c r="A251" s="103" t="s">
        <v>2972</v>
      </c>
      <c r="B251" s="123" t="s">
        <v>2972</v>
      </c>
      <c r="C251" s="30" t="s">
        <v>2967</v>
      </c>
      <c r="D251" s="124" t="s">
        <v>2967</v>
      </c>
      <c r="E251" s="119" t="s">
        <v>2887</v>
      </c>
      <c r="F251" s="99" t="s">
        <v>2283</v>
      </c>
      <c r="G251" s="99" t="s">
        <v>1486</v>
      </c>
      <c r="H251" s="42" t="str">
        <f t="shared" si="59"/>
        <v>Urban MRSA Central</v>
      </c>
      <c r="I251" s="44">
        <f>INDEX(FeeCalc!M:M,MATCH(C:C,FeeCalc!F:F,0))</f>
        <v>0</v>
      </c>
      <c r="J251" s="44">
        <f>INDEX(FeeCalc!L:L,MATCH(C:C,FeeCalc!F:F,0))</f>
        <v>0</v>
      </c>
      <c r="K251" s="44">
        <f t="shared" si="60"/>
        <v>0</v>
      </c>
      <c r="L251" s="44">
        <v>0</v>
      </c>
      <c r="M251" s="44">
        <v>0</v>
      </c>
      <c r="N251" s="44">
        <f t="shared" si="61"/>
        <v>0</v>
      </c>
      <c r="O251" s="44">
        <v>0</v>
      </c>
      <c r="P251" s="44">
        <v>0</v>
      </c>
      <c r="Q251" s="44">
        <f t="shared" si="62"/>
        <v>0</v>
      </c>
      <c r="R251" s="44" t="str">
        <f t="shared" si="63"/>
        <v>No</v>
      </c>
      <c r="S251" s="45" t="str">
        <f t="shared" si="63"/>
        <v>No</v>
      </c>
      <c r="T251" s="46">
        <f>ROUND(INDEX(Summary!H:H,MATCH(H:H,Summary!A:A,0)),2)</f>
        <v>0.48</v>
      </c>
      <c r="U251" s="46">
        <f>ROUND(INDEX(Summary!I:I,MATCH(H:H,Summary!A:A,0)),2)</f>
        <v>0.99</v>
      </c>
      <c r="V251" s="79">
        <f t="shared" si="64"/>
        <v>0</v>
      </c>
      <c r="W251" s="79">
        <f t="shared" si="64"/>
        <v>0</v>
      </c>
      <c r="X251" s="44">
        <f t="shared" si="65"/>
        <v>0</v>
      </c>
      <c r="Y251" s="44" t="s">
        <v>2765</v>
      </c>
      <c r="Z251" s="44" t="str">
        <f t="shared" si="66"/>
        <v>No</v>
      </c>
      <c r="AA251" s="44" t="str">
        <f t="shared" si="66"/>
        <v>No</v>
      </c>
      <c r="AB251" s="44" t="str">
        <f t="shared" si="67"/>
        <v>No</v>
      </c>
      <c r="AC251" s="80">
        <f t="shared" si="74"/>
        <v>0</v>
      </c>
      <c r="AD251" s="80">
        <f t="shared" si="75"/>
        <v>0</v>
      </c>
      <c r="AE251" s="44">
        <f t="shared" si="68"/>
        <v>0</v>
      </c>
      <c r="AF251" s="44">
        <f t="shared" si="68"/>
        <v>0</v>
      </c>
      <c r="AG251" s="44">
        <f t="shared" si="69"/>
        <v>0</v>
      </c>
      <c r="AH251" s="46">
        <f>IF(Y251="No",0,IFERROR(ROUNDDOWN(INDEX('90% of ACR'!K:K,MATCH(H:H,'90% of ACR'!A:A,0))*IF(I251&gt;0,IF(O251&gt;0,$R$4*MAX(O251-V251,0),0),0)/I251,2),0))</f>
        <v>0</v>
      </c>
      <c r="AI251" s="80">
        <f>IF(Y251="No",0,IFERROR(ROUNDDOWN(INDEX('90% of ACR'!R:R,MATCH(H:H,'90% of ACR'!A:A,0))*IF(J251&gt;0,IF(P251&gt;0,$R$4*MAX(P251-W251,0),0),0)/J251,2),0))</f>
        <v>0</v>
      </c>
      <c r="AJ251" s="44">
        <f t="shared" si="70"/>
        <v>0</v>
      </c>
      <c r="AK251" s="44">
        <f t="shared" si="70"/>
        <v>0</v>
      </c>
      <c r="AL251" s="46">
        <f t="shared" si="71"/>
        <v>0.48</v>
      </c>
      <c r="AM251" s="46">
        <f t="shared" si="71"/>
        <v>0.99</v>
      </c>
      <c r="AN251" s="81">
        <f>IFERROR(INDEX(FeeCalc!P:P,MATCH(C251,FeeCalc!F:F,0)),0)</f>
        <v>0</v>
      </c>
      <c r="AO251" s="81">
        <f>IFERROR(INDEX(FeeCalc!S:S,MATCH(C251,FeeCalc!F:F,0)),0)</f>
        <v>0</v>
      </c>
      <c r="AP251" s="81">
        <f t="shared" si="72"/>
        <v>0</v>
      </c>
      <c r="AQ251" s="68">
        <f t="shared" si="73"/>
        <v>0</v>
      </c>
      <c r="AR251" s="68">
        <f>INDEX('IGT Commitment Suggestions'!H:H,MATCH(G251,'IGT Commitment Suggestions'!A:A,0))*AQ251</f>
        <v>0</v>
      </c>
    </row>
    <row r="252" spans="1:44">
      <c r="A252" s="103" t="s">
        <v>1392</v>
      </c>
      <c r="B252" s="123" t="s">
        <v>1392</v>
      </c>
      <c r="C252" s="30" t="s">
        <v>1393</v>
      </c>
      <c r="D252" s="124" t="s">
        <v>1393</v>
      </c>
      <c r="E252" s="119" t="s">
        <v>2688</v>
      </c>
      <c r="F252" s="99" t="s">
        <v>2283</v>
      </c>
      <c r="G252" s="99" t="s">
        <v>227</v>
      </c>
      <c r="H252" s="42" t="str">
        <f t="shared" si="59"/>
        <v>Urban MRSA West</v>
      </c>
      <c r="I252" s="44">
        <f>INDEX(FeeCalc!M:M,MATCH(C:C,FeeCalc!F:F,0))</f>
        <v>0</v>
      </c>
      <c r="J252" s="44">
        <f>INDEX(FeeCalc!L:L,MATCH(C:C,FeeCalc!F:F,0))</f>
        <v>0</v>
      </c>
      <c r="K252" s="44">
        <f t="shared" si="60"/>
        <v>0</v>
      </c>
      <c r="L252" s="44">
        <v>0</v>
      </c>
      <c r="M252" s="44">
        <v>0</v>
      </c>
      <c r="N252" s="44">
        <f t="shared" si="61"/>
        <v>0</v>
      </c>
      <c r="O252" s="44">
        <v>0</v>
      </c>
      <c r="P252" s="44">
        <v>0</v>
      </c>
      <c r="Q252" s="44">
        <f t="shared" si="62"/>
        <v>0</v>
      </c>
      <c r="R252" s="44" t="str">
        <f t="shared" si="63"/>
        <v>No</v>
      </c>
      <c r="S252" s="45" t="str">
        <f t="shared" si="63"/>
        <v>No</v>
      </c>
      <c r="T252" s="46">
        <f>ROUND(INDEX(Summary!H:H,MATCH(H:H,Summary!A:A,0)),2)</f>
        <v>0.33</v>
      </c>
      <c r="U252" s="46">
        <f>ROUND(INDEX(Summary!I:I,MATCH(H:H,Summary!A:A,0)),2)</f>
        <v>0.85</v>
      </c>
      <c r="V252" s="79">
        <f t="shared" si="64"/>
        <v>0</v>
      </c>
      <c r="W252" s="79">
        <f t="shared" si="64"/>
        <v>0</v>
      </c>
      <c r="X252" s="44">
        <f t="shared" si="65"/>
        <v>0</v>
      </c>
      <c r="Y252" s="44" t="s">
        <v>2765</v>
      </c>
      <c r="Z252" s="44" t="str">
        <f t="shared" si="66"/>
        <v>No</v>
      </c>
      <c r="AA252" s="44" t="str">
        <f t="shared" si="66"/>
        <v>No</v>
      </c>
      <c r="AB252" s="44" t="str">
        <f t="shared" si="67"/>
        <v>No</v>
      </c>
      <c r="AC252" s="80">
        <f t="shared" si="74"/>
        <v>0</v>
      </c>
      <c r="AD252" s="80">
        <f t="shared" si="75"/>
        <v>0</v>
      </c>
      <c r="AE252" s="44">
        <f t="shared" si="68"/>
        <v>0</v>
      </c>
      <c r="AF252" s="44">
        <f t="shared" si="68"/>
        <v>0</v>
      </c>
      <c r="AG252" s="44">
        <f t="shared" si="69"/>
        <v>0</v>
      </c>
      <c r="AH252" s="46">
        <f>IF(Y252="No",0,IFERROR(ROUNDDOWN(INDEX('90% of ACR'!K:K,MATCH(H:H,'90% of ACR'!A:A,0))*IF(I252&gt;0,IF(O252&gt;0,$R$4*MAX(O252-V252,0),0),0)/I252,2),0))</f>
        <v>0</v>
      </c>
      <c r="AI252" s="80">
        <f>IF(Y252="No",0,IFERROR(ROUNDDOWN(INDEX('90% of ACR'!R:R,MATCH(H:H,'90% of ACR'!A:A,0))*IF(J252&gt;0,IF(P252&gt;0,$R$4*MAX(P252-W252,0),0),0)/J252,2),0))</f>
        <v>0</v>
      </c>
      <c r="AJ252" s="44">
        <f t="shared" si="70"/>
        <v>0</v>
      </c>
      <c r="AK252" s="44">
        <f t="shared" si="70"/>
        <v>0</v>
      </c>
      <c r="AL252" s="46">
        <f t="shared" si="71"/>
        <v>0.33</v>
      </c>
      <c r="AM252" s="46">
        <f t="shared" si="71"/>
        <v>0.85</v>
      </c>
      <c r="AN252" s="81">
        <f>IFERROR(INDEX(FeeCalc!P:P,MATCH(C252,FeeCalc!F:F,0)),0)</f>
        <v>0</v>
      </c>
      <c r="AO252" s="81">
        <f>IFERROR(INDEX(FeeCalc!S:S,MATCH(C252,FeeCalc!F:F,0)),0)</f>
        <v>0</v>
      </c>
      <c r="AP252" s="81">
        <f t="shared" si="72"/>
        <v>0</v>
      </c>
      <c r="AQ252" s="68">
        <f t="shared" si="73"/>
        <v>0</v>
      </c>
      <c r="AR252" s="68">
        <f>INDEX('IGT Commitment Suggestions'!H:H,MATCH(G252,'IGT Commitment Suggestions'!A:A,0))*AQ252</f>
        <v>0</v>
      </c>
    </row>
    <row r="253" spans="1:44">
      <c r="A253" s="103" t="s">
        <v>1140</v>
      </c>
      <c r="B253" s="123" t="s">
        <v>1140</v>
      </c>
      <c r="C253" s="30" t="s">
        <v>1141</v>
      </c>
      <c r="D253" s="124" t="s">
        <v>1141</v>
      </c>
      <c r="E253" s="119" t="s">
        <v>2888</v>
      </c>
      <c r="F253" s="99" t="s">
        <v>2295</v>
      </c>
      <c r="G253" s="99" t="s">
        <v>227</v>
      </c>
      <c r="H253" s="42" t="str">
        <f t="shared" si="59"/>
        <v>Rural MRSA West</v>
      </c>
      <c r="I253" s="44">
        <f>INDEX(FeeCalc!M:M,MATCH(C:C,FeeCalc!F:F,0))</f>
        <v>130.94773797029728</v>
      </c>
      <c r="J253" s="44">
        <f>INDEX(FeeCalc!L:L,MATCH(C:C,FeeCalc!F:F,0))</f>
        <v>62154.48282957208</v>
      </c>
      <c r="K253" s="44">
        <f t="shared" si="60"/>
        <v>62285.430567542375</v>
      </c>
      <c r="L253" s="44">
        <v>0</v>
      </c>
      <c r="M253" s="44">
        <v>15392.51</v>
      </c>
      <c r="N253" s="44">
        <f t="shared" si="61"/>
        <v>15392.51</v>
      </c>
      <c r="O253" s="44">
        <v>0</v>
      </c>
      <c r="P253" s="44">
        <v>-4828.5852508013741</v>
      </c>
      <c r="Q253" s="44">
        <f t="shared" si="62"/>
        <v>-4828.5852508013741</v>
      </c>
      <c r="R253" s="44" t="str">
        <f t="shared" si="63"/>
        <v>No</v>
      </c>
      <c r="S253" s="45" t="str">
        <f t="shared" si="63"/>
        <v>No</v>
      </c>
      <c r="T253" s="46">
        <f>ROUND(INDEX(Summary!H:H,MATCH(H:H,Summary!A:A,0)),2)</f>
        <v>0</v>
      </c>
      <c r="U253" s="46">
        <f>ROUND(INDEX(Summary!I:I,MATCH(H:H,Summary!A:A,0)),2)</f>
        <v>0.18</v>
      </c>
      <c r="V253" s="79">
        <f t="shared" si="64"/>
        <v>0</v>
      </c>
      <c r="W253" s="79">
        <f t="shared" si="64"/>
        <v>11187.806909322973</v>
      </c>
      <c r="X253" s="44">
        <f t="shared" si="65"/>
        <v>11187.806909322973</v>
      </c>
      <c r="Y253" s="44" t="s">
        <v>2765</v>
      </c>
      <c r="Z253" s="44" t="str">
        <f t="shared" si="66"/>
        <v>No</v>
      </c>
      <c r="AA253" s="44" t="str">
        <f t="shared" si="66"/>
        <v>No</v>
      </c>
      <c r="AB253" s="44" t="str">
        <f t="shared" si="67"/>
        <v>No</v>
      </c>
      <c r="AC253" s="80">
        <f t="shared" si="74"/>
        <v>0</v>
      </c>
      <c r="AD253" s="80">
        <f t="shared" si="75"/>
        <v>0</v>
      </c>
      <c r="AE253" s="44">
        <f t="shared" si="68"/>
        <v>0</v>
      </c>
      <c r="AF253" s="44">
        <f t="shared" si="68"/>
        <v>0</v>
      </c>
      <c r="AG253" s="44">
        <f t="shared" si="69"/>
        <v>0</v>
      </c>
      <c r="AH253" s="46">
        <f>IF(Y253="No",0,IFERROR(ROUNDDOWN(INDEX('90% of ACR'!K:K,MATCH(H:H,'90% of ACR'!A:A,0))*IF(I253&gt;0,IF(O253&gt;0,$R$4*MAX(O253-V253,0),0),0)/I253,2),0))</f>
        <v>0</v>
      </c>
      <c r="AI253" s="80">
        <f>IF(Y253="No",0,IFERROR(ROUNDDOWN(INDEX('90% of ACR'!R:R,MATCH(H:H,'90% of ACR'!A:A,0))*IF(J253&gt;0,IF(P253&gt;0,$R$4*MAX(P253-W253,0),0),0)/J253,2),0))</f>
        <v>0</v>
      </c>
      <c r="AJ253" s="44">
        <f t="shared" si="70"/>
        <v>0</v>
      </c>
      <c r="AK253" s="44">
        <f t="shared" si="70"/>
        <v>0</v>
      </c>
      <c r="AL253" s="46">
        <f t="shared" si="71"/>
        <v>0</v>
      </c>
      <c r="AM253" s="46">
        <f t="shared" si="71"/>
        <v>0.18</v>
      </c>
      <c r="AN253" s="81">
        <f>IFERROR(INDEX(FeeCalc!P:P,MATCH(C253,FeeCalc!F:F,0)),0)</f>
        <v>11187.806909322973</v>
      </c>
      <c r="AO253" s="81">
        <f>IFERROR(INDEX(FeeCalc!S:S,MATCH(C253,FeeCalc!F:F,0)),0)</f>
        <v>685.08808647189778</v>
      </c>
      <c r="AP253" s="81">
        <f t="shared" si="72"/>
        <v>11872.894995794872</v>
      </c>
      <c r="AQ253" s="68">
        <f t="shared" si="73"/>
        <v>4672.6015713850638</v>
      </c>
      <c r="AR253" s="68">
        <f>INDEX('IGT Commitment Suggestions'!H:H,MATCH(G253,'IGT Commitment Suggestions'!A:A,0))*AQ253</f>
        <v>2289.8721843455082</v>
      </c>
    </row>
    <row r="254" spans="1:44" ht="25.5">
      <c r="A254" s="103" t="s">
        <v>1330</v>
      </c>
      <c r="B254" s="123" t="s">
        <v>1330</v>
      </c>
      <c r="C254" s="30" t="s">
        <v>1331</v>
      </c>
      <c r="D254" s="124" t="s">
        <v>1331</v>
      </c>
      <c r="E254" s="119" t="s">
        <v>2387</v>
      </c>
      <c r="F254" s="99" t="s">
        <v>2544</v>
      </c>
      <c r="G254" s="99" t="s">
        <v>1514</v>
      </c>
      <c r="H254" s="42" t="str">
        <f t="shared" si="59"/>
        <v>Non-state-owned IMD Hidalgo</v>
      </c>
      <c r="I254" s="44">
        <f>INDEX(FeeCalc!M:M,MATCH(C:C,FeeCalc!F:F,0))</f>
        <v>2563439.2429037536</v>
      </c>
      <c r="J254" s="44">
        <f>INDEX(FeeCalc!L:L,MATCH(C:C,FeeCalc!F:F,0))</f>
        <v>0</v>
      </c>
      <c r="K254" s="44">
        <f t="shared" si="60"/>
        <v>2563439.2429037536</v>
      </c>
      <c r="L254" s="44">
        <v>323863.51</v>
      </c>
      <c r="M254" s="44">
        <v>0</v>
      </c>
      <c r="N254" s="44">
        <f t="shared" si="61"/>
        <v>323863.51</v>
      </c>
      <c r="O254" s="44">
        <v>338881.61818076274</v>
      </c>
      <c r="P254" s="44">
        <v>0</v>
      </c>
      <c r="Q254" s="44">
        <f t="shared" si="62"/>
        <v>338881.61818076274</v>
      </c>
      <c r="R254" s="44" t="str">
        <f t="shared" si="63"/>
        <v>Yes</v>
      </c>
      <c r="S254" s="45" t="str">
        <f t="shared" si="63"/>
        <v>No</v>
      </c>
      <c r="T254" s="46">
        <f>ROUND(INDEX(Summary!H:H,MATCH(H:H,Summary!A:A,0)),2)</f>
        <v>0.13</v>
      </c>
      <c r="U254" s="46">
        <f>ROUND(INDEX(Summary!I:I,MATCH(H:H,Summary!A:A,0)),2)</f>
        <v>0</v>
      </c>
      <c r="V254" s="79">
        <f t="shared" si="64"/>
        <v>333247.10157748801</v>
      </c>
      <c r="W254" s="79">
        <f t="shared" si="64"/>
        <v>0</v>
      </c>
      <c r="X254" s="44">
        <f t="shared" si="65"/>
        <v>333247.10157748801</v>
      </c>
      <c r="Y254" s="44" t="s">
        <v>2765</v>
      </c>
      <c r="Z254" s="44" t="str">
        <f t="shared" si="66"/>
        <v>No</v>
      </c>
      <c r="AA254" s="44" t="str">
        <f t="shared" si="66"/>
        <v>No</v>
      </c>
      <c r="AB254" s="44" t="str">
        <f t="shared" si="67"/>
        <v>No</v>
      </c>
      <c r="AC254" s="80">
        <f t="shared" si="74"/>
        <v>0</v>
      </c>
      <c r="AD254" s="80">
        <f t="shared" si="75"/>
        <v>0</v>
      </c>
      <c r="AE254" s="44">
        <f t="shared" si="68"/>
        <v>0</v>
      </c>
      <c r="AF254" s="44">
        <f t="shared" si="68"/>
        <v>0</v>
      </c>
      <c r="AG254" s="44">
        <f t="shared" si="69"/>
        <v>0</v>
      </c>
      <c r="AH254" s="46">
        <f>IF(Y254="No",0,IFERROR(ROUNDDOWN(INDEX('90% of ACR'!K:K,MATCH(H:H,'90% of ACR'!A:A,0))*IF(I254&gt;0,IF(O254&gt;0,$R$4*MAX(O254-V254,0),0),0)/I254,2),0))</f>
        <v>0</v>
      </c>
      <c r="AI254" s="80">
        <f>IF(Y254="No",0,IFERROR(ROUNDDOWN(INDEX('90% of ACR'!R:R,MATCH(H:H,'90% of ACR'!A:A,0))*IF(J254&gt;0,IF(P254&gt;0,$R$4*MAX(P254-W254,0),0),0)/J254,2),0))</f>
        <v>0</v>
      </c>
      <c r="AJ254" s="44">
        <f t="shared" si="70"/>
        <v>0</v>
      </c>
      <c r="AK254" s="44">
        <f t="shared" si="70"/>
        <v>0</v>
      </c>
      <c r="AL254" s="46">
        <f t="shared" si="71"/>
        <v>0.13</v>
      </c>
      <c r="AM254" s="46">
        <f t="shared" si="71"/>
        <v>0</v>
      </c>
      <c r="AN254" s="81">
        <f>IFERROR(INDEX(FeeCalc!P:P,MATCH(C254,FeeCalc!F:F,0)),0)</f>
        <v>333247.10157748801</v>
      </c>
      <c r="AO254" s="81">
        <f>IFERROR(INDEX(FeeCalc!S:S,MATCH(C254,FeeCalc!F:F,0)),0)</f>
        <v>20330.725029926325</v>
      </c>
      <c r="AP254" s="81">
        <f t="shared" si="72"/>
        <v>353577.82660741435</v>
      </c>
      <c r="AQ254" s="68">
        <f t="shared" si="73"/>
        <v>139151.26081700114</v>
      </c>
      <c r="AR254" s="68">
        <f>INDEX('IGT Commitment Suggestions'!H:H,MATCH(G254,'IGT Commitment Suggestions'!A:A,0))*AQ254</f>
        <v>63710.759511172917</v>
      </c>
    </row>
    <row r="255" spans="1:44" ht="25.5">
      <c r="A255" s="103" t="s">
        <v>2973</v>
      </c>
      <c r="B255" s="123" t="s">
        <v>2973</v>
      </c>
      <c r="C255" s="30" t="s">
        <v>2968</v>
      </c>
      <c r="D255" s="124" t="s">
        <v>2968</v>
      </c>
      <c r="E255" s="119" t="s">
        <v>2889</v>
      </c>
      <c r="F255" s="99" t="s">
        <v>2544</v>
      </c>
      <c r="G255" s="99" t="s">
        <v>1486</v>
      </c>
      <c r="H255" s="42" t="str">
        <f t="shared" si="59"/>
        <v>Non-state-owned IMD MRSA Central</v>
      </c>
      <c r="I255" s="44">
        <f>INDEX(FeeCalc!M:M,MATCH(C:C,FeeCalc!F:F,0))</f>
        <v>0</v>
      </c>
      <c r="J255" s="44">
        <f>INDEX(FeeCalc!L:L,MATCH(C:C,FeeCalc!F:F,0))</f>
        <v>0</v>
      </c>
      <c r="K255" s="44">
        <f t="shared" si="60"/>
        <v>0</v>
      </c>
      <c r="L255" s="44">
        <v>0</v>
      </c>
      <c r="M255" s="44">
        <v>0</v>
      </c>
      <c r="N255" s="44">
        <f t="shared" si="61"/>
        <v>0</v>
      </c>
      <c r="O255" s="44">
        <v>0</v>
      </c>
      <c r="P255" s="44">
        <v>0</v>
      </c>
      <c r="Q255" s="44">
        <f t="shared" si="62"/>
        <v>0</v>
      </c>
      <c r="R255" s="44" t="str">
        <f t="shared" si="63"/>
        <v>No</v>
      </c>
      <c r="S255" s="45" t="str">
        <f t="shared" si="63"/>
        <v>No</v>
      </c>
      <c r="T255" s="46">
        <f>ROUND(INDEX(Summary!H:H,MATCH(H:H,Summary!A:A,0)),2)</f>
        <v>0.55000000000000004</v>
      </c>
      <c r="U255" s="46">
        <f>ROUND(INDEX(Summary!I:I,MATCH(H:H,Summary!A:A,0)),2)</f>
        <v>0</v>
      </c>
      <c r="V255" s="79">
        <f t="shared" si="64"/>
        <v>0</v>
      </c>
      <c r="W255" s="79">
        <f t="shared" si="64"/>
        <v>0</v>
      </c>
      <c r="X255" s="44">
        <f t="shared" si="65"/>
        <v>0</v>
      </c>
      <c r="Y255" s="44" t="s">
        <v>2765</v>
      </c>
      <c r="Z255" s="44" t="str">
        <f t="shared" si="66"/>
        <v>No</v>
      </c>
      <c r="AA255" s="44" t="str">
        <f t="shared" si="66"/>
        <v>No</v>
      </c>
      <c r="AB255" s="44" t="str">
        <f t="shared" si="67"/>
        <v>No</v>
      </c>
      <c r="AC255" s="80">
        <f t="shared" si="74"/>
        <v>0</v>
      </c>
      <c r="AD255" s="80">
        <f t="shared" si="75"/>
        <v>0</v>
      </c>
      <c r="AE255" s="44">
        <f t="shared" si="68"/>
        <v>0</v>
      </c>
      <c r="AF255" s="44">
        <f t="shared" si="68"/>
        <v>0</v>
      </c>
      <c r="AG255" s="44">
        <f t="shared" si="69"/>
        <v>0</v>
      </c>
      <c r="AH255" s="46">
        <f>IF(Y255="No",0,IFERROR(ROUNDDOWN(INDEX('90% of ACR'!K:K,MATCH(H:H,'90% of ACR'!A:A,0))*IF(I255&gt;0,IF(O255&gt;0,$R$4*MAX(O255-V255,0),0),0)/I255,2),0))</f>
        <v>0</v>
      </c>
      <c r="AI255" s="80">
        <f>IF(Y255="No",0,IFERROR(ROUNDDOWN(INDEX('90% of ACR'!R:R,MATCH(H:H,'90% of ACR'!A:A,0))*IF(J255&gt;0,IF(P255&gt;0,$R$4*MAX(P255-W255,0),0),0)/J255,2),0))</f>
        <v>0</v>
      </c>
      <c r="AJ255" s="44">
        <f t="shared" si="70"/>
        <v>0</v>
      </c>
      <c r="AK255" s="44">
        <f t="shared" si="70"/>
        <v>0</v>
      </c>
      <c r="AL255" s="46">
        <f t="shared" si="71"/>
        <v>0.55000000000000004</v>
      </c>
      <c r="AM255" s="46">
        <f t="shared" si="71"/>
        <v>0</v>
      </c>
      <c r="AN255" s="81">
        <f>IFERROR(INDEX(FeeCalc!P:P,MATCH(C255,FeeCalc!F:F,0)),0)</f>
        <v>0</v>
      </c>
      <c r="AO255" s="81">
        <f>IFERROR(INDEX(FeeCalc!S:S,MATCH(C255,FeeCalc!F:F,0)),0)</f>
        <v>0</v>
      </c>
      <c r="AP255" s="81">
        <f t="shared" si="72"/>
        <v>0</v>
      </c>
      <c r="AQ255" s="68">
        <f t="shared" si="73"/>
        <v>0</v>
      </c>
      <c r="AR255" s="68">
        <f>INDEX('IGT Commitment Suggestions'!H:H,MATCH(G255,'IGT Commitment Suggestions'!A:A,0))*AQ255</f>
        <v>0</v>
      </c>
    </row>
    <row r="256" spans="1:44">
      <c r="A256" s="103" t="s">
        <v>1162</v>
      </c>
      <c r="B256" s="123" t="s">
        <v>1162</v>
      </c>
      <c r="C256" s="30" t="s">
        <v>1163</v>
      </c>
      <c r="D256" s="124" t="s">
        <v>1163</v>
      </c>
      <c r="E256" s="119" t="s">
        <v>2674</v>
      </c>
      <c r="F256" s="99" t="s">
        <v>2283</v>
      </c>
      <c r="G256" s="99" t="s">
        <v>227</v>
      </c>
      <c r="H256" s="42" t="str">
        <f t="shared" si="59"/>
        <v>Urban MRSA West</v>
      </c>
      <c r="I256" s="44">
        <f>INDEX(FeeCalc!M:M,MATCH(C:C,FeeCalc!F:F,0))</f>
        <v>10966223.674966501</v>
      </c>
      <c r="J256" s="44">
        <f>INDEX(FeeCalc!L:L,MATCH(C:C,FeeCalc!F:F,0))</f>
        <v>4630100.360492466</v>
      </c>
      <c r="K256" s="44">
        <f t="shared" si="60"/>
        <v>15596324.035458967</v>
      </c>
      <c r="L256" s="44">
        <v>6206413.8099999996</v>
      </c>
      <c r="M256" s="44">
        <v>3690259.68</v>
      </c>
      <c r="N256" s="44">
        <f t="shared" si="61"/>
        <v>9896673.4900000002</v>
      </c>
      <c r="O256" s="44">
        <v>8498503.9211077057</v>
      </c>
      <c r="P256" s="44">
        <v>3931233.6183083286</v>
      </c>
      <c r="Q256" s="44">
        <f t="shared" si="62"/>
        <v>12429737.539416034</v>
      </c>
      <c r="R256" s="44" t="str">
        <f t="shared" si="63"/>
        <v>Yes</v>
      </c>
      <c r="S256" s="45" t="str">
        <f t="shared" si="63"/>
        <v>Yes</v>
      </c>
      <c r="T256" s="46">
        <f>ROUND(INDEX(Summary!H:H,MATCH(H:H,Summary!A:A,0)),2)</f>
        <v>0.33</v>
      </c>
      <c r="U256" s="46">
        <f>ROUND(INDEX(Summary!I:I,MATCH(H:H,Summary!A:A,0)),2)</f>
        <v>0.85</v>
      </c>
      <c r="V256" s="79">
        <f t="shared" si="64"/>
        <v>3618853.8127389457</v>
      </c>
      <c r="W256" s="79">
        <f t="shared" si="64"/>
        <v>3935585.3064185958</v>
      </c>
      <c r="X256" s="44">
        <f t="shared" si="65"/>
        <v>7554439.1191575415</v>
      </c>
      <c r="Y256" s="44" t="s">
        <v>2765</v>
      </c>
      <c r="Z256" s="44" t="str">
        <f t="shared" si="66"/>
        <v>Yes</v>
      </c>
      <c r="AA256" s="44" t="str">
        <f t="shared" si="66"/>
        <v>No</v>
      </c>
      <c r="AB256" s="44" t="str">
        <f t="shared" si="67"/>
        <v>Yes</v>
      </c>
      <c r="AC256" s="80">
        <f t="shared" si="74"/>
        <v>0.31</v>
      </c>
      <c r="AD256" s="80">
        <f t="shared" si="75"/>
        <v>0</v>
      </c>
      <c r="AE256" s="44">
        <f t="shared" si="68"/>
        <v>3399529.3392396155</v>
      </c>
      <c r="AF256" s="44">
        <f t="shared" si="68"/>
        <v>0</v>
      </c>
      <c r="AG256" s="44">
        <f t="shared" si="69"/>
        <v>3399529.3392396155</v>
      </c>
      <c r="AH256" s="46">
        <f>IF(Y256="No",0,IFERROR(ROUNDDOWN(INDEX('90% of ACR'!K:K,MATCH(H:H,'90% of ACR'!A:A,0))*IF(I256&gt;0,IF(O256&gt;0,$R$4*MAX(O256-V256,0),0),0)/I256,2),0))</f>
        <v>0.3</v>
      </c>
      <c r="AI256" s="80">
        <f>IF(Y256="No",0,IFERROR(ROUNDDOWN(INDEX('90% of ACR'!R:R,MATCH(H:H,'90% of ACR'!A:A,0))*IF(J256&gt;0,IF(P256&gt;0,$R$4*MAX(P256-W256,0),0),0)/J256,2),0))</f>
        <v>0</v>
      </c>
      <c r="AJ256" s="44">
        <f t="shared" si="70"/>
        <v>3289867.1024899501</v>
      </c>
      <c r="AK256" s="44">
        <f t="shared" si="70"/>
        <v>0</v>
      </c>
      <c r="AL256" s="46">
        <f t="shared" si="71"/>
        <v>0.63</v>
      </c>
      <c r="AM256" s="46">
        <f t="shared" si="71"/>
        <v>0.85</v>
      </c>
      <c r="AN256" s="81">
        <f>IFERROR(INDEX(FeeCalc!P:P,MATCH(C256,FeeCalc!F:F,0)),0)</f>
        <v>10844306.221647492</v>
      </c>
      <c r="AO256" s="81">
        <f>IFERROR(INDEX(FeeCalc!S:S,MATCH(C256,FeeCalc!F:F,0)),0)</f>
        <v>669577.87914614356</v>
      </c>
      <c r="AP256" s="81">
        <f t="shared" si="72"/>
        <v>11513884.100793635</v>
      </c>
      <c r="AQ256" s="68">
        <f t="shared" si="73"/>
        <v>4531312.1156355366</v>
      </c>
      <c r="AR256" s="68">
        <f>INDEX('IGT Commitment Suggestions'!H:H,MATCH(G256,'IGT Commitment Suggestions'!A:A,0))*AQ256</f>
        <v>2220631.3578552976</v>
      </c>
    </row>
    <row r="257" spans="1:44" ht="25.5">
      <c r="A257" s="103" t="s">
        <v>2305</v>
      </c>
      <c r="B257" s="123" t="s">
        <v>2305</v>
      </c>
      <c r="C257" s="30" t="s">
        <v>2306</v>
      </c>
      <c r="D257" s="124" t="s">
        <v>2306</v>
      </c>
      <c r="E257" s="119" t="s">
        <v>2699</v>
      </c>
      <c r="F257" s="99" t="s">
        <v>2964</v>
      </c>
      <c r="G257" s="99" t="s">
        <v>1202</v>
      </c>
      <c r="H257" s="42" t="str">
        <f t="shared" si="59"/>
        <v>State-owned IMD Travis</v>
      </c>
      <c r="I257" s="44">
        <f>INDEX(FeeCalc!M:M,MATCH(C:C,FeeCalc!F:F,0))</f>
        <v>137454.67531284908</v>
      </c>
      <c r="J257" s="44">
        <f>INDEX(FeeCalc!L:L,MATCH(C:C,FeeCalc!F:F,0))</f>
        <v>0</v>
      </c>
      <c r="K257" s="44">
        <f t="shared" si="60"/>
        <v>137454.67531284908</v>
      </c>
      <c r="L257" s="44">
        <v>350612</v>
      </c>
      <c r="M257" s="44">
        <v>0</v>
      </c>
      <c r="N257" s="44">
        <f t="shared" si="61"/>
        <v>350612</v>
      </c>
      <c r="O257" s="44">
        <v>-349934.48</v>
      </c>
      <c r="P257" s="44">
        <v>0</v>
      </c>
      <c r="Q257" s="44">
        <f t="shared" si="62"/>
        <v>-349934.48</v>
      </c>
      <c r="R257" s="44" t="str">
        <f t="shared" si="63"/>
        <v>No</v>
      </c>
      <c r="S257" s="45" t="str">
        <f t="shared" si="63"/>
        <v>No</v>
      </c>
      <c r="T257" s="46">
        <f>ROUND(INDEX(Summary!H:H,MATCH(H:H,Summary!A:A,0)),2)</f>
        <v>2.5499999999999998</v>
      </c>
      <c r="U257" s="46">
        <f>ROUND(INDEX(Summary!I:I,MATCH(H:H,Summary!A:A,0)),2)</f>
        <v>0</v>
      </c>
      <c r="V257" s="79">
        <f t="shared" si="64"/>
        <v>350509.42204776511</v>
      </c>
      <c r="W257" s="79">
        <f t="shared" si="64"/>
        <v>0</v>
      </c>
      <c r="X257" s="44">
        <f t="shared" si="65"/>
        <v>350509.42204776511</v>
      </c>
      <c r="Y257" s="44" t="s">
        <v>2765</v>
      </c>
      <c r="Z257" s="44" t="str">
        <f t="shared" si="66"/>
        <v>No</v>
      </c>
      <c r="AA257" s="44" t="str">
        <f t="shared" si="66"/>
        <v>No</v>
      </c>
      <c r="AB257" s="44" t="str">
        <f t="shared" si="67"/>
        <v>No</v>
      </c>
      <c r="AC257" s="80">
        <f t="shared" si="74"/>
        <v>0</v>
      </c>
      <c r="AD257" s="80">
        <f t="shared" si="75"/>
        <v>0</v>
      </c>
      <c r="AE257" s="44">
        <f t="shared" si="68"/>
        <v>0</v>
      </c>
      <c r="AF257" s="44">
        <f t="shared" si="68"/>
        <v>0</v>
      </c>
      <c r="AG257" s="44">
        <f t="shared" si="69"/>
        <v>0</v>
      </c>
      <c r="AH257" s="46">
        <f>IF(Y257="No",0,IFERROR(ROUNDDOWN(INDEX('90% of ACR'!K:K,MATCH(H:H,'90% of ACR'!A:A,0))*IF(I257&gt;0,IF(O257&gt;0,$R$4*MAX(O257-V257,0),0),0)/I257,2),0))</f>
        <v>0</v>
      </c>
      <c r="AI257" s="80">
        <f>IF(Y257="No",0,IFERROR(ROUNDDOWN(INDEX('90% of ACR'!R:R,MATCH(H:H,'90% of ACR'!A:A,0))*IF(J257&gt;0,IF(P257&gt;0,$R$4*MAX(P257-W257,0),0),0)/J257,2),0))</f>
        <v>0</v>
      </c>
      <c r="AJ257" s="44">
        <f t="shared" si="70"/>
        <v>0</v>
      </c>
      <c r="AK257" s="44">
        <f t="shared" si="70"/>
        <v>0</v>
      </c>
      <c r="AL257" s="46">
        <f t="shared" si="71"/>
        <v>2.5499999999999998</v>
      </c>
      <c r="AM257" s="46">
        <f t="shared" si="71"/>
        <v>0</v>
      </c>
      <c r="AN257" s="81">
        <f>IFERROR(INDEX(FeeCalc!P:P,MATCH(C257,FeeCalc!F:F,0)),0)</f>
        <v>350509.42204776511</v>
      </c>
      <c r="AO257" s="81">
        <f>IFERROR(INDEX(FeeCalc!S:S,MATCH(C257,FeeCalc!F:F,0)),0)</f>
        <v>21383.863944558616</v>
      </c>
      <c r="AP257" s="81">
        <f t="shared" si="72"/>
        <v>371893.28599232371</v>
      </c>
      <c r="AQ257" s="68">
        <f t="shared" si="73"/>
        <v>146359.34648885098</v>
      </c>
      <c r="AR257" s="68">
        <f>INDEX('IGT Commitment Suggestions'!H:H,MATCH(G257,'IGT Commitment Suggestions'!A:A,0))*AQ257</f>
        <v>67248.330747849031</v>
      </c>
    </row>
    <row r="258" spans="1:44">
      <c r="A258" s="103" t="s">
        <v>1749</v>
      </c>
      <c r="B258" s="123" t="s">
        <v>1749</v>
      </c>
      <c r="C258" s="30" t="s">
        <v>1748</v>
      </c>
      <c r="D258" s="124" t="s">
        <v>1748</v>
      </c>
      <c r="E258" s="119" t="s">
        <v>2706</v>
      </c>
      <c r="F258" s="99" t="s">
        <v>2295</v>
      </c>
      <c r="G258" s="99" t="s">
        <v>227</v>
      </c>
      <c r="H258" s="42" t="str">
        <f t="shared" si="59"/>
        <v>Rural MRSA West</v>
      </c>
      <c r="I258" s="44">
        <f>INDEX(FeeCalc!M:M,MATCH(C:C,FeeCalc!F:F,0))</f>
        <v>73824.627325196736</v>
      </c>
      <c r="J258" s="44">
        <f>INDEX(FeeCalc!L:L,MATCH(C:C,FeeCalc!F:F,0))</f>
        <v>2424.1290032266625</v>
      </c>
      <c r="K258" s="44">
        <f t="shared" si="60"/>
        <v>76248.756328423391</v>
      </c>
      <c r="L258" s="44">
        <v>0</v>
      </c>
      <c r="M258" s="44">
        <v>6669.06</v>
      </c>
      <c r="N258" s="44">
        <f t="shared" si="61"/>
        <v>6669.06</v>
      </c>
      <c r="O258" s="44">
        <v>0</v>
      </c>
      <c r="P258" s="44">
        <v>9713.5871508389173</v>
      </c>
      <c r="Q258" s="44">
        <f t="shared" si="62"/>
        <v>9713.5871508389173</v>
      </c>
      <c r="R258" s="44" t="str">
        <f t="shared" si="63"/>
        <v>No</v>
      </c>
      <c r="S258" s="45" t="str">
        <f t="shared" si="63"/>
        <v>Yes</v>
      </c>
      <c r="T258" s="46">
        <f>ROUND(INDEX(Summary!H:H,MATCH(H:H,Summary!A:A,0)),2)</f>
        <v>0</v>
      </c>
      <c r="U258" s="46">
        <f>ROUND(INDEX(Summary!I:I,MATCH(H:H,Summary!A:A,0)),2)</f>
        <v>0.18</v>
      </c>
      <c r="V258" s="79">
        <f t="shared" si="64"/>
        <v>0</v>
      </c>
      <c r="W258" s="79">
        <f t="shared" si="64"/>
        <v>436.34322058079925</v>
      </c>
      <c r="X258" s="44">
        <f t="shared" si="65"/>
        <v>436.34322058079925</v>
      </c>
      <c r="Y258" s="44" t="s">
        <v>2765</v>
      </c>
      <c r="Z258" s="44" t="str">
        <f t="shared" si="66"/>
        <v>No</v>
      </c>
      <c r="AA258" s="44" t="str">
        <f t="shared" si="66"/>
        <v>Yes</v>
      </c>
      <c r="AB258" s="44" t="str">
        <f t="shared" si="67"/>
        <v>Yes</v>
      </c>
      <c r="AC258" s="80">
        <f t="shared" si="74"/>
        <v>0</v>
      </c>
      <c r="AD258" s="80">
        <f t="shared" si="75"/>
        <v>2.67</v>
      </c>
      <c r="AE258" s="44">
        <f t="shared" si="68"/>
        <v>0</v>
      </c>
      <c r="AF258" s="44">
        <f t="shared" si="68"/>
        <v>6472.4244386151886</v>
      </c>
      <c r="AG258" s="44">
        <f t="shared" si="69"/>
        <v>6472.4244386151886</v>
      </c>
      <c r="AH258" s="46">
        <f>IF(Y258="No",0,IFERROR(ROUNDDOWN(INDEX('90% of ACR'!K:K,MATCH(H:H,'90% of ACR'!A:A,0))*IF(I258&gt;0,IF(O258&gt;0,$R$4*MAX(O258-V258,0),0),0)/I258,2),0))</f>
        <v>0</v>
      </c>
      <c r="AI258" s="80">
        <f>IF(Y258="No",0,IFERROR(ROUNDDOWN(INDEX('90% of ACR'!R:R,MATCH(H:H,'90% of ACR'!A:A,0))*IF(J258&gt;0,IF(P258&gt;0,$R$4*MAX(P258-W258,0),0),0)/J258,2),0))</f>
        <v>2.61</v>
      </c>
      <c r="AJ258" s="44">
        <f t="shared" si="70"/>
        <v>0</v>
      </c>
      <c r="AK258" s="44">
        <f t="shared" si="70"/>
        <v>6326.9766984215885</v>
      </c>
      <c r="AL258" s="46">
        <f t="shared" si="71"/>
        <v>0</v>
      </c>
      <c r="AM258" s="46">
        <f t="shared" si="71"/>
        <v>2.79</v>
      </c>
      <c r="AN258" s="81">
        <f>IFERROR(INDEX(FeeCalc!P:P,MATCH(C258,FeeCalc!F:F,0)),0)</f>
        <v>6763.3199190023879</v>
      </c>
      <c r="AO258" s="81">
        <f>IFERROR(INDEX(FeeCalc!S:S,MATCH(C258,FeeCalc!F:F,0)),0)</f>
        <v>431.70127142568441</v>
      </c>
      <c r="AP258" s="81">
        <f t="shared" si="72"/>
        <v>7195.0211904280723</v>
      </c>
      <c r="AQ258" s="68">
        <f t="shared" si="73"/>
        <v>2831.614979535349</v>
      </c>
      <c r="AR258" s="68">
        <f>INDEX('IGT Commitment Suggestions'!H:H,MATCH(G258,'IGT Commitment Suggestions'!A:A,0))*AQ258</f>
        <v>1387.6715742515271</v>
      </c>
    </row>
    <row r="259" spans="1:44">
      <c r="A259" s="103" t="s">
        <v>512</v>
      </c>
      <c r="B259" s="123" t="s">
        <v>512</v>
      </c>
      <c r="C259" s="30" t="s">
        <v>513</v>
      </c>
      <c r="D259" s="124" t="s">
        <v>513</v>
      </c>
      <c r="E259" s="119" t="s">
        <v>2698</v>
      </c>
      <c r="F259" s="99" t="s">
        <v>2295</v>
      </c>
      <c r="G259" s="99" t="s">
        <v>227</v>
      </c>
      <c r="H259" s="42" t="str">
        <f t="shared" si="59"/>
        <v>Rural MRSA West</v>
      </c>
      <c r="I259" s="44">
        <f>INDEX(FeeCalc!M:M,MATCH(C:C,FeeCalc!F:F,0))</f>
        <v>341711.50161524036</v>
      </c>
      <c r="J259" s="44">
        <f>INDEX(FeeCalc!L:L,MATCH(C:C,FeeCalc!F:F,0))</f>
        <v>269008.16009532008</v>
      </c>
      <c r="K259" s="44">
        <f t="shared" si="60"/>
        <v>610719.66171056044</v>
      </c>
      <c r="L259" s="44">
        <v>97404.14</v>
      </c>
      <c r="M259" s="44">
        <v>54595.85</v>
      </c>
      <c r="N259" s="44">
        <f t="shared" si="61"/>
        <v>151999.99</v>
      </c>
      <c r="O259" s="44">
        <v>37003.776263498905</v>
      </c>
      <c r="P259" s="44">
        <v>61529.440759578356</v>
      </c>
      <c r="Q259" s="44">
        <f t="shared" si="62"/>
        <v>98533.217023077261</v>
      </c>
      <c r="R259" s="44" t="str">
        <f t="shared" si="63"/>
        <v>Yes</v>
      </c>
      <c r="S259" s="45" t="str">
        <f t="shared" si="63"/>
        <v>Yes</v>
      </c>
      <c r="T259" s="46">
        <f>ROUND(INDEX(Summary!H:H,MATCH(H:H,Summary!A:A,0)),2)</f>
        <v>0</v>
      </c>
      <c r="U259" s="46">
        <f>ROUND(INDEX(Summary!I:I,MATCH(H:H,Summary!A:A,0)),2)</f>
        <v>0.18</v>
      </c>
      <c r="V259" s="79">
        <f t="shared" si="64"/>
        <v>0</v>
      </c>
      <c r="W259" s="79">
        <f t="shared" si="64"/>
        <v>48421.468817157613</v>
      </c>
      <c r="X259" s="44">
        <f t="shared" si="65"/>
        <v>48421.468817157613</v>
      </c>
      <c r="Y259" s="44" t="s">
        <v>2765</v>
      </c>
      <c r="Z259" s="44" t="str">
        <f t="shared" si="66"/>
        <v>No</v>
      </c>
      <c r="AA259" s="44" t="str">
        <f t="shared" si="66"/>
        <v>Yes</v>
      </c>
      <c r="AB259" s="44" t="str">
        <f t="shared" si="67"/>
        <v>Yes</v>
      </c>
      <c r="AC259" s="80">
        <f t="shared" si="74"/>
        <v>0.08</v>
      </c>
      <c r="AD259" s="80">
        <f t="shared" si="75"/>
        <v>0.03</v>
      </c>
      <c r="AE259" s="44">
        <f t="shared" si="68"/>
        <v>27336.92012921923</v>
      </c>
      <c r="AF259" s="44">
        <f t="shared" si="68"/>
        <v>8070.2448028596018</v>
      </c>
      <c r="AG259" s="44">
        <f t="shared" si="69"/>
        <v>35407.164932078835</v>
      </c>
      <c r="AH259" s="46">
        <f>IF(Y259="No",0,IFERROR(ROUNDDOWN(INDEX('90% of ACR'!K:K,MATCH(H:H,'90% of ACR'!A:A,0))*IF(I259&gt;0,IF(O259&gt;0,$R$4*MAX(O259-V259,0),0),0)/I259,2),0))</f>
        <v>0</v>
      </c>
      <c r="AI259" s="80">
        <f>IF(Y259="No",0,IFERROR(ROUNDDOWN(INDEX('90% of ACR'!R:R,MATCH(H:H,'90% of ACR'!A:A,0))*IF(J259&gt;0,IF(P259&gt;0,$R$4*MAX(P259-W259,0),0),0)/J259,2),0))</f>
        <v>0.03</v>
      </c>
      <c r="AJ259" s="44">
        <f t="shared" si="70"/>
        <v>0</v>
      </c>
      <c r="AK259" s="44">
        <f t="shared" si="70"/>
        <v>8070.2448028596018</v>
      </c>
      <c r="AL259" s="46">
        <f t="shared" si="71"/>
        <v>0</v>
      </c>
      <c r="AM259" s="46">
        <f t="shared" si="71"/>
        <v>0.21</v>
      </c>
      <c r="AN259" s="81">
        <f>IFERROR(INDEX(FeeCalc!P:P,MATCH(C259,FeeCalc!F:F,0)),0)</f>
        <v>56491.713620017217</v>
      </c>
      <c r="AO259" s="81">
        <f>IFERROR(INDEX(FeeCalc!S:S,MATCH(C259,FeeCalc!F:F,0)),0)</f>
        <v>3468.6449431016326</v>
      </c>
      <c r="AP259" s="81">
        <f t="shared" si="72"/>
        <v>59960.358563118847</v>
      </c>
      <c r="AQ259" s="68">
        <f t="shared" si="73"/>
        <v>23597.519033232547</v>
      </c>
      <c r="AR259" s="68">
        <f>INDEX('IGT Commitment Suggestions'!H:H,MATCH(G259,'IGT Commitment Suggestions'!A:A,0))*AQ259</f>
        <v>11564.286324918912</v>
      </c>
    </row>
    <row r="260" spans="1:44">
      <c r="A260" s="103" t="s">
        <v>813</v>
      </c>
      <c r="B260" s="123" t="s">
        <v>813</v>
      </c>
      <c r="C260" s="30" t="s">
        <v>814</v>
      </c>
      <c r="D260" s="124" t="s">
        <v>814</v>
      </c>
      <c r="E260" s="119" t="s">
        <v>2343</v>
      </c>
      <c r="F260" s="99" t="s">
        <v>2295</v>
      </c>
      <c r="G260" s="99" t="s">
        <v>1526</v>
      </c>
      <c r="H260" s="42" t="str">
        <f t="shared" ref="H260:H323" si="76">CONCATENATE(F260," ",G260)</f>
        <v>Rural Lubbock</v>
      </c>
      <c r="I260" s="44">
        <f>INDEX(FeeCalc!M:M,MATCH(C:C,FeeCalc!F:F,0))</f>
        <v>18126.775809751358</v>
      </c>
      <c r="J260" s="44">
        <f>INDEX(FeeCalc!L:L,MATCH(C:C,FeeCalc!F:F,0))</f>
        <v>282409.69528268487</v>
      </c>
      <c r="K260" s="44">
        <f t="shared" ref="K260:K323" si="77">I260+J260</f>
        <v>300536.47109243623</v>
      </c>
      <c r="L260" s="44">
        <v>17747.71</v>
      </c>
      <c r="M260" s="44">
        <v>44728.5</v>
      </c>
      <c r="N260" s="44">
        <f t="shared" ref="N260:N323" si="78">+L260+M260</f>
        <v>62476.21</v>
      </c>
      <c r="O260" s="44">
        <v>4788.0588949385219</v>
      </c>
      <c r="P260" s="44">
        <v>64398.208981007047</v>
      </c>
      <c r="Q260" s="44">
        <f t="shared" ref="Q260:Q323" si="79">O260+P260</f>
        <v>69186.267875945574</v>
      </c>
      <c r="R260" s="44" t="str">
        <f t="shared" ref="R260:S323" si="80">IF(O260&gt;0,"Yes","No")</f>
        <v>Yes</v>
      </c>
      <c r="S260" s="45" t="str">
        <f t="shared" si="80"/>
        <v>Yes</v>
      </c>
      <c r="T260" s="46">
        <f>ROUND(INDEX(Summary!H:H,MATCH(H:H,Summary!A:A,0)),2)</f>
        <v>0.62</v>
      </c>
      <c r="U260" s="46">
        <f>ROUND(INDEX(Summary!I:I,MATCH(H:H,Summary!A:A,0)),2)</f>
        <v>0.2</v>
      </c>
      <c r="V260" s="79">
        <f t="shared" ref="V260:W323" si="81">+T260*I260</f>
        <v>11238.601002045842</v>
      </c>
      <c r="W260" s="79">
        <f t="shared" si="81"/>
        <v>56481.939056536976</v>
      </c>
      <c r="X260" s="44">
        <f t="shared" ref="X260:X323" si="82">+V260+W260</f>
        <v>67720.540058582817</v>
      </c>
      <c r="Y260" s="44" t="s">
        <v>2765</v>
      </c>
      <c r="Z260" s="44" t="str">
        <f t="shared" ref="Z260:AA323" si="83">IF(AJ260&gt;0,"Yes","No")</f>
        <v>No</v>
      </c>
      <c r="AA260" s="44" t="str">
        <f t="shared" si="83"/>
        <v>Yes</v>
      </c>
      <c r="AB260" s="44" t="str">
        <f t="shared" ref="AB260:AB323" si="84">IF(AG260&gt;0,"Yes","No")</f>
        <v>Yes</v>
      </c>
      <c r="AC260" s="80">
        <f t="shared" si="74"/>
        <v>0</v>
      </c>
      <c r="AD260" s="80">
        <f t="shared" si="75"/>
        <v>0.02</v>
      </c>
      <c r="AE260" s="44">
        <f t="shared" ref="AE260:AF323" si="85">AC260*I260</f>
        <v>0</v>
      </c>
      <c r="AF260" s="44">
        <f t="shared" si="85"/>
        <v>5648.1939056536976</v>
      </c>
      <c r="AG260" s="44">
        <f t="shared" ref="AG260:AG323" si="86">AE260+AF260</f>
        <v>5648.1939056536976</v>
      </c>
      <c r="AH260" s="46">
        <f>IF(Y260="No",0,IFERROR(ROUNDDOWN(INDEX('90% of ACR'!K:K,MATCH(H:H,'90% of ACR'!A:A,0))*IF(I260&gt;0,IF(O260&gt;0,$R$4*MAX(O260-V260,0),0),0)/I260,2),0))</f>
        <v>0</v>
      </c>
      <c r="AI260" s="80">
        <f>IF(Y260="No",0,IFERROR(ROUNDDOWN(INDEX('90% of ACR'!R:R,MATCH(H:H,'90% of ACR'!A:A,0))*IF(J260&gt;0,IF(P260&gt;0,$R$4*MAX(P260-W260,0),0),0)/J260,2),0))</f>
        <v>0.01</v>
      </c>
      <c r="AJ260" s="44">
        <f t="shared" ref="AJ260:AK323" si="87">I260*AH260</f>
        <v>0</v>
      </c>
      <c r="AK260" s="44">
        <f t="shared" si="87"/>
        <v>2824.0969528268488</v>
      </c>
      <c r="AL260" s="46">
        <f t="shared" ref="AL260:AM323" si="88">T260+AH260</f>
        <v>0.62</v>
      </c>
      <c r="AM260" s="46">
        <f t="shared" si="88"/>
        <v>0.21000000000000002</v>
      </c>
      <c r="AN260" s="81">
        <f>IFERROR(INDEX(FeeCalc!P:P,MATCH(C260,FeeCalc!F:F,0)),0)</f>
        <v>70544.637011409679</v>
      </c>
      <c r="AO260" s="81">
        <f>IFERROR(INDEX(FeeCalc!S:S,MATCH(C260,FeeCalc!F:F,0)),0)</f>
        <v>4367.9018025140767</v>
      </c>
      <c r="AP260" s="81">
        <f t="shared" ref="AP260:AP323" si="89">AN260+AO260</f>
        <v>74912.538813923762</v>
      </c>
      <c r="AQ260" s="68">
        <f t="shared" ref="AQ260:AQ323" si="90">$AQ$3*AP260*1.08</f>
        <v>29481.979475297328</v>
      </c>
      <c r="AR260" s="68">
        <f>INDEX('IGT Commitment Suggestions'!H:H,MATCH(G260,'IGT Commitment Suggestions'!A:A,0))*AQ260</f>
        <v>13501.467918876355</v>
      </c>
    </row>
    <row r="261" spans="1:44" ht="25.5">
      <c r="A261" s="103" t="s">
        <v>2307</v>
      </c>
      <c r="B261" s="123" t="s">
        <v>2307</v>
      </c>
      <c r="C261" s="30" t="s">
        <v>2308</v>
      </c>
      <c r="D261" s="124" t="s">
        <v>2308</v>
      </c>
      <c r="E261" s="119" t="s">
        <v>2701</v>
      </c>
      <c r="F261" s="99" t="s">
        <v>2964</v>
      </c>
      <c r="G261" s="99" t="s">
        <v>227</v>
      </c>
      <c r="H261" s="42" t="str">
        <f t="shared" si="76"/>
        <v>State-owned IMD MRSA West</v>
      </c>
      <c r="I261" s="44">
        <f>INDEX(FeeCalc!M:M,MATCH(C:C,FeeCalc!F:F,0))</f>
        <v>0</v>
      </c>
      <c r="J261" s="44">
        <f>INDEX(FeeCalc!L:L,MATCH(C:C,FeeCalc!F:F,0))</f>
        <v>0</v>
      </c>
      <c r="K261" s="44">
        <f t="shared" si="77"/>
        <v>0</v>
      </c>
      <c r="L261" s="44">
        <v>0</v>
      </c>
      <c r="M261" s="44">
        <v>0</v>
      </c>
      <c r="N261" s="44">
        <f t="shared" si="78"/>
        <v>0</v>
      </c>
      <c r="O261" s="44">
        <v>0</v>
      </c>
      <c r="P261" s="44">
        <v>0</v>
      </c>
      <c r="Q261" s="44">
        <f t="shared" si="79"/>
        <v>0</v>
      </c>
      <c r="R261" s="44" t="str">
        <f t="shared" si="80"/>
        <v>No</v>
      </c>
      <c r="S261" s="45" t="str">
        <f t="shared" si="80"/>
        <v>No</v>
      </c>
      <c r="T261" s="46">
        <f>ROUND(INDEX(Summary!H:H,MATCH(H:H,Summary!A:A,0)),2)</f>
        <v>0.4</v>
      </c>
      <c r="U261" s="46">
        <f>ROUND(INDEX(Summary!I:I,MATCH(H:H,Summary!A:A,0)),2)</f>
        <v>0</v>
      </c>
      <c r="V261" s="79">
        <f t="shared" si="81"/>
        <v>0</v>
      </c>
      <c r="W261" s="79">
        <f t="shared" si="81"/>
        <v>0</v>
      </c>
      <c r="X261" s="44">
        <f t="shared" si="82"/>
        <v>0</v>
      </c>
      <c r="Y261" s="44" t="s">
        <v>2765</v>
      </c>
      <c r="Z261" s="44" t="str">
        <f t="shared" si="83"/>
        <v>No</v>
      </c>
      <c r="AA261" s="44" t="str">
        <f t="shared" si="83"/>
        <v>No</v>
      </c>
      <c r="AB261" s="44" t="str">
        <f t="shared" si="84"/>
        <v>No</v>
      </c>
      <c r="AC261" s="80">
        <f t="shared" si="74"/>
        <v>0</v>
      </c>
      <c r="AD261" s="80">
        <f t="shared" si="75"/>
        <v>0</v>
      </c>
      <c r="AE261" s="44">
        <f t="shared" si="85"/>
        <v>0</v>
      </c>
      <c r="AF261" s="44">
        <f t="shared" si="85"/>
        <v>0</v>
      </c>
      <c r="AG261" s="44">
        <f t="shared" si="86"/>
        <v>0</v>
      </c>
      <c r="AH261" s="46">
        <f>IF(Y261="No",0,IFERROR(ROUNDDOWN(INDEX('90% of ACR'!K:K,MATCH(H:H,'90% of ACR'!A:A,0))*IF(I261&gt;0,IF(O261&gt;0,$R$4*MAX(O261-V261,0),0),0)/I261,2),0))</f>
        <v>0</v>
      </c>
      <c r="AI261" s="80">
        <f>IF(Y261="No",0,IFERROR(ROUNDDOWN(INDEX('90% of ACR'!R:R,MATCH(H:H,'90% of ACR'!A:A,0))*IF(J261&gt;0,IF(P261&gt;0,$R$4*MAX(P261-W261,0),0),0)/J261,2),0))</f>
        <v>0</v>
      </c>
      <c r="AJ261" s="44">
        <f t="shared" si="87"/>
        <v>0</v>
      </c>
      <c r="AK261" s="44">
        <f t="shared" si="87"/>
        <v>0</v>
      </c>
      <c r="AL261" s="46">
        <f t="shared" si="88"/>
        <v>0.4</v>
      </c>
      <c r="AM261" s="46">
        <f t="shared" si="88"/>
        <v>0</v>
      </c>
      <c r="AN261" s="81">
        <f>IFERROR(INDEX(FeeCalc!P:P,MATCH(C261,FeeCalc!F:F,0)),0)</f>
        <v>0</v>
      </c>
      <c r="AO261" s="81">
        <f>IFERROR(INDEX(FeeCalc!S:S,MATCH(C261,FeeCalc!F:F,0)),0)</f>
        <v>0</v>
      </c>
      <c r="AP261" s="81">
        <f t="shared" si="89"/>
        <v>0</v>
      </c>
      <c r="AQ261" s="68">
        <f t="shared" si="90"/>
        <v>0</v>
      </c>
      <c r="AR261" s="68">
        <f>INDEX('IGT Commitment Suggestions'!H:H,MATCH(G261,'IGT Commitment Suggestions'!A:A,0))*AQ261</f>
        <v>0</v>
      </c>
    </row>
    <row r="262" spans="1:44" ht="25.5">
      <c r="A262" s="103" t="s">
        <v>2318</v>
      </c>
      <c r="B262" s="123" t="s">
        <v>2318</v>
      </c>
      <c r="C262" s="30" t="s">
        <v>2319</v>
      </c>
      <c r="D262" s="124" t="s">
        <v>2319</v>
      </c>
      <c r="E262" s="119" t="s">
        <v>2712</v>
      </c>
      <c r="F262" s="99" t="s">
        <v>2964</v>
      </c>
      <c r="G262" s="99" t="s">
        <v>1189</v>
      </c>
      <c r="H262" s="42" t="str">
        <f t="shared" si="76"/>
        <v>State-owned IMD El Paso</v>
      </c>
      <c r="I262" s="44">
        <f>INDEX(FeeCalc!M:M,MATCH(C:C,FeeCalc!F:F,0))</f>
        <v>280548.32437879522</v>
      </c>
      <c r="J262" s="44">
        <f>INDEX(FeeCalc!L:L,MATCH(C:C,FeeCalc!F:F,0))</f>
        <v>0</v>
      </c>
      <c r="K262" s="44">
        <f t="shared" si="77"/>
        <v>280548.32437879522</v>
      </c>
      <c r="L262" s="44">
        <v>53210.38</v>
      </c>
      <c r="M262" s="44">
        <v>0</v>
      </c>
      <c r="N262" s="44">
        <f t="shared" si="78"/>
        <v>53210.38</v>
      </c>
      <c r="O262" s="44">
        <v>-108877.43439464344</v>
      </c>
      <c r="P262" s="44">
        <v>0</v>
      </c>
      <c r="Q262" s="44">
        <f t="shared" si="79"/>
        <v>-108877.43439464344</v>
      </c>
      <c r="R262" s="44" t="str">
        <f t="shared" si="80"/>
        <v>No</v>
      </c>
      <c r="S262" s="45" t="str">
        <f t="shared" si="80"/>
        <v>No</v>
      </c>
      <c r="T262" s="46">
        <f>ROUND(INDEX(Summary!H:H,MATCH(H:H,Summary!A:A,0)),2)</f>
        <v>0.19</v>
      </c>
      <c r="U262" s="46">
        <f>ROUND(INDEX(Summary!I:I,MATCH(H:H,Summary!A:A,0)),2)</f>
        <v>0</v>
      </c>
      <c r="V262" s="79">
        <f t="shared" si="81"/>
        <v>53304.181631971092</v>
      </c>
      <c r="W262" s="79">
        <f t="shared" si="81"/>
        <v>0</v>
      </c>
      <c r="X262" s="44">
        <f t="shared" si="82"/>
        <v>53304.181631971092</v>
      </c>
      <c r="Y262" s="44" t="s">
        <v>2765</v>
      </c>
      <c r="Z262" s="44" t="str">
        <f t="shared" si="83"/>
        <v>No</v>
      </c>
      <c r="AA262" s="44" t="str">
        <f t="shared" si="83"/>
        <v>No</v>
      </c>
      <c r="AB262" s="44" t="str">
        <f t="shared" si="84"/>
        <v>No</v>
      </c>
      <c r="AC262" s="80">
        <f t="shared" ref="AC262:AC325" si="91">IF(Y262="No",0,IFERROR(ROUND(IF(I262&gt;0,IF(O262&gt;0,$R$4*MAX(O262-V262,0),0),0)/I262,2),0))</f>
        <v>0</v>
      </c>
      <c r="AD262" s="80">
        <f t="shared" ref="AD262:AD325" si="92">IF(Y262="No",0,IFERROR(ROUND(IF(J262&gt;0,IF(P262&gt;0,$R$4*MAX(P262-W262,0),0),0)/J262,2),0))</f>
        <v>0</v>
      </c>
      <c r="AE262" s="44">
        <f t="shared" si="85"/>
        <v>0</v>
      </c>
      <c r="AF262" s="44">
        <f t="shared" si="85"/>
        <v>0</v>
      </c>
      <c r="AG262" s="44">
        <f t="shared" si="86"/>
        <v>0</v>
      </c>
      <c r="AH262" s="46">
        <f>IF(Y262="No",0,IFERROR(ROUNDDOWN(INDEX('90% of ACR'!K:K,MATCH(H:H,'90% of ACR'!A:A,0))*IF(I262&gt;0,IF(O262&gt;0,$R$4*MAX(O262-V262,0),0),0)/I262,2),0))</f>
        <v>0</v>
      </c>
      <c r="AI262" s="80">
        <f>IF(Y262="No",0,IFERROR(ROUNDDOWN(INDEX('90% of ACR'!R:R,MATCH(H:H,'90% of ACR'!A:A,0))*IF(J262&gt;0,IF(P262&gt;0,$R$4*MAX(P262-W262,0),0),0)/J262,2),0))</f>
        <v>0</v>
      </c>
      <c r="AJ262" s="44">
        <f t="shared" si="87"/>
        <v>0</v>
      </c>
      <c r="AK262" s="44">
        <f t="shared" si="87"/>
        <v>0</v>
      </c>
      <c r="AL262" s="46">
        <f t="shared" si="88"/>
        <v>0.19</v>
      </c>
      <c r="AM262" s="46">
        <f t="shared" si="88"/>
        <v>0</v>
      </c>
      <c r="AN262" s="81">
        <f>IFERROR(INDEX(FeeCalc!P:P,MATCH(C262,FeeCalc!F:F,0)),0)</f>
        <v>53304.181631971092</v>
      </c>
      <c r="AO262" s="81">
        <f>IFERROR(INDEX(FeeCalc!S:S,MATCH(C262,FeeCalc!F:F,0)),0)</f>
        <v>3251.9792507568577</v>
      </c>
      <c r="AP262" s="81">
        <f t="shared" si="89"/>
        <v>56556.160882727949</v>
      </c>
      <c r="AQ262" s="68">
        <f t="shared" si="90"/>
        <v>22257.79022771935</v>
      </c>
      <c r="AR262" s="68">
        <f>INDEX('IGT Commitment Suggestions'!H:H,MATCH(G262,'IGT Commitment Suggestions'!A:A,0))*AQ262</f>
        <v>10245.861121732923</v>
      </c>
    </row>
    <row r="263" spans="1:44" ht="25.5">
      <c r="A263" s="103" t="s">
        <v>1333</v>
      </c>
      <c r="B263" s="123" t="s">
        <v>1333</v>
      </c>
      <c r="C263" s="30" t="s">
        <v>1334</v>
      </c>
      <c r="D263" s="124" t="s">
        <v>1334</v>
      </c>
      <c r="E263" s="119" t="s">
        <v>2890</v>
      </c>
      <c r="F263" s="99" t="s">
        <v>2544</v>
      </c>
      <c r="G263" s="99" t="s">
        <v>300</v>
      </c>
      <c r="H263" s="42" t="str">
        <f t="shared" si="76"/>
        <v>Non-state-owned IMD Harris</v>
      </c>
      <c r="I263" s="44">
        <f>INDEX(FeeCalc!M:M,MATCH(C:C,FeeCalc!F:F,0))</f>
        <v>3614241.1664979905</v>
      </c>
      <c r="J263" s="44">
        <f>INDEX(FeeCalc!L:L,MATCH(C:C,FeeCalc!F:F,0))</f>
        <v>0</v>
      </c>
      <c r="K263" s="44">
        <f t="shared" si="77"/>
        <v>3614241.1664979905</v>
      </c>
      <c r="L263" s="44">
        <v>1317873.92</v>
      </c>
      <c r="M263" s="44">
        <v>0</v>
      </c>
      <c r="N263" s="44">
        <f t="shared" si="78"/>
        <v>1317873.92</v>
      </c>
      <c r="O263" s="44">
        <v>1267093.5338991228</v>
      </c>
      <c r="P263" s="44">
        <v>0</v>
      </c>
      <c r="Q263" s="44">
        <f t="shared" si="79"/>
        <v>1267093.5338991228</v>
      </c>
      <c r="R263" s="44" t="str">
        <f t="shared" si="80"/>
        <v>Yes</v>
      </c>
      <c r="S263" s="45" t="str">
        <f t="shared" si="80"/>
        <v>No</v>
      </c>
      <c r="T263" s="46">
        <f>ROUND(INDEX(Summary!H:H,MATCH(H:H,Summary!A:A,0)),2)</f>
        <v>0.24</v>
      </c>
      <c r="U263" s="46">
        <f>ROUND(INDEX(Summary!I:I,MATCH(H:H,Summary!A:A,0)),2)</f>
        <v>0</v>
      </c>
      <c r="V263" s="79">
        <f t="shared" si="81"/>
        <v>867417.87995951774</v>
      </c>
      <c r="W263" s="79">
        <f t="shared" si="81"/>
        <v>0</v>
      </c>
      <c r="X263" s="44">
        <f t="shared" si="82"/>
        <v>867417.87995951774</v>
      </c>
      <c r="Y263" s="44" t="s">
        <v>2766</v>
      </c>
      <c r="Z263" s="44" t="str">
        <f t="shared" si="83"/>
        <v>No</v>
      </c>
      <c r="AA263" s="44" t="str">
        <f t="shared" si="83"/>
        <v>No</v>
      </c>
      <c r="AB263" s="44" t="str">
        <f t="shared" si="84"/>
        <v>No</v>
      </c>
      <c r="AC263" s="80">
        <f t="shared" si="91"/>
        <v>0</v>
      </c>
      <c r="AD263" s="80">
        <f t="shared" si="92"/>
        <v>0</v>
      </c>
      <c r="AE263" s="44">
        <f t="shared" si="85"/>
        <v>0</v>
      </c>
      <c r="AF263" s="44">
        <f t="shared" si="85"/>
        <v>0</v>
      </c>
      <c r="AG263" s="44">
        <f t="shared" si="86"/>
        <v>0</v>
      </c>
      <c r="AH263" s="46">
        <f>IF(Y263="No",0,IFERROR(ROUNDDOWN(INDEX('90% of ACR'!K:K,MATCH(H:H,'90% of ACR'!A:A,0))*IF(I263&gt;0,IF(O263&gt;0,$R$4*MAX(O263-V263,0),0),0)/I263,2),0))</f>
        <v>0</v>
      </c>
      <c r="AI263" s="80">
        <f>IF(Y263="No",0,IFERROR(ROUNDDOWN(INDEX('90% of ACR'!R:R,MATCH(H:H,'90% of ACR'!A:A,0))*IF(J263&gt;0,IF(P263&gt;0,$R$4*MAX(P263-W263,0),0),0)/J263,2),0))</f>
        <v>0</v>
      </c>
      <c r="AJ263" s="44">
        <f t="shared" si="87"/>
        <v>0</v>
      </c>
      <c r="AK263" s="44">
        <f t="shared" si="87"/>
        <v>0</v>
      </c>
      <c r="AL263" s="46">
        <f t="shared" si="88"/>
        <v>0.24</v>
      </c>
      <c r="AM263" s="46">
        <f t="shared" si="88"/>
        <v>0</v>
      </c>
      <c r="AN263" s="81">
        <f>IFERROR(INDEX(FeeCalc!P:P,MATCH(C263,FeeCalc!F:F,0)),0)</f>
        <v>867417.87995951774</v>
      </c>
      <c r="AO263" s="81">
        <f>IFERROR(INDEX(FeeCalc!S:S,MATCH(C263,FeeCalc!F:F,0)),0)</f>
        <v>52919.393207079331</v>
      </c>
      <c r="AP263" s="81">
        <f t="shared" si="89"/>
        <v>920337.27316659712</v>
      </c>
      <c r="AQ263" s="68">
        <f t="shared" si="90"/>
        <v>362200.57452926069</v>
      </c>
      <c r="AR263" s="68">
        <f>INDEX('IGT Commitment Suggestions'!H:H,MATCH(G263,'IGT Commitment Suggestions'!A:A,0))*AQ263</f>
        <v>166175.38823622765</v>
      </c>
    </row>
    <row r="264" spans="1:44" ht="25.5">
      <c r="A264" s="103" t="s">
        <v>2324</v>
      </c>
      <c r="B264" s="123" t="s">
        <v>2324</v>
      </c>
      <c r="C264" s="30" t="s">
        <v>2325</v>
      </c>
      <c r="D264" s="124" t="s">
        <v>2325</v>
      </c>
      <c r="E264" s="119" t="s">
        <v>2891</v>
      </c>
      <c r="F264" s="99" t="s">
        <v>2964</v>
      </c>
      <c r="G264" s="99" t="s">
        <v>227</v>
      </c>
      <c r="H264" s="42" t="str">
        <f t="shared" si="76"/>
        <v>State-owned IMD MRSA West</v>
      </c>
      <c r="I264" s="44">
        <f>INDEX(FeeCalc!M:M,MATCH(C:C,FeeCalc!F:F,0))</f>
        <v>0</v>
      </c>
      <c r="J264" s="44">
        <f>INDEX(FeeCalc!L:L,MATCH(C:C,FeeCalc!F:F,0))</f>
        <v>0</v>
      </c>
      <c r="K264" s="44">
        <f t="shared" si="77"/>
        <v>0</v>
      </c>
      <c r="L264" s="44">
        <v>0</v>
      </c>
      <c r="M264" s="44">
        <v>0</v>
      </c>
      <c r="N264" s="44">
        <f t="shared" si="78"/>
        <v>0</v>
      </c>
      <c r="O264" s="44">
        <v>0</v>
      </c>
      <c r="P264" s="44">
        <v>0</v>
      </c>
      <c r="Q264" s="44">
        <f t="shared" si="79"/>
        <v>0</v>
      </c>
      <c r="R264" s="44" t="str">
        <f t="shared" si="80"/>
        <v>No</v>
      </c>
      <c r="S264" s="45" t="str">
        <f t="shared" si="80"/>
        <v>No</v>
      </c>
      <c r="T264" s="46">
        <f>ROUND(INDEX(Summary!H:H,MATCH(H:H,Summary!A:A,0)),2)</f>
        <v>0.4</v>
      </c>
      <c r="U264" s="46">
        <f>ROUND(INDEX(Summary!I:I,MATCH(H:H,Summary!A:A,0)),2)</f>
        <v>0</v>
      </c>
      <c r="V264" s="79">
        <f t="shared" si="81"/>
        <v>0</v>
      </c>
      <c r="W264" s="79">
        <f t="shared" si="81"/>
        <v>0</v>
      </c>
      <c r="X264" s="44">
        <f t="shared" si="82"/>
        <v>0</v>
      </c>
      <c r="Y264" s="44" t="s">
        <v>2765</v>
      </c>
      <c r="Z264" s="44" t="str">
        <f t="shared" si="83"/>
        <v>No</v>
      </c>
      <c r="AA264" s="44" t="str">
        <f t="shared" si="83"/>
        <v>No</v>
      </c>
      <c r="AB264" s="44" t="str">
        <f t="shared" si="84"/>
        <v>No</v>
      </c>
      <c r="AC264" s="80">
        <f t="shared" si="91"/>
        <v>0</v>
      </c>
      <c r="AD264" s="80">
        <f t="shared" si="92"/>
        <v>0</v>
      </c>
      <c r="AE264" s="44">
        <f t="shared" si="85"/>
        <v>0</v>
      </c>
      <c r="AF264" s="44">
        <f t="shared" si="85"/>
        <v>0</v>
      </c>
      <c r="AG264" s="44">
        <f t="shared" si="86"/>
        <v>0</v>
      </c>
      <c r="AH264" s="46">
        <f>IF(Y264="No",0,IFERROR(ROUNDDOWN(INDEX('90% of ACR'!K:K,MATCH(H:H,'90% of ACR'!A:A,0))*IF(I264&gt;0,IF(O264&gt;0,$R$4*MAX(O264-V264,0),0),0)/I264,2),0))</f>
        <v>0</v>
      </c>
      <c r="AI264" s="80">
        <f>IF(Y264="No",0,IFERROR(ROUNDDOWN(INDEX('90% of ACR'!R:R,MATCH(H:H,'90% of ACR'!A:A,0))*IF(J264&gt;0,IF(P264&gt;0,$R$4*MAX(P264-W264,0),0),0)/J264,2),0))</f>
        <v>0</v>
      </c>
      <c r="AJ264" s="44">
        <f t="shared" si="87"/>
        <v>0</v>
      </c>
      <c r="AK264" s="44">
        <f t="shared" si="87"/>
        <v>0</v>
      </c>
      <c r="AL264" s="46">
        <f t="shared" si="88"/>
        <v>0.4</v>
      </c>
      <c r="AM264" s="46">
        <f t="shared" si="88"/>
        <v>0</v>
      </c>
      <c r="AN264" s="81">
        <f>IFERROR(INDEX(FeeCalc!P:P,MATCH(C264,FeeCalc!F:F,0)),0)</f>
        <v>0</v>
      </c>
      <c r="AO264" s="81">
        <f>IFERROR(INDEX(FeeCalc!S:S,MATCH(C264,FeeCalc!F:F,0)),0)</f>
        <v>0</v>
      </c>
      <c r="AP264" s="81">
        <f t="shared" si="89"/>
        <v>0</v>
      </c>
      <c r="AQ264" s="68">
        <f t="shared" si="90"/>
        <v>0</v>
      </c>
      <c r="AR264" s="68">
        <f>INDEX('IGT Commitment Suggestions'!H:H,MATCH(G264,'IGT Commitment Suggestions'!A:A,0))*AQ264</f>
        <v>0</v>
      </c>
    </row>
    <row r="265" spans="1:44" ht="25.5">
      <c r="A265" s="103" t="s">
        <v>2309</v>
      </c>
      <c r="B265" s="123" t="s">
        <v>2309</v>
      </c>
      <c r="C265" s="30" t="s">
        <v>2310</v>
      </c>
      <c r="D265" s="124" t="s">
        <v>2310</v>
      </c>
      <c r="E265" s="119" t="s">
        <v>2892</v>
      </c>
      <c r="F265" s="99" t="s">
        <v>2964</v>
      </c>
      <c r="G265" s="99" t="s">
        <v>227</v>
      </c>
      <c r="H265" s="42" t="str">
        <f t="shared" si="76"/>
        <v>State-owned IMD MRSA West</v>
      </c>
      <c r="I265" s="44">
        <f>INDEX(FeeCalc!M:M,MATCH(C:C,FeeCalc!F:F,0))</f>
        <v>231267.2860146825</v>
      </c>
      <c r="J265" s="44">
        <f>INDEX(FeeCalc!L:L,MATCH(C:C,FeeCalc!F:F,0))</f>
        <v>0</v>
      </c>
      <c r="K265" s="44">
        <f t="shared" si="77"/>
        <v>231267.2860146825</v>
      </c>
      <c r="L265" s="44">
        <v>160305.69</v>
      </c>
      <c r="M265" s="44">
        <v>0</v>
      </c>
      <c r="N265" s="44">
        <f t="shared" si="78"/>
        <v>160305.69</v>
      </c>
      <c r="O265" s="44">
        <v>-187203.06266327482</v>
      </c>
      <c r="P265" s="44">
        <v>0</v>
      </c>
      <c r="Q265" s="44">
        <f t="shared" si="79"/>
        <v>-187203.06266327482</v>
      </c>
      <c r="R265" s="44" t="str">
        <f t="shared" si="80"/>
        <v>No</v>
      </c>
      <c r="S265" s="45" t="str">
        <f t="shared" si="80"/>
        <v>No</v>
      </c>
      <c r="T265" s="46">
        <f>ROUND(INDEX(Summary!H:H,MATCH(H:H,Summary!A:A,0)),2)</f>
        <v>0.4</v>
      </c>
      <c r="U265" s="46">
        <f>ROUND(INDEX(Summary!I:I,MATCH(H:H,Summary!A:A,0)),2)</f>
        <v>0</v>
      </c>
      <c r="V265" s="79">
        <f t="shared" si="81"/>
        <v>92506.914405873002</v>
      </c>
      <c r="W265" s="79">
        <f t="shared" si="81"/>
        <v>0</v>
      </c>
      <c r="X265" s="44">
        <f t="shared" si="82"/>
        <v>92506.914405873002</v>
      </c>
      <c r="Y265" s="44" t="s">
        <v>2765</v>
      </c>
      <c r="Z265" s="44" t="str">
        <f t="shared" si="83"/>
        <v>No</v>
      </c>
      <c r="AA265" s="44" t="str">
        <f t="shared" si="83"/>
        <v>No</v>
      </c>
      <c r="AB265" s="44" t="str">
        <f t="shared" si="84"/>
        <v>No</v>
      </c>
      <c r="AC265" s="80">
        <f t="shared" si="91"/>
        <v>0</v>
      </c>
      <c r="AD265" s="80">
        <f t="shared" si="92"/>
        <v>0</v>
      </c>
      <c r="AE265" s="44">
        <f t="shared" si="85"/>
        <v>0</v>
      </c>
      <c r="AF265" s="44">
        <f t="shared" si="85"/>
        <v>0</v>
      </c>
      <c r="AG265" s="44">
        <f t="shared" si="86"/>
        <v>0</v>
      </c>
      <c r="AH265" s="46">
        <f>IF(Y265="No",0,IFERROR(ROUNDDOWN(INDEX('90% of ACR'!K:K,MATCH(H:H,'90% of ACR'!A:A,0))*IF(I265&gt;0,IF(O265&gt;0,$R$4*MAX(O265-V265,0),0),0)/I265,2),0))</f>
        <v>0</v>
      </c>
      <c r="AI265" s="80">
        <f>IF(Y265="No",0,IFERROR(ROUNDDOWN(INDEX('90% of ACR'!R:R,MATCH(H:H,'90% of ACR'!A:A,0))*IF(J265&gt;0,IF(P265&gt;0,$R$4*MAX(P265-W265,0),0),0)/J265,2),0))</f>
        <v>0</v>
      </c>
      <c r="AJ265" s="44">
        <f t="shared" si="87"/>
        <v>0</v>
      </c>
      <c r="AK265" s="44">
        <f t="shared" si="87"/>
        <v>0</v>
      </c>
      <c r="AL265" s="46">
        <f t="shared" si="88"/>
        <v>0.4</v>
      </c>
      <c r="AM265" s="46">
        <f t="shared" si="88"/>
        <v>0</v>
      </c>
      <c r="AN265" s="81">
        <f>IFERROR(INDEX(FeeCalc!P:P,MATCH(C265,FeeCalc!F:F,0)),0)</f>
        <v>92506.914405873002</v>
      </c>
      <c r="AO265" s="81">
        <f>IFERROR(INDEX(FeeCalc!S:S,MATCH(C265,FeeCalc!F:F,0)),0)</f>
        <v>5643.6579080506081</v>
      </c>
      <c r="AP265" s="81">
        <f t="shared" si="89"/>
        <v>98150.572313923607</v>
      </c>
      <c r="AQ265" s="68">
        <f t="shared" si="90"/>
        <v>38627.354035289267</v>
      </c>
      <c r="AR265" s="68">
        <f>INDEX('IGT Commitment Suggestions'!H:H,MATCH(G265,'IGT Commitment Suggestions'!A:A,0))*AQ265</f>
        <v>18929.862135464729</v>
      </c>
    </row>
    <row r="266" spans="1:44" ht="25.5">
      <c r="A266" s="103" t="s">
        <v>2311</v>
      </c>
      <c r="B266" s="123" t="s">
        <v>2311</v>
      </c>
      <c r="C266" s="30" t="s">
        <v>2312</v>
      </c>
      <c r="D266" s="124" t="s">
        <v>2312</v>
      </c>
      <c r="E266" s="119" t="s">
        <v>2893</v>
      </c>
      <c r="F266" s="99" t="s">
        <v>2964</v>
      </c>
      <c r="G266" s="99" t="s">
        <v>227</v>
      </c>
      <c r="H266" s="42" t="str">
        <f t="shared" si="76"/>
        <v>State-owned IMD MRSA West</v>
      </c>
      <c r="I266" s="44">
        <f>INDEX(FeeCalc!M:M,MATCH(C:C,FeeCalc!F:F,0))</f>
        <v>852719.74689410441</v>
      </c>
      <c r="J266" s="44">
        <f>INDEX(FeeCalc!L:L,MATCH(C:C,FeeCalc!F:F,0))</f>
        <v>0</v>
      </c>
      <c r="K266" s="44">
        <f t="shared" si="77"/>
        <v>852719.74689410441</v>
      </c>
      <c r="L266" s="44">
        <v>271972.08</v>
      </c>
      <c r="M266" s="44">
        <v>0</v>
      </c>
      <c r="N266" s="44">
        <f t="shared" si="78"/>
        <v>271972.08</v>
      </c>
      <c r="O266" s="44">
        <v>-949254.79000000015</v>
      </c>
      <c r="P266" s="44">
        <v>0</v>
      </c>
      <c r="Q266" s="44">
        <f t="shared" si="79"/>
        <v>-949254.79000000015</v>
      </c>
      <c r="R266" s="44" t="str">
        <f t="shared" si="80"/>
        <v>No</v>
      </c>
      <c r="S266" s="45" t="str">
        <f t="shared" si="80"/>
        <v>No</v>
      </c>
      <c r="T266" s="46">
        <f>ROUND(INDEX(Summary!H:H,MATCH(H:H,Summary!A:A,0)),2)</f>
        <v>0.4</v>
      </c>
      <c r="U266" s="46">
        <f>ROUND(INDEX(Summary!I:I,MATCH(H:H,Summary!A:A,0)),2)</f>
        <v>0</v>
      </c>
      <c r="V266" s="79">
        <f t="shared" si="81"/>
        <v>341087.89875764179</v>
      </c>
      <c r="W266" s="79">
        <f t="shared" si="81"/>
        <v>0</v>
      </c>
      <c r="X266" s="44">
        <f t="shared" si="82"/>
        <v>341087.89875764179</v>
      </c>
      <c r="Y266" s="44" t="s">
        <v>2765</v>
      </c>
      <c r="Z266" s="44" t="str">
        <f t="shared" si="83"/>
        <v>No</v>
      </c>
      <c r="AA266" s="44" t="str">
        <f t="shared" si="83"/>
        <v>No</v>
      </c>
      <c r="AB266" s="44" t="str">
        <f t="shared" si="84"/>
        <v>No</v>
      </c>
      <c r="AC266" s="80">
        <f t="shared" si="91"/>
        <v>0</v>
      </c>
      <c r="AD266" s="80">
        <f t="shared" si="92"/>
        <v>0</v>
      </c>
      <c r="AE266" s="44">
        <f t="shared" si="85"/>
        <v>0</v>
      </c>
      <c r="AF266" s="44">
        <f t="shared" si="85"/>
        <v>0</v>
      </c>
      <c r="AG266" s="44">
        <f t="shared" si="86"/>
        <v>0</v>
      </c>
      <c r="AH266" s="46">
        <f>IF(Y266="No",0,IFERROR(ROUNDDOWN(INDEX('90% of ACR'!K:K,MATCH(H:H,'90% of ACR'!A:A,0))*IF(I266&gt;0,IF(O266&gt;0,$R$4*MAX(O266-V266,0),0),0)/I266,2),0))</f>
        <v>0</v>
      </c>
      <c r="AI266" s="80">
        <f>IF(Y266="No",0,IFERROR(ROUNDDOWN(INDEX('90% of ACR'!R:R,MATCH(H:H,'90% of ACR'!A:A,0))*IF(J266&gt;0,IF(P266&gt;0,$R$4*MAX(P266-W266,0),0),0)/J266,2),0))</f>
        <v>0</v>
      </c>
      <c r="AJ266" s="44">
        <f t="shared" si="87"/>
        <v>0</v>
      </c>
      <c r="AK266" s="44">
        <f t="shared" si="87"/>
        <v>0</v>
      </c>
      <c r="AL266" s="46">
        <f t="shared" si="88"/>
        <v>0.4</v>
      </c>
      <c r="AM266" s="46">
        <f t="shared" si="88"/>
        <v>0</v>
      </c>
      <c r="AN266" s="81">
        <f>IFERROR(INDEX(FeeCalc!P:P,MATCH(C266,FeeCalc!F:F,0)),0)</f>
        <v>341087.89875764179</v>
      </c>
      <c r="AO266" s="81">
        <f>IFERROR(INDEX(FeeCalc!S:S,MATCH(C266,FeeCalc!F:F,0)),0)</f>
        <v>20809.07605152722</v>
      </c>
      <c r="AP266" s="81">
        <f t="shared" si="89"/>
        <v>361896.97480916901</v>
      </c>
      <c r="AQ266" s="68">
        <f t="shared" si="90"/>
        <v>142425.27823009811</v>
      </c>
      <c r="AR266" s="68">
        <f>INDEX('IGT Commitment Suggestions'!H:H,MATCH(G266,'IGT Commitment Suggestions'!A:A,0))*AQ266</f>
        <v>69797.451801587609</v>
      </c>
    </row>
    <row r="267" spans="1:44" ht="25.5">
      <c r="A267" s="103" t="s">
        <v>2061</v>
      </c>
      <c r="B267" s="123" t="s">
        <v>2061</v>
      </c>
      <c r="C267" s="30" t="s">
        <v>2313</v>
      </c>
      <c r="D267" s="124" t="s">
        <v>2313</v>
      </c>
      <c r="E267" s="119" t="s">
        <v>2894</v>
      </c>
      <c r="F267" s="99" t="s">
        <v>2964</v>
      </c>
      <c r="G267" s="99" t="s">
        <v>1514</v>
      </c>
      <c r="H267" s="42" t="str">
        <f t="shared" si="76"/>
        <v>State-owned IMD Hidalgo</v>
      </c>
      <c r="I267" s="44">
        <f>INDEX(FeeCalc!M:M,MATCH(C:C,FeeCalc!F:F,0))</f>
        <v>3830.5887872679623</v>
      </c>
      <c r="J267" s="44">
        <f>INDEX(FeeCalc!L:L,MATCH(C:C,FeeCalc!F:F,0))</f>
        <v>0</v>
      </c>
      <c r="K267" s="44">
        <f t="shared" si="77"/>
        <v>3830.5887872679623</v>
      </c>
      <c r="L267" s="44">
        <v>1361.6</v>
      </c>
      <c r="M267" s="44">
        <v>0</v>
      </c>
      <c r="N267" s="44">
        <f t="shared" si="78"/>
        <v>1361.6</v>
      </c>
      <c r="O267" s="44">
        <v>-630.53779925051867</v>
      </c>
      <c r="P267" s="44">
        <v>0</v>
      </c>
      <c r="Q267" s="44">
        <f t="shared" si="79"/>
        <v>-630.53779925051867</v>
      </c>
      <c r="R267" s="44" t="str">
        <f t="shared" si="80"/>
        <v>No</v>
      </c>
      <c r="S267" s="45" t="str">
        <f t="shared" si="80"/>
        <v>No</v>
      </c>
      <c r="T267" s="46">
        <f>ROUND(INDEX(Summary!H:H,MATCH(H:H,Summary!A:A,0)),2)</f>
        <v>0.36</v>
      </c>
      <c r="U267" s="46">
        <f>ROUND(INDEX(Summary!I:I,MATCH(H:H,Summary!A:A,0)),2)</f>
        <v>0</v>
      </c>
      <c r="V267" s="79">
        <f t="shared" si="81"/>
        <v>1379.0119634164664</v>
      </c>
      <c r="W267" s="79">
        <f t="shared" si="81"/>
        <v>0</v>
      </c>
      <c r="X267" s="44">
        <f t="shared" si="82"/>
        <v>1379.0119634164664</v>
      </c>
      <c r="Y267" s="44" t="s">
        <v>2765</v>
      </c>
      <c r="Z267" s="44" t="str">
        <f t="shared" si="83"/>
        <v>No</v>
      </c>
      <c r="AA267" s="44" t="str">
        <f t="shared" si="83"/>
        <v>No</v>
      </c>
      <c r="AB267" s="44" t="str">
        <f t="shared" si="84"/>
        <v>No</v>
      </c>
      <c r="AC267" s="80">
        <f t="shared" si="91"/>
        <v>0</v>
      </c>
      <c r="AD267" s="80">
        <f t="shared" si="92"/>
        <v>0</v>
      </c>
      <c r="AE267" s="44">
        <f t="shared" si="85"/>
        <v>0</v>
      </c>
      <c r="AF267" s="44">
        <f t="shared" si="85"/>
        <v>0</v>
      </c>
      <c r="AG267" s="44">
        <f t="shared" si="86"/>
        <v>0</v>
      </c>
      <c r="AH267" s="46">
        <f>IF(Y267="No",0,IFERROR(ROUNDDOWN(INDEX('90% of ACR'!K:K,MATCH(H:H,'90% of ACR'!A:A,0))*IF(I267&gt;0,IF(O267&gt;0,$R$4*MAX(O267-V267,0),0),0)/I267,2),0))</f>
        <v>0</v>
      </c>
      <c r="AI267" s="80">
        <f>IF(Y267="No",0,IFERROR(ROUNDDOWN(INDEX('90% of ACR'!R:R,MATCH(H:H,'90% of ACR'!A:A,0))*IF(J267&gt;0,IF(P267&gt;0,$R$4*MAX(P267-W267,0),0),0)/J267,2),0))</f>
        <v>0</v>
      </c>
      <c r="AJ267" s="44">
        <f t="shared" si="87"/>
        <v>0</v>
      </c>
      <c r="AK267" s="44">
        <f t="shared" si="87"/>
        <v>0</v>
      </c>
      <c r="AL267" s="46">
        <f t="shared" si="88"/>
        <v>0.36</v>
      </c>
      <c r="AM267" s="46">
        <f t="shared" si="88"/>
        <v>0</v>
      </c>
      <c r="AN267" s="81">
        <f>IFERROR(INDEX(FeeCalc!P:P,MATCH(C267,FeeCalc!F:F,0)),0)</f>
        <v>1379.0119634164664</v>
      </c>
      <c r="AO267" s="81">
        <f>IFERROR(INDEX(FeeCalc!S:S,MATCH(C267,FeeCalc!F:F,0)),0)</f>
        <v>84.130703338405112</v>
      </c>
      <c r="AP267" s="81">
        <f t="shared" si="89"/>
        <v>1463.1426667548715</v>
      </c>
      <c r="AQ267" s="68">
        <f t="shared" si="90"/>
        <v>575.82272278671326</v>
      </c>
      <c r="AR267" s="68">
        <f>INDEX('IGT Commitment Suggestions'!H:H,MATCH(G267,'IGT Commitment Suggestions'!A:A,0))*AQ267</f>
        <v>263.64190160504006</v>
      </c>
    </row>
    <row r="268" spans="1:44" ht="25.5">
      <c r="A268" s="103" t="s">
        <v>2314</v>
      </c>
      <c r="B268" s="123" t="s">
        <v>2314</v>
      </c>
      <c r="C268" s="30" t="s">
        <v>2315</v>
      </c>
      <c r="D268" s="124" t="s">
        <v>2315</v>
      </c>
      <c r="E268" s="119" t="s">
        <v>2702</v>
      </c>
      <c r="F268" s="99" t="s">
        <v>2964</v>
      </c>
      <c r="G268" s="99" t="s">
        <v>310</v>
      </c>
      <c r="H268" s="42" t="str">
        <f t="shared" si="76"/>
        <v>State-owned IMD MRSA Northeast</v>
      </c>
      <c r="I268" s="44">
        <f>INDEX(FeeCalc!M:M,MATCH(C:C,FeeCalc!F:F,0))</f>
        <v>0</v>
      </c>
      <c r="J268" s="44">
        <f>INDEX(FeeCalc!L:L,MATCH(C:C,FeeCalc!F:F,0))</f>
        <v>0</v>
      </c>
      <c r="K268" s="44">
        <f t="shared" si="77"/>
        <v>0</v>
      </c>
      <c r="L268" s="44">
        <v>0</v>
      </c>
      <c r="M268" s="44">
        <v>0</v>
      </c>
      <c r="N268" s="44">
        <f t="shared" si="78"/>
        <v>0</v>
      </c>
      <c r="O268" s="44">
        <v>0</v>
      </c>
      <c r="P268" s="44">
        <v>0</v>
      </c>
      <c r="Q268" s="44">
        <f t="shared" si="79"/>
        <v>0</v>
      </c>
      <c r="R268" s="44" t="str">
        <f t="shared" si="80"/>
        <v>No</v>
      </c>
      <c r="S268" s="45" t="str">
        <f t="shared" si="80"/>
        <v>No</v>
      </c>
      <c r="T268" s="46">
        <f>ROUND(INDEX(Summary!H:H,MATCH(H:H,Summary!A:A,0)),2)</f>
        <v>0</v>
      </c>
      <c r="U268" s="46">
        <f>ROUND(INDEX(Summary!I:I,MATCH(H:H,Summary!A:A,0)),2)</f>
        <v>0</v>
      </c>
      <c r="V268" s="79">
        <f t="shared" si="81"/>
        <v>0</v>
      </c>
      <c r="W268" s="79">
        <f t="shared" si="81"/>
        <v>0</v>
      </c>
      <c r="X268" s="44">
        <f t="shared" si="82"/>
        <v>0</v>
      </c>
      <c r="Y268" s="44" t="s">
        <v>2765</v>
      </c>
      <c r="Z268" s="44" t="str">
        <f t="shared" si="83"/>
        <v>No</v>
      </c>
      <c r="AA268" s="44" t="str">
        <f t="shared" si="83"/>
        <v>No</v>
      </c>
      <c r="AB268" s="44" t="str">
        <f t="shared" si="84"/>
        <v>No</v>
      </c>
      <c r="AC268" s="80">
        <f t="shared" si="91"/>
        <v>0</v>
      </c>
      <c r="AD268" s="80">
        <f t="shared" si="92"/>
        <v>0</v>
      </c>
      <c r="AE268" s="44">
        <f t="shared" si="85"/>
        <v>0</v>
      </c>
      <c r="AF268" s="44">
        <f t="shared" si="85"/>
        <v>0</v>
      </c>
      <c r="AG268" s="44">
        <f t="shared" si="86"/>
        <v>0</v>
      </c>
      <c r="AH268" s="46">
        <f>IF(Y268="No",0,IFERROR(ROUNDDOWN(INDEX('90% of ACR'!K:K,MATCH(H:H,'90% of ACR'!A:A,0))*IF(I268&gt;0,IF(O268&gt;0,$R$4*MAX(O268-V268,0),0),0)/I268,2),0))</f>
        <v>0</v>
      </c>
      <c r="AI268" s="80">
        <f>IF(Y268="No",0,IFERROR(ROUNDDOWN(INDEX('90% of ACR'!R:R,MATCH(H:H,'90% of ACR'!A:A,0))*IF(J268&gt;0,IF(P268&gt;0,$R$4*MAX(P268-W268,0),0),0)/J268,2),0))</f>
        <v>0</v>
      </c>
      <c r="AJ268" s="44">
        <f t="shared" si="87"/>
        <v>0</v>
      </c>
      <c r="AK268" s="44">
        <f t="shared" si="87"/>
        <v>0</v>
      </c>
      <c r="AL268" s="46">
        <f t="shared" si="88"/>
        <v>0</v>
      </c>
      <c r="AM268" s="46">
        <f t="shared" si="88"/>
        <v>0</v>
      </c>
      <c r="AN268" s="81">
        <f>IFERROR(INDEX(FeeCalc!P:P,MATCH(C268,FeeCalc!F:F,0)),0)</f>
        <v>0</v>
      </c>
      <c r="AO268" s="81">
        <f>IFERROR(INDEX(FeeCalc!S:S,MATCH(C268,FeeCalc!F:F,0)),0)</f>
        <v>0</v>
      </c>
      <c r="AP268" s="81">
        <f t="shared" si="89"/>
        <v>0</v>
      </c>
      <c r="AQ268" s="68">
        <f t="shared" si="90"/>
        <v>0</v>
      </c>
      <c r="AR268" s="68">
        <f>INDEX('IGT Commitment Suggestions'!H:H,MATCH(G268,'IGT Commitment Suggestions'!A:A,0))*AQ268</f>
        <v>0</v>
      </c>
    </row>
    <row r="269" spans="1:44" ht="25.5">
      <c r="A269" s="103" t="s">
        <v>2316</v>
      </c>
      <c r="B269" s="123" t="s">
        <v>2316</v>
      </c>
      <c r="C269" s="30" t="s">
        <v>2317</v>
      </c>
      <c r="D269" s="124" t="s">
        <v>2317</v>
      </c>
      <c r="E269" s="119" t="s">
        <v>2715</v>
      </c>
      <c r="F269" s="99" t="s">
        <v>2964</v>
      </c>
      <c r="G269" s="99" t="s">
        <v>487</v>
      </c>
      <c r="H269" s="42" t="str">
        <f t="shared" si="76"/>
        <v>State-owned IMD Bexar</v>
      </c>
      <c r="I269" s="44">
        <f>INDEX(FeeCalc!M:M,MATCH(C:C,FeeCalc!F:F,0))</f>
        <v>127118.69229477836</v>
      </c>
      <c r="J269" s="44">
        <f>INDEX(FeeCalc!L:L,MATCH(C:C,FeeCalc!F:F,0))</f>
        <v>0</v>
      </c>
      <c r="K269" s="44">
        <f t="shared" si="77"/>
        <v>127118.69229477836</v>
      </c>
      <c r="L269" s="44">
        <v>47146.92</v>
      </c>
      <c r="M269" s="44">
        <v>0</v>
      </c>
      <c r="N269" s="44">
        <f t="shared" si="78"/>
        <v>47146.92</v>
      </c>
      <c r="O269" s="44">
        <v>-131210.26110095874</v>
      </c>
      <c r="P269" s="44">
        <v>0</v>
      </c>
      <c r="Q269" s="44">
        <f t="shared" si="79"/>
        <v>-131210.26110095874</v>
      </c>
      <c r="R269" s="44" t="str">
        <f t="shared" si="80"/>
        <v>No</v>
      </c>
      <c r="S269" s="45" t="str">
        <f t="shared" si="80"/>
        <v>No</v>
      </c>
      <c r="T269" s="46">
        <f>ROUND(INDEX(Summary!H:H,MATCH(H:H,Summary!A:A,0)),2)</f>
        <v>0.37</v>
      </c>
      <c r="U269" s="46">
        <f>ROUND(INDEX(Summary!I:I,MATCH(H:H,Summary!A:A,0)),2)</f>
        <v>0</v>
      </c>
      <c r="V269" s="79">
        <f t="shared" si="81"/>
        <v>47033.916149067991</v>
      </c>
      <c r="W269" s="79">
        <f t="shared" si="81"/>
        <v>0</v>
      </c>
      <c r="X269" s="44">
        <f t="shared" si="82"/>
        <v>47033.916149067991</v>
      </c>
      <c r="Y269" s="44" t="s">
        <v>2765</v>
      </c>
      <c r="Z269" s="44" t="str">
        <f t="shared" si="83"/>
        <v>No</v>
      </c>
      <c r="AA269" s="44" t="str">
        <f t="shared" si="83"/>
        <v>No</v>
      </c>
      <c r="AB269" s="44" t="str">
        <f t="shared" si="84"/>
        <v>No</v>
      </c>
      <c r="AC269" s="80">
        <f t="shared" si="91"/>
        <v>0</v>
      </c>
      <c r="AD269" s="80">
        <f t="shared" si="92"/>
        <v>0</v>
      </c>
      <c r="AE269" s="44">
        <f t="shared" si="85"/>
        <v>0</v>
      </c>
      <c r="AF269" s="44">
        <f t="shared" si="85"/>
        <v>0</v>
      </c>
      <c r="AG269" s="44">
        <f t="shared" si="86"/>
        <v>0</v>
      </c>
      <c r="AH269" s="46">
        <f>IF(Y269="No",0,IFERROR(ROUNDDOWN(INDEX('90% of ACR'!K:K,MATCH(H:H,'90% of ACR'!A:A,0))*IF(I269&gt;0,IF(O269&gt;0,$R$4*MAX(O269-V269,0),0),0)/I269,2),0))</f>
        <v>0</v>
      </c>
      <c r="AI269" s="80">
        <f>IF(Y269="No",0,IFERROR(ROUNDDOWN(INDEX('90% of ACR'!R:R,MATCH(H:H,'90% of ACR'!A:A,0))*IF(J269&gt;0,IF(P269&gt;0,$R$4*MAX(P269-W269,0),0),0)/J269,2),0))</f>
        <v>0</v>
      </c>
      <c r="AJ269" s="44">
        <f t="shared" si="87"/>
        <v>0</v>
      </c>
      <c r="AK269" s="44">
        <f t="shared" si="87"/>
        <v>0</v>
      </c>
      <c r="AL269" s="46">
        <f t="shared" si="88"/>
        <v>0.37</v>
      </c>
      <c r="AM269" s="46">
        <f t="shared" si="88"/>
        <v>0</v>
      </c>
      <c r="AN269" s="81">
        <f>IFERROR(INDEX(FeeCalc!P:P,MATCH(C269,FeeCalc!F:F,0)),0)</f>
        <v>47033.916149067991</v>
      </c>
      <c r="AO269" s="81">
        <f>IFERROR(INDEX(FeeCalc!S:S,MATCH(C269,FeeCalc!F:F,0)),0)</f>
        <v>2869.4431602879681</v>
      </c>
      <c r="AP269" s="81">
        <f t="shared" si="89"/>
        <v>49903.359309355961</v>
      </c>
      <c r="AQ269" s="68">
        <f t="shared" si="90"/>
        <v>19639.566862915657</v>
      </c>
      <c r="AR269" s="68">
        <f>INDEX('IGT Commitment Suggestions'!H:H,MATCH(G269,'IGT Commitment Suggestions'!A:A,0))*AQ269</f>
        <v>9052.8232621111747</v>
      </c>
    </row>
    <row r="270" spans="1:44" ht="25.5">
      <c r="A270" s="103" t="s">
        <v>2290</v>
      </c>
      <c r="B270" s="123" t="s">
        <v>2290</v>
      </c>
      <c r="C270" s="30" t="s">
        <v>2291</v>
      </c>
      <c r="D270" s="124" t="s">
        <v>2291</v>
      </c>
      <c r="E270" s="119" t="s">
        <v>2895</v>
      </c>
      <c r="F270" s="99" t="s">
        <v>2963</v>
      </c>
      <c r="G270" s="99" t="s">
        <v>487</v>
      </c>
      <c r="H270" s="42" t="str">
        <f t="shared" si="76"/>
        <v>State-owned non-IMD Bexar</v>
      </c>
      <c r="I270" s="44">
        <f>INDEX(FeeCalc!M:M,MATCH(C:C,FeeCalc!F:F,0))</f>
        <v>0</v>
      </c>
      <c r="J270" s="44">
        <f>INDEX(FeeCalc!L:L,MATCH(C:C,FeeCalc!F:F,0))</f>
        <v>0</v>
      </c>
      <c r="K270" s="44">
        <f t="shared" si="77"/>
        <v>0</v>
      </c>
      <c r="L270" s="44">
        <v>192568.44</v>
      </c>
      <c r="M270" s="44">
        <v>0</v>
      </c>
      <c r="N270" s="44">
        <f t="shared" si="78"/>
        <v>192568.44</v>
      </c>
      <c r="O270" s="44">
        <v>-8276.6</v>
      </c>
      <c r="P270" s="44">
        <v>0</v>
      </c>
      <c r="Q270" s="44">
        <f t="shared" si="79"/>
        <v>-8276.6</v>
      </c>
      <c r="R270" s="44" t="str">
        <f t="shared" si="80"/>
        <v>No</v>
      </c>
      <c r="S270" s="45" t="str">
        <f t="shared" si="80"/>
        <v>No</v>
      </c>
      <c r="T270" s="46">
        <f>ROUND(INDEX(Summary!H:H,MATCH(H:H,Summary!A:A,0)),2)</f>
        <v>0</v>
      </c>
      <c r="U270" s="46">
        <f>ROUND(INDEX(Summary!I:I,MATCH(H:H,Summary!A:A,0)),2)</f>
        <v>0</v>
      </c>
      <c r="V270" s="79">
        <f t="shared" si="81"/>
        <v>0</v>
      </c>
      <c r="W270" s="79">
        <f t="shared" si="81"/>
        <v>0</v>
      </c>
      <c r="X270" s="44">
        <f t="shared" si="82"/>
        <v>0</v>
      </c>
      <c r="Y270" s="44" t="s">
        <v>2765</v>
      </c>
      <c r="Z270" s="44" t="str">
        <f t="shared" si="83"/>
        <v>No</v>
      </c>
      <c r="AA270" s="44" t="str">
        <f t="shared" si="83"/>
        <v>No</v>
      </c>
      <c r="AB270" s="44" t="str">
        <f t="shared" si="84"/>
        <v>No</v>
      </c>
      <c r="AC270" s="80">
        <f t="shared" si="91"/>
        <v>0</v>
      </c>
      <c r="AD270" s="80">
        <f t="shared" si="92"/>
        <v>0</v>
      </c>
      <c r="AE270" s="44">
        <f t="shared" si="85"/>
        <v>0</v>
      </c>
      <c r="AF270" s="44">
        <f t="shared" si="85"/>
        <v>0</v>
      </c>
      <c r="AG270" s="44">
        <f t="shared" si="86"/>
        <v>0</v>
      </c>
      <c r="AH270" s="46">
        <f>IF(Y270="No",0,IFERROR(ROUNDDOWN(INDEX('90% of ACR'!K:K,MATCH(H:H,'90% of ACR'!A:A,0))*IF(I270&gt;0,IF(O270&gt;0,$R$4*MAX(O270-V270,0),0),0)/I270,2),0))</f>
        <v>0</v>
      </c>
      <c r="AI270" s="80">
        <f>IF(Y270="No",0,IFERROR(ROUNDDOWN(INDEX('90% of ACR'!R:R,MATCH(H:H,'90% of ACR'!A:A,0))*IF(J270&gt;0,IF(P270&gt;0,$R$4*MAX(P270-W270,0),0),0)/J270,2),0))</f>
        <v>0</v>
      </c>
      <c r="AJ270" s="44">
        <f t="shared" si="87"/>
        <v>0</v>
      </c>
      <c r="AK270" s="44">
        <f t="shared" si="87"/>
        <v>0</v>
      </c>
      <c r="AL270" s="46">
        <f t="shared" si="88"/>
        <v>0</v>
      </c>
      <c r="AM270" s="46">
        <f t="shared" si="88"/>
        <v>0</v>
      </c>
      <c r="AN270" s="81">
        <f>IFERROR(INDEX(FeeCalc!P:P,MATCH(C270,FeeCalc!F:F,0)),0)</f>
        <v>0</v>
      </c>
      <c r="AO270" s="81">
        <f>IFERROR(INDEX(FeeCalc!S:S,MATCH(C270,FeeCalc!F:F,0)),0)</f>
        <v>0</v>
      </c>
      <c r="AP270" s="81">
        <f t="shared" si="89"/>
        <v>0</v>
      </c>
      <c r="AQ270" s="68">
        <f t="shared" si="90"/>
        <v>0</v>
      </c>
      <c r="AR270" s="68">
        <f>INDEX('IGT Commitment Suggestions'!H:H,MATCH(G270,'IGT Commitment Suggestions'!A:A,0))*AQ270</f>
        <v>0</v>
      </c>
    </row>
    <row r="271" spans="1:44" ht="25.5">
      <c r="A271" s="103" t="s">
        <v>2320</v>
      </c>
      <c r="B271" s="123" t="s">
        <v>2320</v>
      </c>
      <c r="C271" s="30" t="s">
        <v>2321</v>
      </c>
      <c r="D271" s="124" t="s">
        <v>2321</v>
      </c>
      <c r="E271" s="119" t="s">
        <v>2714</v>
      </c>
      <c r="F271" s="99" t="s">
        <v>2964</v>
      </c>
      <c r="G271" s="99" t="s">
        <v>223</v>
      </c>
      <c r="H271" s="42" t="str">
        <f t="shared" si="76"/>
        <v>State-owned IMD Dallas</v>
      </c>
      <c r="I271" s="44">
        <f>INDEX(FeeCalc!M:M,MATCH(C:C,FeeCalc!F:F,0))</f>
        <v>356082.10916071507</v>
      </c>
      <c r="J271" s="44">
        <f>INDEX(FeeCalc!L:L,MATCH(C:C,FeeCalc!F:F,0))</f>
        <v>0</v>
      </c>
      <c r="K271" s="44">
        <f t="shared" si="77"/>
        <v>356082.10916071507</v>
      </c>
      <c r="L271" s="44">
        <v>1302672.6200000001</v>
      </c>
      <c r="M271" s="44">
        <v>0</v>
      </c>
      <c r="N271" s="44">
        <f t="shared" si="78"/>
        <v>1302672.6200000001</v>
      </c>
      <c r="O271" s="44">
        <v>-181811.86884936964</v>
      </c>
      <c r="P271" s="44">
        <v>0</v>
      </c>
      <c r="Q271" s="44">
        <f t="shared" si="79"/>
        <v>-181811.86884936964</v>
      </c>
      <c r="R271" s="44" t="str">
        <f t="shared" si="80"/>
        <v>No</v>
      </c>
      <c r="S271" s="45" t="str">
        <f t="shared" si="80"/>
        <v>No</v>
      </c>
      <c r="T271" s="46">
        <f>ROUND(INDEX(Summary!H:H,MATCH(H:H,Summary!A:A,0)),2)</f>
        <v>3.66</v>
      </c>
      <c r="U271" s="46">
        <f>ROUND(INDEX(Summary!I:I,MATCH(H:H,Summary!A:A,0)),2)</f>
        <v>0</v>
      </c>
      <c r="V271" s="79">
        <f t="shared" si="81"/>
        <v>1303260.5195282171</v>
      </c>
      <c r="W271" s="79">
        <f t="shared" si="81"/>
        <v>0</v>
      </c>
      <c r="X271" s="44">
        <f t="shared" si="82"/>
        <v>1303260.5195282171</v>
      </c>
      <c r="Y271" s="44" t="s">
        <v>2765</v>
      </c>
      <c r="Z271" s="44" t="str">
        <f t="shared" si="83"/>
        <v>No</v>
      </c>
      <c r="AA271" s="44" t="str">
        <f t="shared" si="83"/>
        <v>No</v>
      </c>
      <c r="AB271" s="44" t="str">
        <f t="shared" si="84"/>
        <v>No</v>
      </c>
      <c r="AC271" s="80">
        <f t="shared" si="91"/>
        <v>0</v>
      </c>
      <c r="AD271" s="80">
        <f t="shared" si="92"/>
        <v>0</v>
      </c>
      <c r="AE271" s="44">
        <f t="shared" si="85"/>
        <v>0</v>
      </c>
      <c r="AF271" s="44">
        <f t="shared" si="85"/>
        <v>0</v>
      </c>
      <c r="AG271" s="44">
        <f t="shared" si="86"/>
        <v>0</v>
      </c>
      <c r="AH271" s="46">
        <f>IF(Y271="No",0,IFERROR(ROUNDDOWN(INDEX('90% of ACR'!K:K,MATCH(H:H,'90% of ACR'!A:A,0))*IF(I271&gt;0,IF(O271&gt;0,$R$4*MAX(O271-V271,0),0),0)/I271,2),0))</f>
        <v>0</v>
      </c>
      <c r="AI271" s="80">
        <f>IF(Y271="No",0,IFERROR(ROUNDDOWN(INDEX('90% of ACR'!R:R,MATCH(H:H,'90% of ACR'!A:A,0))*IF(J271&gt;0,IF(P271&gt;0,$R$4*MAX(P271-W271,0),0),0)/J271,2),0))</f>
        <v>0</v>
      </c>
      <c r="AJ271" s="44">
        <f t="shared" si="87"/>
        <v>0</v>
      </c>
      <c r="AK271" s="44">
        <f t="shared" si="87"/>
        <v>0</v>
      </c>
      <c r="AL271" s="46">
        <f t="shared" si="88"/>
        <v>3.66</v>
      </c>
      <c r="AM271" s="46">
        <f t="shared" si="88"/>
        <v>0</v>
      </c>
      <c r="AN271" s="81">
        <f>IFERROR(INDEX(FeeCalc!P:P,MATCH(C271,FeeCalc!F:F,0)),0)</f>
        <v>1303260.5195282171</v>
      </c>
      <c r="AO271" s="81">
        <f>IFERROR(INDEX(FeeCalc!S:S,MATCH(C271,FeeCalc!F:F,0)),0)</f>
        <v>79509.262464586209</v>
      </c>
      <c r="AP271" s="81">
        <f t="shared" si="89"/>
        <v>1382769.7819928033</v>
      </c>
      <c r="AQ271" s="68">
        <f t="shared" si="90"/>
        <v>544191.81324283185</v>
      </c>
      <c r="AR271" s="68">
        <f>INDEX('IGT Commitment Suggestions'!H:H,MATCH(G271,'IGT Commitment Suggestions'!A:A,0))*AQ271</f>
        <v>248877.27318049688</v>
      </c>
    </row>
    <row r="272" spans="1:44" ht="25.5">
      <c r="A272" s="103" t="s">
        <v>2322</v>
      </c>
      <c r="B272" s="123" t="s">
        <v>2322</v>
      </c>
      <c r="C272" s="30" t="s">
        <v>2323</v>
      </c>
      <c r="D272" s="124" t="s">
        <v>2323</v>
      </c>
      <c r="E272" s="119" t="s">
        <v>2896</v>
      </c>
      <c r="F272" s="99" t="s">
        <v>2964</v>
      </c>
      <c r="G272" s="99" t="s">
        <v>1486</v>
      </c>
      <c r="H272" s="42" t="str">
        <f t="shared" si="76"/>
        <v>State-owned IMD MRSA Central</v>
      </c>
      <c r="I272" s="44">
        <f>INDEX(FeeCalc!M:M,MATCH(C:C,FeeCalc!F:F,0))</f>
        <v>0</v>
      </c>
      <c r="J272" s="44">
        <f>INDEX(FeeCalc!L:L,MATCH(C:C,FeeCalc!F:F,0))</f>
        <v>0</v>
      </c>
      <c r="K272" s="44">
        <f t="shared" si="77"/>
        <v>0</v>
      </c>
      <c r="L272" s="44">
        <v>0</v>
      </c>
      <c r="M272" s="44">
        <v>0</v>
      </c>
      <c r="N272" s="44">
        <f t="shared" si="78"/>
        <v>0</v>
      </c>
      <c r="O272" s="44">
        <v>0</v>
      </c>
      <c r="P272" s="44">
        <v>0</v>
      </c>
      <c r="Q272" s="44">
        <f t="shared" si="79"/>
        <v>0</v>
      </c>
      <c r="R272" s="44" t="str">
        <f t="shared" si="80"/>
        <v>No</v>
      </c>
      <c r="S272" s="45" t="str">
        <f t="shared" si="80"/>
        <v>No</v>
      </c>
      <c r="T272" s="46">
        <f>ROUND(INDEX(Summary!H:H,MATCH(H:H,Summary!A:A,0)),2)</f>
        <v>0</v>
      </c>
      <c r="U272" s="46">
        <f>ROUND(INDEX(Summary!I:I,MATCH(H:H,Summary!A:A,0)),2)</f>
        <v>0</v>
      </c>
      <c r="V272" s="79">
        <f t="shared" si="81"/>
        <v>0</v>
      </c>
      <c r="W272" s="79">
        <f t="shared" si="81"/>
        <v>0</v>
      </c>
      <c r="X272" s="44">
        <f t="shared" si="82"/>
        <v>0</v>
      </c>
      <c r="Y272" s="44" t="s">
        <v>2765</v>
      </c>
      <c r="Z272" s="44" t="str">
        <f t="shared" si="83"/>
        <v>No</v>
      </c>
      <c r="AA272" s="44" t="str">
        <f t="shared" si="83"/>
        <v>No</v>
      </c>
      <c r="AB272" s="44" t="str">
        <f t="shared" si="84"/>
        <v>No</v>
      </c>
      <c r="AC272" s="80">
        <f t="shared" si="91"/>
        <v>0</v>
      </c>
      <c r="AD272" s="80">
        <f t="shared" si="92"/>
        <v>0</v>
      </c>
      <c r="AE272" s="44">
        <f t="shared" si="85"/>
        <v>0</v>
      </c>
      <c r="AF272" s="44">
        <f t="shared" si="85"/>
        <v>0</v>
      </c>
      <c r="AG272" s="44">
        <f t="shared" si="86"/>
        <v>0</v>
      </c>
      <c r="AH272" s="46">
        <f>IF(Y272="No",0,IFERROR(ROUNDDOWN(INDEX('90% of ACR'!K:K,MATCH(H:H,'90% of ACR'!A:A,0))*IF(I272&gt;0,IF(O272&gt;0,$R$4*MAX(O272-V272,0),0),0)/I272,2),0))</f>
        <v>0</v>
      </c>
      <c r="AI272" s="80">
        <f>IF(Y272="No",0,IFERROR(ROUNDDOWN(INDEX('90% of ACR'!R:R,MATCH(H:H,'90% of ACR'!A:A,0))*IF(J272&gt;0,IF(P272&gt;0,$R$4*MAX(P272-W272,0),0),0)/J272,2),0))</f>
        <v>0</v>
      </c>
      <c r="AJ272" s="44">
        <f t="shared" si="87"/>
        <v>0</v>
      </c>
      <c r="AK272" s="44">
        <f t="shared" si="87"/>
        <v>0</v>
      </c>
      <c r="AL272" s="46">
        <f t="shared" si="88"/>
        <v>0</v>
      </c>
      <c r="AM272" s="46">
        <f t="shared" si="88"/>
        <v>0</v>
      </c>
      <c r="AN272" s="81">
        <f>IFERROR(INDEX(FeeCalc!P:P,MATCH(C272,FeeCalc!F:F,0)),0)</f>
        <v>0</v>
      </c>
      <c r="AO272" s="81">
        <f>IFERROR(INDEX(FeeCalc!S:S,MATCH(C272,FeeCalc!F:F,0)),0)</f>
        <v>0</v>
      </c>
      <c r="AP272" s="81">
        <f t="shared" si="89"/>
        <v>0</v>
      </c>
      <c r="AQ272" s="68">
        <f t="shared" si="90"/>
        <v>0</v>
      </c>
      <c r="AR272" s="68">
        <f>INDEX('IGT Commitment Suggestions'!H:H,MATCH(G272,'IGT Commitment Suggestions'!A:A,0))*AQ272</f>
        <v>0</v>
      </c>
    </row>
    <row r="273" spans="1:44" ht="25.5">
      <c r="A273" s="103" t="s">
        <v>1268</v>
      </c>
      <c r="B273" s="123" t="s">
        <v>1268</v>
      </c>
      <c r="C273" s="30" t="s">
        <v>1269</v>
      </c>
      <c r="D273" s="124" t="s">
        <v>1269</v>
      </c>
      <c r="E273" s="119" t="s">
        <v>2897</v>
      </c>
      <c r="F273" s="99" t="s">
        <v>2544</v>
      </c>
      <c r="G273" s="99" t="s">
        <v>1526</v>
      </c>
      <c r="H273" s="42" t="str">
        <f t="shared" si="76"/>
        <v>Non-state-owned IMD Lubbock</v>
      </c>
      <c r="I273" s="44">
        <f>INDEX(FeeCalc!M:M,MATCH(C:C,FeeCalc!F:F,0))</f>
        <v>5872.5329898181408</v>
      </c>
      <c r="J273" s="44">
        <f>INDEX(FeeCalc!L:L,MATCH(C:C,FeeCalc!F:F,0))</f>
        <v>0</v>
      </c>
      <c r="K273" s="44">
        <f t="shared" si="77"/>
        <v>5872.5329898181408</v>
      </c>
      <c r="L273" s="44">
        <v>882.6</v>
      </c>
      <c r="M273" s="44">
        <v>0</v>
      </c>
      <c r="N273" s="44">
        <f t="shared" si="78"/>
        <v>882.6</v>
      </c>
      <c r="O273" s="44">
        <v>-1785.1992887754877</v>
      </c>
      <c r="P273" s="44">
        <v>0</v>
      </c>
      <c r="Q273" s="44">
        <f t="shared" si="79"/>
        <v>-1785.1992887754877</v>
      </c>
      <c r="R273" s="44" t="str">
        <f t="shared" si="80"/>
        <v>No</v>
      </c>
      <c r="S273" s="45" t="str">
        <f t="shared" si="80"/>
        <v>No</v>
      </c>
      <c r="T273" s="46">
        <f>ROUND(INDEX(Summary!H:H,MATCH(H:H,Summary!A:A,0)),2)</f>
        <v>0.15</v>
      </c>
      <c r="U273" s="46">
        <f>ROUND(INDEX(Summary!I:I,MATCH(H:H,Summary!A:A,0)),2)</f>
        <v>0</v>
      </c>
      <c r="V273" s="79">
        <f t="shared" si="81"/>
        <v>880.87994847272114</v>
      </c>
      <c r="W273" s="79">
        <f t="shared" si="81"/>
        <v>0</v>
      </c>
      <c r="X273" s="44">
        <f t="shared" si="82"/>
        <v>880.87994847272114</v>
      </c>
      <c r="Y273" s="44" t="s">
        <v>2765</v>
      </c>
      <c r="Z273" s="44" t="str">
        <f t="shared" si="83"/>
        <v>No</v>
      </c>
      <c r="AA273" s="44" t="str">
        <f t="shared" si="83"/>
        <v>No</v>
      </c>
      <c r="AB273" s="44" t="str">
        <f t="shared" si="84"/>
        <v>No</v>
      </c>
      <c r="AC273" s="80">
        <f t="shared" si="91"/>
        <v>0</v>
      </c>
      <c r="AD273" s="80">
        <f t="shared" si="92"/>
        <v>0</v>
      </c>
      <c r="AE273" s="44">
        <f t="shared" si="85"/>
        <v>0</v>
      </c>
      <c r="AF273" s="44">
        <f t="shared" si="85"/>
        <v>0</v>
      </c>
      <c r="AG273" s="44">
        <f t="shared" si="86"/>
        <v>0</v>
      </c>
      <c r="AH273" s="46">
        <f>IF(Y273="No",0,IFERROR(ROUNDDOWN(INDEX('90% of ACR'!K:K,MATCH(H:H,'90% of ACR'!A:A,0))*IF(I273&gt;0,IF(O273&gt;0,$R$4*MAX(O273-V273,0),0),0)/I273,2),0))</f>
        <v>0</v>
      </c>
      <c r="AI273" s="80">
        <f>IF(Y273="No",0,IFERROR(ROUNDDOWN(INDEX('90% of ACR'!R:R,MATCH(H:H,'90% of ACR'!A:A,0))*IF(J273&gt;0,IF(P273&gt;0,$R$4*MAX(P273-W273,0),0),0)/J273,2),0))</f>
        <v>0</v>
      </c>
      <c r="AJ273" s="44">
        <f t="shared" si="87"/>
        <v>0</v>
      </c>
      <c r="AK273" s="44">
        <f t="shared" si="87"/>
        <v>0</v>
      </c>
      <c r="AL273" s="46">
        <f t="shared" si="88"/>
        <v>0.15</v>
      </c>
      <c r="AM273" s="46">
        <f t="shared" si="88"/>
        <v>0</v>
      </c>
      <c r="AN273" s="81">
        <f>IFERROR(INDEX(FeeCalc!P:P,MATCH(C273,FeeCalc!F:F,0)),0)</f>
        <v>880.87994847272114</v>
      </c>
      <c r="AO273" s="81">
        <f>IFERROR(INDEX(FeeCalc!S:S,MATCH(C273,FeeCalc!F:F,0)),0)</f>
        <v>53.740686511598376</v>
      </c>
      <c r="AP273" s="81">
        <f t="shared" si="89"/>
        <v>934.62063498431951</v>
      </c>
      <c r="AQ273" s="68">
        <f t="shared" si="90"/>
        <v>367.82182013934892</v>
      </c>
      <c r="AR273" s="68">
        <f>INDEX('IGT Commitment Suggestions'!H:H,MATCH(G273,'IGT Commitment Suggestions'!A:A,0))*AQ273</f>
        <v>168.44644060061182</v>
      </c>
    </row>
    <row r="274" spans="1:44">
      <c r="A274" s="103" t="s">
        <v>1336</v>
      </c>
      <c r="B274" s="123" t="s">
        <v>1336</v>
      </c>
      <c r="C274" s="30" t="s">
        <v>1337</v>
      </c>
      <c r="D274" s="124" t="s">
        <v>1337</v>
      </c>
      <c r="E274" s="119" t="s">
        <v>2898</v>
      </c>
      <c r="F274" s="99" t="s">
        <v>2295</v>
      </c>
      <c r="G274" s="99" t="s">
        <v>310</v>
      </c>
      <c r="H274" s="42" t="str">
        <f t="shared" si="76"/>
        <v>Rural MRSA Northeast</v>
      </c>
      <c r="I274" s="44">
        <f>INDEX(FeeCalc!M:M,MATCH(C:C,FeeCalc!F:F,0))</f>
        <v>4336886.7532317238</v>
      </c>
      <c r="J274" s="44">
        <f>INDEX(FeeCalc!L:L,MATCH(C:C,FeeCalc!F:F,0))</f>
        <v>2345076.4794119732</v>
      </c>
      <c r="K274" s="44">
        <f t="shared" si="77"/>
        <v>6681963.2326436974</v>
      </c>
      <c r="L274" s="44">
        <v>-455324.83</v>
      </c>
      <c r="M274" s="44">
        <v>2489886.44</v>
      </c>
      <c r="N274" s="44">
        <f t="shared" si="78"/>
        <v>2034561.6099999999</v>
      </c>
      <c r="O274" s="44">
        <v>1353135.5123091191</v>
      </c>
      <c r="P274" s="44">
        <v>3816376.4572637607</v>
      </c>
      <c r="Q274" s="44">
        <f t="shared" si="79"/>
        <v>5169511.9695728794</v>
      </c>
      <c r="R274" s="44" t="str">
        <f t="shared" si="80"/>
        <v>Yes</v>
      </c>
      <c r="S274" s="45" t="str">
        <f t="shared" si="80"/>
        <v>Yes</v>
      </c>
      <c r="T274" s="46">
        <f>ROUND(INDEX(Summary!H:H,MATCH(H:H,Summary!A:A,0)),2)</f>
        <v>0</v>
      </c>
      <c r="U274" s="46">
        <f>ROUND(INDEX(Summary!I:I,MATCH(H:H,Summary!A:A,0)),2)</f>
        <v>0.32</v>
      </c>
      <c r="V274" s="79">
        <f t="shared" si="81"/>
        <v>0</v>
      </c>
      <c r="W274" s="79">
        <f t="shared" si="81"/>
        <v>750424.47341183142</v>
      </c>
      <c r="X274" s="44">
        <f t="shared" si="82"/>
        <v>750424.47341183142</v>
      </c>
      <c r="Y274" s="44" t="s">
        <v>2765</v>
      </c>
      <c r="Z274" s="44" t="str">
        <f t="shared" si="83"/>
        <v>Yes</v>
      </c>
      <c r="AA274" s="44" t="str">
        <f t="shared" si="83"/>
        <v>Yes</v>
      </c>
      <c r="AB274" s="44" t="str">
        <f t="shared" si="84"/>
        <v>Yes</v>
      </c>
      <c r="AC274" s="80">
        <f t="shared" si="91"/>
        <v>0.22</v>
      </c>
      <c r="AD274" s="80">
        <f t="shared" si="92"/>
        <v>0.91</v>
      </c>
      <c r="AE274" s="44">
        <f t="shared" si="85"/>
        <v>954115.08571097918</v>
      </c>
      <c r="AF274" s="44">
        <f t="shared" si="85"/>
        <v>2134019.5962648955</v>
      </c>
      <c r="AG274" s="44">
        <f t="shared" si="86"/>
        <v>3088134.6819758746</v>
      </c>
      <c r="AH274" s="46">
        <f>IF(Y274="No",0,IFERROR(ROUNDDOWN(INDEX('90% of ACR'!K:K,MATCH(H:H,'90% of ACR'!A:A,0))*IF(I274&gt;0,IF(O274&gt;0,$R$4*MAX(O274-V274,0),0),0)/I274,2),0))</f>
        <v>0.14000000000000001</v>
      </c>
      <c r="AI274" s="80">
        <f>IF(Y274="No",0,IFERROR(ROUNDDOWN(INDEX('90% of ACR'!R:R,MATCH(H:H,'90% of ACR'!A:A,0))*IF(J274&gt;0,IF(P274&gt;0,$R$4*MAX(P274-W274,0),0),0)/J274,2),0))</f>
        <v>0.91</v>
      </c>
      <c r="AJ274" s="44">
        <f t="shared" si="87"/>
        <v>607164.14545244141</v>
      </c>
      <c r="AK274" s="44">
        <f t="shared" si="87"/>
        <v>2134019.5962648955</v>
      </c>
      <c r="AL274" s="46">
        <f t="shared" si="88"/>
        <v>0.14000000000000001</v>
      </c>
      <c r="AM274" s="46">
        <f t="shared" si="88"/>
        <v>1.23</v>
      </c>
      <c r="AN274" s="81">
        <f>IFERROR(INDEX(FeeCalc!P:P,MATCH(C274,FeeCalc!F:F,0)),0)</f>
        <v>3491608.2151291687</v>
      </c>
      <c r="AO274" s="81">
        <f>IFERROR(INDEX(FeeCalc!S:S,MATCH(C274,FeeCalc!F:F,0)),0)</f>
        <v>215447.7177439683</v>
      </c>
      <c r="AP274" s="81">
        <f t="shared" si="89"/>
        <v>3707055.9328731368</v>
      </c>
      <c r="AQ274" s="68">
        <f t="shared" si="90"/>
        <v>1458919.276494089</v>
      </c>
      <c r="AR274" s="68">
        <f>INDEX('IGT Commitment Suggestions'!H:H,MATCH(G274,'IGT Commitment Suggestions'!A:A,0))*AQ274</f>
        <v>668194.39653695899</v>
      </c>
    </row>
    <row r="275" spans="1:44">
      <c r="A275" s="103" t="s">
        <v>111</v>
      </c>
      <c r="B275" s="123" t="s">
        <v>111</v>
      </c>
      <c r="C275" s="30" t="s">
        <v>112</v>
      </c>
      <c r="D275" s="124" t="s">
        <v>112</v>
      </c>
      <c r="E275" s="119" t="s">
        <v>2428</v>
      </c>
      <c r="F275" s="99" t="s">
        <v>2295</v>
      </c>
      <c r="G275" s="99" t="s">
        <v>227</v>
      </c>
      <c r="H275" s="42" t="str">
        <f t="shared" si="76"/>
        <v>Rural MRSA West</v>
      </c>
      <c r="I275" s="44">
        <f>INDEX(FeeCalc!M:M,MATCH(C:C,FeeCalc!F:F,0))</f>
        <v>1273036.0585383342</v>
      </c>
      <c r="J275" s="44">
        <f>INDEX(FeeCalc!L:L,MATCH(C:C,FeeCalc!F:F,0))</f>
        <v>1833777.7984494262</v>
      </c>
      <c r="K275" s="44">
        <f t="shared" si="77"/>
        <v>3106813.8569877604</v>
      </c>
      <c r="L275" s="44">
        <v>1158952.1100000001</v>
      </c>
      <c r="M275" s="44">
        <v>13306.21</v>
      </c>
      <c r="N275" s="44">
        <f t="shared" si="78"/>
        <v>1172258.32</v>
      </c>
      <c r="O275" s="44">
        <v>641930.6191056635</v>
      </c>
      <c r="P275" s="44">
        <v>834649.233919046</v>
      </c>
      <c r="Q275" s="44">
        <f t="shared" si="79"/>
        <v>1476579.8530247095</v>
      </c>
      <c r="R275" s="44" t="str">
        <f t="shared" si="80"/>
        <v>Yes</v>
      </c>
      <c r="S275" s="45" t="str">
        <f t="shared" si="80"/>
        <v>Yes</v>
      </c>
      <c r="T275" s="46">
        <f>ROUND(INDEX(Summary!H:H,MATCH(H:H,Summary!A:A,0)),2)</f>
        <v>0</v>
      </c>
      <c r="U275" s="46">
        <f>ROUND(INDEX(Summary!I:I,MATCH(H:H,Summary!A:A,0)),2)</f>
        <v>0.18</v>
      </c>
      <c r="V275" s="79">
        <f t="shared" si="81"/>
        <v>0</v>
      </c>
      <c r="W275" s="79">
        <f t="shared" si="81"/>
        <v>330080.00372089673</v>
      </c>
      <c r="X275" s="44">
        <f t="shared" si="82"/>
        <v>330080.00372089673</v>
      </c>
      <c r="Y275" s="44" t="s">
        <v>2765</v>
      </c>
      <c r="Z275" s="44" t="str">
        <f t="shared" si="83"/>
        <v>No</v>
      </c>
      <c r="AA275" s="44" t="str">
        <f t="shared" si="83"/>
        <v>Yes</v>
      </c>
      <c r="AB275" s="44" t="str">
        <f t="shared" si="84"/>
        <v>Yes</v>
      </c>
      <c r="AC275" s="80">
        <f t="shared" si="91"/>
        <v>0.35</v>
      </c>
      <c r="AD275" s="80">
        <f t="shared" si="92"/>
        <v>0.19</v>
      </c>
      <c r="AE275" s="44">
        <f t="shared" si="85"/>
        <v>445562.62048841693</v>
      </c>
      <c r="AF275" s="44">
        <f t="shared" si="85"/>
        <v>348417.78170539095</v>
      </c>
      <c r="AG275" s="44">
        <f t="shared" si="86"/>
        <v>793980.40219380788</v>
      </c>
      <c r="AH275" s="46">
        <f>IF(Y275="No",0,IFERROR(ROUNDDOWN(INDEX('90% of ACR'!K:K,MATCH(H:H,'90% of ACR'!A:A,0))*IF(I275&gt;0,IF(O275&gt;0,$R$4*MAX(O275-V275,0),0),0)/I275,2),0))</f>
        <v>0</v>
      </c>
      <c r="AI275" s="80">
        <f>IF(Y275="No",0,IFERROR(ROUNDDOWN(INDEX('90% of ACR'!R:R,MATCH(H:H,'90% of ACR'!A:A,0))*IF(J275&gt;0,IF(P275&gt;0,$R$4*MAX(P275-W275,0),0),0)/J275,2),0))</f>
        <v>0.18</v>
      </c>
      <c r="AJ275" s="44">
        <f t="shared" si="87"/>
        <v>0</v>
      </c>
      <c r="AK275" s="44">
        <f t="shared" si="87"/>
        <v>330080.00372089673</v>
      </c>
      <c r="AL275" s="46">
        <f t="shared" si="88"/>
        <v>0</v>
      </c>
      <c r="AM275" s="46">
        <f t="shared" si="88"/>
        <v>0.36</v>
      </c>
      <c r="AN275" s="81">
        <f>IFERROR(INDEX(FeeCalc!P:P,MATCH(C275,FeeCalc!F:F,0)),0)</f>
        <v>660160.00744179345</v>
      </c>
      <c r="AO275" s="81">
        <f>IFERROR(INDEX(FeeCalc!S:S,MATCH(C275,FeeCalc!F:F,0)),0)</f>
        <v>40449.090066987454</v>
      </c>
      <c r="AP275" s="81">
        <f t="shared" si="89"/>
        <v>700609.09750878089</v>
      </c>
      <c r="AQ275" s="68">
        <f t="shared" si="90"/>
        <v>275726.11154277576</v>
      </c>
      <c r="AR275" s="68">
        <f>INDEX('IGT Commitment Suggestions'!H:H,MATCH(G275,'IGT Commitment Suggestions'!A:A,0))*AQ275</f>
        <v>135123.34481632139</v>
      </c>
    </row>
    <row r="276" spans="1:44">
      <c r="A276" s="103" t="s">
        <v>707</v>
      </c>
      <c r="B276" s="123" t="s">
        <v>707</v>
      </c>
      <c r="C276" s="30" t="s">
        <v>708</v>
      </c>
      <c r="D276" s="124" t="s">
        <v>708</v>
      </c>
      <c r="E276" s="119" t="s">
        <v>2619</v>
      </c>
      <c r="F276" s="99" t="s">
        <v>2295</v>
      </c>
      <c r="G276" s="99" t="s">
        <v>1486</v>
      </c>
      <c r="H276" s="42" t="str">
        <f t="shared" si="76"/>
        <v>Rural MRSA Central</v>
      </c>
      <c r="I276" s="44">
        <f>INDEX(FeeCalc!M:M,MATCH(C:C,FeeCalc!F:F,0))</f>
        <v>132324.25846999089</v>
      </c>
      <c r="J276" s="44">
        <f>INDEX(FeeCalc!L:L,MATCH(C:C,FeeCalc!F:F,0))</f>
        <v>500413.69273426104</v>
      </c>
      <c r="K276" s="44">
        <f t="shared" si="77"/>
        <v>632737.95120425196</v>
      </c>
      <c r="L276" s="44">
        <v>26985.5</v>
      </c>
      <c r="M276" s="44">
        <v>70737.58</v>
      </c>
      <c r="N276" s="44">
        <f t="shared" si="78"/>
        <v>97723.08</v>
      </c>
      <c r="O276" s="44">
        <v>51747.943414851179</v>
      </c>
      <c r="P276" s="44">
        <v>180821.07217260142</v>
      </c>
      <c r="Q276" s="44">
        <f t="shared" si="79"/>
        <v>232569.0155874526</v>
      </c>
      <c r="R276" s="44" t="str">
        <f t="shared" si="80"/>
        <v>Yes</v>
      </c>
      <c r="S276" s="45" t="str">
        <f t="shared" si="80"/>
        <v>Yes</v>
      </c>
      <c r="T276" s="46">
        <f>ROUND(INDEX(Summary!H:H,MATCH(H:H,Summary!A:A,0)),2)</f>
        <v>0.11</v>
      </c>
      <c r="U276" s="46">
        <f>ROUND(INDEX(Summary!I:I,MATCH(H:H,Summary!A:A,0)),2)</f>
        <v>0.09</v>
      </c>
      <c r="V276" s="79">
        <f t="shared" si="81"/>
        <v>14555.668431698998</v>
      </c>
      <c r="W276" s="79">
        <f t="shared" si="81"/>
        <v>45037.232346083489</v>
      </c>
      <c r="X276" s="44">
        <f t="shared" si="82"/>
        <v>59592.900777782488</v>
      </c>
      <c r="Y276" s="44" t="s">
        <v>2765</v>
      </c>
      <c r="Z276" s="44" t="str">
        <f t="shared" si="83"/>
        <v>Yes</v>
      </c>
      <c r="AA276" s="44" t="str">
        <f t="shared" si="83"/>
        <v>Yes</v>
      </c>
      <c r="AB276" s="44" t="str">
        <f t="shared" si="84"/>
        <v>Yes</v>
      </c>
      <c r="AC276" s="80">
        <f t="shared" si="91"/>
        <v>0.2</v>
      </c>
      <c r="AD276" s="80">
        <f t="shared" si="92"/>
        <v>0.19</v>
      </c>
      <c r="AE276" s="44">
        <f t="shared" si="85"/>
        <v>26464.851693998178</v>
      </c>
      <c r="AF276" s="44">
        <f t="shared" si="85"/>
        <v>95078.601619509602</v>
      </c>
      <c r="AG276" s="44">
        <f t="shared" si="86"/>
        <v>121543.45331350778</v>
      </c>
      <c r="AH276" s="46">
        <f>IF(Y276="No",0,IFERROR(ROUNDDOWN(INDEX('90% of ACR'!K:K,MATCH(H:H,'90% of ACR'!A:A,0))*IF(I276&gt;0,IF(O276&gt;0,$R$4*MAX(O276-V276,0),0),0)/I276,2),0))</f>
        <v>0.1</v>
      </c>
      <c r="AI276" s="80">
        <f>IF(Y276="No",0,IFERROR(ROUNDDOWN(INDEX('90% of ACR'!R:R,MATCH(H:H,'90% of ACR'!A:A,0))*IF(J276&gt;0,IF(P276&gt;0,$R$4*MAX(P276-W276,0),0),0)/J276,2),0))</f>
        <v>0.18</v>
      </c>
      <c r="AJ276" s="44">
        <f t="shared" si="87"/>
        <v>13232.425846999089</v>
      </c>
      <c r="AK276" s="44">
        <f t="shared" si="87"/>
        <v>90074.464692166977</v>
      </c>
      <c r="AL276" s="46">
        <f t="shared" si="88"/>
        <v>0.21000000000000002</v>
      </c>
      <c r="AM276" s="46">
        <f t="shared" si="88"/>
        <v>0.27</v>
      </c>
      <c r="AN276" s="81">
        <f>IFERROR(INDEX(FeeCalc!P:P,MATCH(C276,FeeCalc!F:F,0)),0)</f>
        <v>162899.79131694857</v>
      </c>
      <c r="AO276" s="81">
        <f>IFERROR(INDEX(FeeCalc!S:S,MATCH(C276,FeeCalc!F:F,0)),0)</f>
        <v>10148.659455091054</v>
      </c>
      <c r="AP276" s="81">
        <f t="shared" si="89"/>
        <v>173048.45077203962</v>
      </c>
      <c r="AQ276" s="68">
        <f t="shared" si="90"/>
        <v>68103.563898237742</v>
      </c>
      <c r="AR276" s="68">
        <f>INDEX('IGT Commitment Suggestions'!H:H,MATCH(G276,'IGT Commitment Suggestions'!A:A,0))*AQ276</f>
        <v>31112.225355655726</v>
      </c>
    </row>
    <row r="277" spans="1:44">
      <c r="A277" s="103" t="s">
        <v>468</v>
      </c>
      <c r="B277" s="123" t="s">
        <v>468</v>
      </c>
      <c r="C277" s="30" t="s">
        <v>469</v>
      </c>
      <c r="D277" s="124" t="s">
        <v>469</v>
      </c>
      <c r="E277" s="119" t="s">
        <v>2581</v>
      </c>
      <c r="F277" s="99" t="s">
        <v>2283</v>
      </c>
      <c r="G277" s="99" t="s">
        <v>1365</v>
      </c>
      <c r="H277" s="42" t="str">
        <f t="shared" si="76"/>
        <v>Urban Tarrant</v>
      </c>
      <c r="I277" s="44">
        <f>INDEX(FeeCalc!M:M,MATCH(C:C,FeeCalc!F:F,0))</f>
        <v>506936.65267264115</v>
      </c>
      <c r="J277" s="44">
        <f>INDEX(FeeCalc!L:L,MATCH(C:C,FeeCalc!F:F,0))</f>
        <v>361002.51894523448</v>
      </c>
      <c r="K277" s="44">
        <f t="shared" si="77"/>
        <v>867939.17161787557</v>
      </c>
      <c r="L277" s="44">
        <v>225220.37</v>
      </c>
      <c r="M277" s="44">
        <v>195785.28</v>
      </c>
      <c r="N277" s="44">
        <f t="shared" si="78"/>
        <v>421005.65</v>
      </c>
      <c r="O277" s="44">
        <v>1124861.6707073657</v>
      </c>
      <c r="P277" s="44">
        <v>287702.73254748719</v>
      </c>
      <c r="Q277" s="44">
        <f t="shared" si="79"/>
        <v>1412564.4032548529</v>
      </c>
      <c r="R277" s="44" t="str">
        <f t="shared" si="80"/>
        <v>Yes</v>
      </c>
      <c r="S277" s="45" t="str">
        <f t="shared" si="80"/>
        <v>Yes</v>
      </c>
      <c r="T277" s="46">
        <f>ROUND(INDEX(Summary!H:H,MATCH(H:H,Summary!A:A,0)),2)</f>
        <v>0.84</v>
      </c>
      <c r="U277" s="46">
        <f>ROUND(INDEX(Summary!I:I,MATCH(H:H,Summary!A:A,0)),2)</f>
        <v>0.55000000000000004</v>
      </c>
      <c r="V277" s="79">
        <f t="shared" si="81"/>
        <v>425826.78824501857</v>
      </c>
      <c r="W277" s="79">
        <f t="shared" si="81"/>
        <v>198551.38541987899</v>
      </c>
      <c r="X277" s="44">
        <f t="shared" si="82"/>
        <v>624378.17366489756</v>
      </c>
      <c r="Y277" s="44" t="s">
        <v>2765</v>
      </c>
      <c r="Z277" s="44" t="str">
        <f t="shared" si="83"/>
        <v>Yes</v>
      </c>
      <c r="AA277" s="44" t="str">
        <f t="shared" si="83"/>
        <v>Yes</v>
      </c>
      <c r="AB277" s="44" t="str">
        <f t="shared" si="84"/>
        <v>Yes</v>
      </c>
      <c r="AC277" s="80">
        <f t="shared" si="91"/>
        <v>0.96</v>
      </c>
      <c r="AD277" s="80">
        <f t="shared" si="92"/>
        <v>0.17</v>
      </c>
      <c r="AE277" s="44">
        <f t="shared" si="85"/>
        <v>486659.18656573549</v>
      </c>
      <c r="AF277" s="44">
        <f t="shared" si="85"/>
        <v>61370.428220689864</v>
      </c>
      <c r="AG277" s="44">
        <f t="shared" si="86"/>
        <v>548029.61478642537</v>
      </c>
      <c r="AH277" s="46">
        <f>IF(Y277="No",0,IFERROR(ROUNDDOWN(INDEX('90% of ACR'!K:K,MATCH(H:H,'90% of ACR'!A:A,0))*IF(I277&gt;0,IF(O277&gt;0,$R$4*MAX(O277-V277,0),0),0)/I277,2),0))</f>
        <v>0.96</v>
      </c>
      <c r="AI277" s="80">
        <f>IF(Y277="No",0,IFERROR(ROUNDDOWN(INDEX('90% of ACR'!R:R,MATCH(H:H,'90% of ACR'!A:A,0))*IF(J277&gt;0,IF(P277&gt;0,$R$4*MAX(P277-W277,0),0),0)/J277,2),0))</f>
        <v>0.16</v>
      </c>
      <c r="AJ277" s="44">
        <f t="shared" si="87"/>
        <v>486659.18656573549</v>
      </c>
      <c r="AK277" s="44">
        <f t="shared" si="87"/>
        <v>57760.403031237518</v>
      </c>
      <c r="AL277" s="46">
        <f t="shared" si="88"/>
        <v>1.7999999999999998</v>
      </c>
      <c r="AM277" s="46">
        <f t="shared" si="88"/>
        <v>0.71000000000000008</v>
      </c>
      <c r="AN277" s="81">
        <f>IFERROR(INDEX(FeeCalc!P:P,MATCH(C277,FeeCalc!F:F,0)),0)</f>
        <v>1168797.7632618705</v>
      </c>
      <c r="AO277" s="81">
        <f>IFERROR(INDEX(FeeCalc!S:S,MATCH(C277,FeeCalc!F:F,0)),0)</f>
        <v>73780.977688034603</v>
      </c>
      <c r="AP277" s="81">
        <f t="shared" si="89"/>
        <v>1242578.740949905</v>
      </c>
      <c r="AQ277" s="68">
        <f t="shared" si="90"/>
        <v>489019.34865831706</v>
      </c>
      <c r="AR277" s="68">
        <f>INDEX('IGT Commitment Suggestions'!H:H,MATCH(G277,'IGT Commitment Suggestions'!A:A,0))*AQ277</f>
        <v>223037.07136484404</v>
      </c>
    </row>
    <row r="278" spans="1:44">
      <c r="A278" s="103" t="s">
        <v>97</v>
      </c>
      <c r="B278" s="123" t="s">
        <v>97</v>
      </c>
      <c r="C278" s="30" t="s">
        <v>98</v>
      </c>
      <c r="D278" s="124" t="s">
        <v>98</v>
      </c>
      <c r="E278" s="119" t="s">
        <v>2899</v>
      </c>
      <c r="F278" s="99" t="s">
        <v>2295</v>
      </c>
      <c r="G278" s="99" t="s">
        <v>1486</v>
      </c>
      <c r="H278" s="42" t="str">
        <f t="shared" si="76"/>
        <v>Rural MRSA Central</v>
      </c>
      <c r="I278" s="44">
        <f>INDEX(FeeCalc!M:M,MATCH(C:C,FeeCalc!F:F,0))</f>
        <v>1348279.4144599091</v>
      </c>
      <c r="J278" s="44">
        <f>INDEX(FeeCalc!L:L,MATCH(C:C,FeeCalc!F:F,0))</f>
        <v>1235568.4419299141</v>
      </c>
      <c r="K278" s="44">
        <f t="shared" si="77"/>
        <v>2583847.8563898234</v>
      </c>
      <c r="L278" s="44">
        <v>293668.82</v>
      </c>
      <c r="M278" s="44">
        <v>377073.15</v>
      </c>
      <c r="N278" s="44">
        <f t="shared" si="78"/>
        <v>670741.97</v>
      </c>
      <c r="O278" s="44">
        <v>199594.25798556185</v>
      </c>
      <c r="P278" s="44">
        <v>565487.32062444766</v>
      </c>
      <c r="Q278" s="44">
        <f t="shared" si="79"/>
        <v>765081.57861000951</v>
      </c>
      <c r="R278" s="44" t="str">
        <f t="shared" si="80"/>
        <v>Yes</v>
      </c>
      <c r="S278" s="45" t="str">
        <f t="shared" si="80"/>
        <v>Yes</v>
      </c>
      <c r="T278" s="46">
        <f>ROUND(INDEX(Summary!H:H,MATCH(H:H,Summary!A:A,0)),2)</f>
        <v>0.11</v>
      </c>
      <c r="U278" s="46">
        <f>ROUND(INDEX(Summary!I:I,MATCH(H:H,Summary!A:A,0)),2)</f>
        <v>0.09</v>
      </c>
      <c r="V278" s="79">
        <f t="shared" si="81"/>
        <v>148310.73559058999</v>
      </c>
      <c r="W278" s="79">
        <f t="shared" si="81"/>
        <v>111201.15977369226</v>
      </c>
      <c r="X278" s="44">
        <f t="shared" si="82"/>
        <v>259511.89536428225</v>
      </c>
      <c r="Y278" s="44" t="s">
        <v>2765</v>
      </c>
      <c r="Z278" s="44" t="str">
        <f t="shared" si="83"/>
        <v>Yes</v>
      </c>
      <c r="AA278" s="44" t="str">
        <f t="shared" si="83"/>
        <v>Yes</v>
      </c>
      <c r="AB278" s="44" t="str">
        <f t="shared" si="84"/>
        <v>Yes</v>
      </c>
      <c r="AC278" s="80">
        <f t="shared" si="91"/>
        <v>0.03</v>
      </c>
      <c r="AD278" s="80">
        <f t="shared" si="92"/>
        <v>0.26</v>
      </c>
      <c r="AE278" s="44">
        <f t="shared" si="85"/>
        <v>40448.382433797269</v>
      </c>
      <c r="AF278" s="44">
        <f t="shared" si="85"/>
        <v>321247.79490177764</v>
      </c>
      <c r="AG278" s="44">
        <f t="shared" si="86"/>
        <v>361696.17733557493</v>
      </c>
      <c r="AH278" s="46">
        <f>IF(Y278="No",0,IFERROR(ROUNDDOWN(INDEX('90% of ACR'!K:K,MATCH(H:H,'90% of ACR'!A:A,0))*IF(I278&gt;0,IF(O278&gt;0,$R$4*MAX(O278-V278,0),0),0)/I278,2),0))</f>
        <v>0.01</v>
      </c>
      <c r="AI278" s="80">
        <f>IF(Y278="No",0,IFERROR(ROUNDDOWN(INDEX('90% of ACR'!R:R,MATCH(H:H,'90% of ACR'!A:A,0))*IF(J278&gt;0,IF(P278&gt;0,$R$4*MAX(P278-W278,0),0),0)/J278,2),0))</f>
        <v>0.25</v>
      </c>
      <c r="AJ278" s="44">
        <f t="shared" si="87"/>
        <v>13482.794144599091</v>
      </c>
      <c r="AK278" s="44">
        <f t="shared" si="87"/>
        <v>308892.11048247851</v>
      </c>
      <c r="AL278" s="46">
        <f t="shared" si="88"/>
        <v>0.12</v>
      </c>
      <c r="AM278" s="46">
        <f t="shared" si="88"/>
        <v>0.33999999999999997</v>
      </c>
      <c r="AN278" s="81">
        <f>IFERROR(INDEX(FeeCalc!P:P,MATCH(C278,FeeCalc!F:F,0)),0)</f>
        <v>581886.79999135982</v>
      </c>
      <c r="AO278" s="81">
        <f>IFERROR(INDEX(FeeCalc!S:S,MATCH(C278,FeeCalc!F:F,0)),0)</f>
        <v>35889.316229237214</v>
      </c>
      <c r="AP278" s="81">
        <f t="shared" si="89"/>
        <v>617776.11622059706</v>
      </c>
      <c r="AQ278" s="68">
        <f t="shared" si="90"/>
        <v>243127.02609084841</v>
      </c>
      <c r="AR278" s="68">
        <f>INDEX('IGT Commitment Suggestions'!H:H,MATCH(G278,'IGT Commitment Suggestions'!A:A,0))*AQ278</f>
        <v>111069.41241858561</v>
      </c>
    </row>
    <row r="279" spans="1:44">
      <c r="A279" s="103" t="s">
        <v>620</v>
      </c>
      <c r="B279" s="123" t="s">
        <v>620</v>
      </c>
      <c r="C279" s="30" t="s">
        <v>621</v>
      </c>
      <c r="D279" s="124" t="s">
        <v>621</v>
      </c>
      <c r="E279" s="119" t="s">
        <v>2900</v>
      </c>
      <c r="F279" s="99" t="s">
        <v>2295</v>
      </c>
      <c r="G279" s="99" t="s">
        <v>227</v>
      </c>
      <c r="H279" s="42" t="str">
        <f t="shared" si="76"/>
        <v>Rural MRSA West</v>
      </c>
      <c r="I279" s="44">
        <f>INDEX(FeeCalc!M:M,MATCH(C:C,FeeCalc!F:F,0))</f>
        <v>314338.23992064764</v>
      </c>
      <c r="J279" s="44">
        <f>INDEX(FeeCalc!L:L,MATCH(C:C,FeeCalc!F:F,0))</f>
        <v>540923.51413675502</v>
      </c>
      <c r="K279" s="44">
        <f t="shared" si="77"/>
        <v>855261.75405740272</v>
      </c>
      <c r="L279" s="44">
        <v>117606.62</v>
      </c>
      <c r="M279" s="44">
        <v>151201.94</v>
      </c>
      <c r="N279" s="44">
        <f t="shared" si="78"/>
        <v>268808.56</v>
      </c>
      <c r="O279" s="44">
        <v>-76068.992451453785</v>
      </c>
      <c r="P279" s="44">
        <v>61096.637757426506</v>
      </c>
      <c r="Q279" s="44">
        <f t="shared" si="79"/>
        <v>-14972.354694027279</v>
      </c>
      <c r="R279" s="44" t="str">
        <f t="shared" si="80"/>
        <v>No</v>
      </c>
      <c r="S279" s="45" t="str">
        <f t="shared" si="80"/>
        <v>Yes</v>
      </c>
      <c r="T279" s="46">
        <f>ROUND(INDEX(Summary!H:H,MATCH(H:H,Summary!A:A,0)),2)</f>
        <v>0</v>
      </c>
      <c r="U279" s="46">
        <f>ROUND(INDEX(Summary!I:I,MATCH(H:H,Summary!A:A,0)),2)</f>
        <v>0.18</v>
      </c>
      <c r="V279" s="79">
        <f t="shared" si="81"/>
        <v>0</v>
      </c>
      <c r="W279" s="79">
        <f t="shared" si="81"/>
        <v>97366.232544615894</v>
      </c>
      <c r="X279" s="44">
        <f t="shared" si="82"/>
        <v>97366.232544615894</v>
      </c>
      <c r="Y279" s="44" t="s">
        <v>2765</v>
      </c>
      <c r="Z279" s="44" t="str">
        <f t="shared" si="83"/>
        <v>No</v>
      </c>
      <c r="AA279" s="44" t="str">
        <f t="shared" si="83"/>
        <v>No</v>
      </c>
      <c r="AB279" s="44" t="str">
        <f t="shared" si="84"/>
        <v>No</v>
      </c>
      <c r="AC279" s="80">
        <f t="shared" si="91"/>
        <v>0</v>
      </c>
      <c r="AD279" s="80">
        <f t="shared" si="92"/>
        <v>0</v>
      </c>
      <c r="AE279" s="44">
        <f t="shared" si="85"/>
        <v>0</v>
      </c>
      <c r="AF279" s="44">
        <f t="shared" si="85"/>
        <v>0</v>
      </c>
      <c r="AG279" s="44">
        <f t="shared" si="86"/>
        <v>0</v>
      </c>
      <c r="AH279" s="46">
        <f>IF(Y279="No",0,IFERROR(ROUNDDOWN(INDEX('90% of ACR'!K:K,MATCH(H:H,'90% of ACR'!A:A,0))*IF(I279&gt;0,IF(O279&gt;0,$R$4*MAX(O279-V279,0),0),0)/I279,2),0))</f>
        <v>0</v>
      </c>
      <c r="AI279" s="80">
        <f>IF(Y279="No",0,IFERROR(ROUNDDOWN(INDEX('90% of ACR'!R:R,MATCH(H:H,'90% of ACR'!A:A,0))*IF(J279&gt;0,IF(P279&gt;0,$R$4*MAX(P279-W279,0),0),0)/J279,2),0))</f>
        <v>0</v>
      </c>
      <c r="AJ279" s="44">
        <f t="shared" si="87"/>
        <v>0</v>
      </c>
      <c r="AK279" s="44">
        <f t="shared" si="87"/>
        <v>0</v>
      </c>
      <c r="AL279" s="46">
        <f t="shared" si="88"/>
        <v>0</v>
      </c>
      <c r="AM279" s="46">
        <f t="shared" si="88"/>
        <v>0.18</v>
      </c>
      <c r="AN279" s="81">
        <f>IFERROR(INDEX(FeeCalc!P:P,MATCH(C279,FeeCalc!F:F,0)),0)</f>
        <v>97366.232544615894</v>
      </c>
      <c r="AO279" s="81">
        <f>IFERROR(INDEX(FeeCalc!S:S,MATCH(C279,FeeCalc!F:F,0)),0)</f>
        <v>6003.3388587583659</v>
      </c>
      <c r="AP279" s="81">
        <f t="shared" si="89"/>
        <v>103369.57140337426</v>
      </c>
      <c r="AQ279" s="68">
        <f t="shared" si="90"/>
        <v>40681.301564940746</v>
      </c>
      <c r="AR279" s="68">
        <f>INDEX('IGT Commitment Suggestions'!H:H,MATCH(G279,'IGT Commitment Suggestions'!A:A,0))*AQ279</f>
        <v>19936.427160194613</v>
      </c>
    </row>
    <row r="280" spans="1:44">
      <c r="A280" s="103" t="s">
        <v>722</v>
      </c>
      <c r="B280" s="123" t="s">
        <v>722</v>
      </c>
      <c r="C280" s="30" t="s">
        <v>723</v>
      </c>
      <c r="D280" s="124" t="s">
        <v>723</v>
      </c>
      <c r="E280" s="119" t="s">
        <v>2901</v>
      </c>
      <c r="F280" s="99" t="s">
        <v>2295</v>
      </c>
      <c r="G280" s="99" t="s">
        <v>1526</v>
      </c>
      <c r="H280" s="42" t="str">
        <f t="shared" si="76"/>
        <v>Rural Lubbock</v>
      </c>
      <c r="I280" s="44">
        <f>INDEX(FeeCalc!M:M,MATCH(C:C,FeeCalc!F:F,0))</f>
        <v>1809649.6929460336</v>
      </c>
      <c r="J280" s="44">
        <f>INDEX(FeeCalc!L:L,MATCH(C:C,FeeCalc!F:F,0))</f>
        <v>1525084.846125585</v>
      </c>
      <c r="K280" s="44">
        <f t="shared" si="77"/>
        <v>3334734.5390716186</v>
      </c>
      <c r="L280" s="44">
        <v>524454.47</v>
      </c>
      <c r="M280" s="44">
        <v>35702.07</v>
      </c>
      <c r="N280" s="44">
        <f t="shared" si="78"/>
        <v>560156.53999999992</v>
      </c>
      <c r="O280" s="44">
        <v>-95171.969029186876</v>
      </c>
      <c r="P280" s="44">
        <v>183549.75394303561</v>
      </c>
      <c r="Q280" s="44">
        <f t="shared" si="79"/>
        <v>88377.784913848736</v>
      </c>
      <c r="R280" s="44" t="str">
        <f t="shared" si="80"/>
        <v>No</v>
      </c>
      <c r="S280" s="45" t="str">
        <f t="shared" si="80"/>
        <v>Yes</v>
      </c>
      <c r="T280" s="46">
        <f>ROUND(INDEX(Summary!H:H,MATCH(H:H,Summary!A:A,0)),2)</f>
        <v>0.62</v>
      </c>
      <c r="U280" s="46">
        <f>ROUND(INDEX(Summary!I:I,MATCH(H:H,Summary!A:A,0)),2)</f>
        <v>0.2</v>
      </c>
      <c r="V280" s="79">
        <f t="shared" si="81"/>
        <v>1121982.8096265409</v>
      </c>
      <c r="W280" s="79">
        <f t="shared" si="81"/>
        <v>305016.96922511701</v>
      </c>
      <c r="X280" s="44">
        <f t="shared" si="82"/>
        <v>1426999.7788516579</v>
      </c>
      <c r="Y280" s="44" t="s">
        <v>2765</v>
      </c>
      <c r="Z280" s="44" t="str">
        <f t="shared" si="83"/>
        <v>No</v>
      </c>
      <c r="AA280" s="44" t="str">
        <f t="shared" si="83"/>
        <v>No</v>
      </c>
      <c r="AB280" s="44" t="str">
        <f t="shared" si="84"/>
        <v>No</v>
      </c>
      <c r="AC280" s="80">
        <f t="shared" si="91"/>
        <v>0</v>
      </c>
      <c r="AD280" s="80">
        <f t="shared" si="92"/>
        <v>0</v>
      </c>
      <c r="AE280" s="44">
        <f t="shared" si="85"/>
        <v>0</v>
      </c>
      <c r="AF280" s="44">
        <f t="shared" si="85"/>
        <v>0</v>
      </c>
      <c r="AG280" s="44">
        <f t="shared" si="86"/>
        <v>0</v>
      </c>
      <c r="AH280" s="46">
        <f>IF(Y280="No",0,IFERROR(ROUNDDOWN(INDEX('90% of ACR'!K:K,MATCH(H:H,'90% of ACR'!A:A,0))*IF(I280&gt;0,IF(O280&gt;0,$R$4*MAX(O280-V280,0),0),0)/I280,2),0))</f>
        <v>0</v>
      </c>
      <c r="AI280" s="80">
        <f>IF(Y280="No",0,IFERROR(ROUNDDOWN(INDEX('90% of ACR'!R:R,MATCH(H:H,'90% of ACR'!A:A,0))*IF(J280&gt;0,IF(P280&gt;0,$R$4*MAX(P280-W280,0),0),0)/J280,2),0))</f>
        <v>0</v>
      </c>
      <c r="AJ280" s="44">
        <f t="shared" si="87"/>
        <v>0</v>
      </c>
      <c r="AK280" s="44">
        <f t="shared" si="87"/>
        <v>0</v>
      </c>
      <c r="AL280" s="46">
        <f t="shared" si="88"/>
        <v>0.62</v>
      </c>
      <c r="AM280" s="46">
        <f t="shared" si="88"/>
        <v>0.2</v>
      </c>
      <c r="AN280" s="81">
        <f>IFERROR(INDEX(FeeCalc!P:P,MATCH(C280,FeeCalc!F:F,0)),0)</f>
        <v>1426999.7788516579</v>
      </c>
      <c r="AO280" s="81">
        <f>IFERROR(INDEX(FeeCalc!S:S,MATCH(C280,FeeCalc!F:F,0)),0)</f>
        <v>87325.937083218188</v>
      </c>
      <c r="AP280" s="81">
        <f t="shared" si="89"/>
        <v>1514325.7159348761</v>
      </c>
      <c r="AQ280" s="68">
        <f t="shared" si="90"/>
        <v>595965.91415760235</v>
      </c>
      <c r="AR280" s="68">
        <f>INDEX('IGT Commitment Suggestions'!H:H,MATCH(G280,'IGT Commitment Suggestions'!A:A,0))*AQ280</f>
        <v>272926.54068512266</v>
      </c>
    </row>
    <row r="281" spans="1:44">
      <c r="A281" s="103" t="s">
        <v>2294</v>
      </c>
      <c r="B281" s="123" t="s">
        <v>2294</v>
      </c>
      <c r="C281" s="30" t="s">
        <v>1924</v>
      </c>
      <c r="D281" s="124" t="s">
        <v>1924</v>
      </c>
      <c r="E281" s="119" t="s">
        <v>2902</v>
      </c>
      <c r="F281" s="99" t="s">
        <v>2295</v>
      </c>
      <c r="G281" s="99" t="s">
        <v>227</v>
      </c>
      <c r="H281" s="42" t="str">
        <f t="shared" si="76"/>
        <v>Rural MRSA West</v>
      </c>
      <c r="I281" s="44">
        <f>INDEX(FeeCalc!M:M,MATCH(C:C,FeeCalc!F:F,0))</f>
        <v>1722742.7929567876</v>
      </c>
      <c r="J281" s="44">
        <f>INDEX(FeeCalc!L:L,MATCH(C:C,FeeCalc!F:F,0))</f>
        <v>829463.86716192099</v>
      </c>
      <c r="K281" s="44">
        <f t="shared" si="77"/>
        <v>2552206.6601187084</v>
      </c>
      <c r="L281" s="44">
        <v>-14777.69</v>
      </c>
      <c r="M281" s="44">
        <v>698316.19</v>
      </c>
      <c r="N281" s="44">
        <f t="shared" si="78"/>
        <v>683538.5</v>
      </c>
      <c r="O281" s="44">
        <v>672492.39214589261</v>
      </c>
      <c r="P281" s="44">
        <v>1983971.181000283</v>
      </c>
      <c r="Q281" s="44">
        <f t="shared" si="79"/>
        <v>2656463.5731461756</v>
      </c>
      <c r="R281" s="44" t="str">
        <f t="shared" si="80"/>
        <v>Yes</v>
      </c>
      <c r="S281" s="45" t="str">
        <f t="shared" si="80"/>
        <v>Yes</v>
      </c>
      <c r="T281" s="46">
        <f>ROUND(INDEX(Summary!H:H,MATCH(H:H,Summary!A:A,0)),2)</f>
        <v>0</v>
      </c>
      <c r="U281" s="46">
        <f>ROUND(INDEX(Summary!I:I,MATCH(H:H,Summary!A:A,0)),2)</f>
        <v>0.18</v>
      </c>
      <c r="V281" s="79">
        <f t="shared" si="81"/>
        <v>0</v>
      </c>
      <c r="W281" s="79">
        <f t="shared" si="81"/>
        <v>149303.49608914577</v>
      </c>
      <c r="X281" s="44">
        <f t="shared" si="82"/>
        <v>149303.49608914577</v>
      </c>
      <c r="Y281" s="44" t="s">
        <v>2765</v>
      </c>
      <c r="Z281" s="44" t="str">
        <f t="shared" si="83"/>
        <v>No</v>
      </c>
      <c r="AA281" s="44" t="str">
        <f t="shared" si="83"/>
        <v>Yes</v>
      </c>
      <c r="AB281" s="44" t="str">
        <f t="shared" si="84"/>
        <v>Yes</v>
      </c>
      <c r="AC281" s="80">
        <f t="shared" si="91"/>
        <v>0.27</v>
      </c>
      <c r="AD281" s="80">
        <f t="shared" si="92"/>
        <v>1.54</v>
      </c>
      <c r="AE281" s="44">
        <f t="shared" si="85"/>
        <v>465140.55409833271</v>
      </c>
      <c r="AF281" s="44">
        <f t="shared" si="85"/>
        <v>1277374.3554293583</v>
      </c>
      <c r="AG281" s="44">
        <f t="shared" si="86"/>
        <v>1742514.9095276911</v>
      </c>
      <c r="AH281" s="46">
        <f>IF(Y281="No",0,IFERROR(ROUNDDOWN(INDEX('90% of ACR'!K:K,MATCH(H:H,'90% of ACR'!A:A,0))*IF(I281&gt;0,IF(O281&gt;0,$R$4*MAX(O281-V281,0),0),0)/I281,2),0))</f>
        <v>0</v>
      </c>
      <c r="AI281" s="80">
        <f>IF(Y281="No",0,IFERROR(ROUNDDOWN(INDEX('90% of ACR'!R:R,MATCH(H:H,'90% of ACR'!A:A,0))*IF(J281&gt;0,IF(P281&gt;0,$R$4*MAX(P281-W281,0),0),0)/J281,2),0))</f>
        <v>1.5</v>
      </c>
      <c r="AJ281" s="44">
        <f t="shared" si="87"/>
        <v>0</v>
      </c>
      <c r="AK281" s="44">
        <f t="shared" si="87"/>
        <v>1244195.8007428814</v>
      </c>
      <c r="AL281" s="46">
        <f t="shared" si="88"/>
        <v>0</v>
      </c>
      <c r="AM281" s="46">
        <f t="shared" si="88"/>
        <v>1.68</v>
      </c>
      <c r="AN281" s="81">
        <f>IFERROR(INDEX(FeeCalc!P:P,MATCH(C281,FeeCalc!F:F,0)),0)</f>
        <v>1393499.2968320271</v>
      </c>
      <c r="AO281" s="81">
        <f>IFERROR(INDEX(FeeCalc!S:S,MATCH(C281,FeeCalc!F:F,0)),0)</f>
        <v>85473.092881096585</v>
      </c>
      <c r="AP281" s="81">
        <f t="shared" si="89"/>
        <v>1478972.3897131237</v>
      </c>
      <c r="AQ281" s="68">
        <f t="shared" si="90"/>
        <v>582052.54191637924</v>
      </c>
      <c r="AR281" s="68">
        <f>INDEX('IGT Commitment Suggestions'!H:H,MATCH(G281,'IGT Commitment Suggestions'!A:A,0))*AQ281</f>
        <v>285242.79359150137</v>
      </c>
    </row>
    <row r="282" spans="1:44">
      <c r="A282" s="103" t="s">
        <v>944</v>
      </c>
      <c r="B282" s="123" t="s">
        <v>944</v>
      </c>
      <c r="C282" s="30" t="s">
        <v>945</v>
      </c>
      <c r="D282" s="124" t="s">
        <v>945</v>
      </c>
      <c r="E282" s="119" t="s">
        <v>2903</v>
      </c>
      <c r="F282" s="99" t="s">
        <v>2283</v>
      </c>
      <c r="G282" s="99" t="s">
        <v>227</v>
      </c>
      <c r="H282" s="42" t="str">
        <f t="shared" si="76"/>
        <v>Urban MRSA West</v>
      </c>
      <c r="I282" s="44">
        <f>INDEX(FeeCalc!M:M,MATCH(C:C,FeeCalc!F:F,0))</f>
        <v>10231826.897424005</v>
      </c>
      <c r="J282" s="44">
        <f>INDEX(FeeCalc!L:L,MATCH(C:C,FeeCalc!F:F,0))</f>
        <v>1983640.1467697844</v>
      </c>
      <c r="K282" s="44">
        <f t="shared" si="77"/>
        <v>12215467.044193789</v>
      </c>
      <c r="L282" s="44">
        <v>5046403.8600000003</v>
      </c>
      <c r="M282" s="44">
        <v>1690722.81</v>
      </c>
      <c r="N282" s="44">
        <f t="shared" si="78"/>
        <v>6737126.6699999999</v>
      </c>
      <c r="O282" s="44">
        <v>22280581.027956102</v>
      </c>
      <c r="P282" s="44">
        <v>3514994.6154687176</v>
      </c>
      <c r="Q282" s="44">
        <f t="shared" si="79"/>
        <v>25795575.64342482</v>
      </c>
      <c r="R282" s="44" t="str">
        <f t="shared" si="80"/>
        <v>Yes</v>
      </c>
      <c r="S282" s="45" t="str">
        <f t="shared" si="80"/>
        <v>Yes</v>
      </c>
      <c r="T282" s="46">
        <f>ROUND(INDEX(Summary!H:H,MATCH(H:H,Summary!A:A,0)),2)</f>
        <v>0.33</v>
      </c>
      <c r="U282" s="46">
        <f>ROUND(INDEX(Summary!I:I,MATCH(H:H,Summary!A:A,0)),2)</f>
        <v>0.85</v>
      </c>
      <c r="V282" s="79">
        <f t="shared" si="81"/>
        <v>3376502.8761499217</v>
      </c>
      <c r="W282" s="79">
        <f t="shared" si="81"/>
        <v>1686094.1247543166</v>
      </c>
      <c r="X282" s="44">
        <f t="shared" si="82"/>
        <v>5062597.0009042379</v>
      </c>
      <c r="Y282" s="44" t="s">
        <v>2765</v>
      </c>
      <c r="Z282" s="44" t="str">
        <f t="shared" si="83"/>
        <v>Yes</v>
      </c>
      <c r="AA282" s="44" t="str">
        <f t="shared" si="83"/>
        <v>Yes</v>
      </c>
      <c r="AB282" s="44" t="str">
        <f t="shared" si="84"/>
        <v>Yes</v>
      </c>
      <c r="AC282" s="80">
        <f t="shared" si="91"/>
        <v>1.29</v>
      </c>
      <c r="AD282" s="80">
        <f t="shared" si="92"/>
        <v>0.64</v>
      </c>
      <c r="AE282" s="44">
        <f t="shared" si="85"/>
        <v>13199056.697676966</v>
      </c>
      <c r="AF282" s="44">
        <f t="shared" si="85"/>
        <v>1269529.693932662</v>
      </c>
      <c r="AG282" s="44">
        <f t="shared" si="86"/>
        <v>14468586.391609628</v>
      </c>
      <c r="AH282" s="46">
        <f>IF(Y282="No",0,IFERROR(ROUNDDOWN(INDEX('90% of ACR'!K:K,MATCH(H:H,'90% of ACR'!A:A,0))*IF(I282&gt;0,IF(O282&gt;0,$R$4*MAX(O282-V282,0),0),0)/I282,2),0))</f>
        <v>1.28</v>
      </c>
      <c r="AI282" s="80">
        <f>IF(Y282="No",0,IFERROR(ROUNDDOWN(INDEX('90% of ACR'!R:R,MATCH(H:H,'90% of ACR'!A:A,0))*IF(J282&gt;0,IF(P282&gt;0,$R$4*MAX(P282-W282,0),0),0)/J282,2),0))</f>
        <v>0.61</v>
      </c>
      <c r="AJ282" s="44">
        <f t="shared" si="87"/>
        <v>13096738.428702727</v>
      </c>
      <c r="AK282" s="44">
        <f t="shared" si="87"/>
        <v>1210020.4895295685</v>
      </c>
      <c r="AL282" s="46">
        <f t="shared" si="88"/>
        <v>1.61</v>
      </c>
      <c r="AM282" s="46">
        <f t="shared" si="88"/>
        <v>1.46</v>
      </c>
      <c r="AN282" s="81">
        <f>IFERROR(INDEX(FeeCalc!P:P,MATCH(C282,FeeCalc!F:F,0)),0)</f>
        <v>19369355.919136535</v>
      </c>
      <c r="AO282" s="81">
        <f>IFERROR(INDEX(FeeCalc!S:S,MATCH(C282,FeeCalc!F:F,0)),0)</f>
        <v>1185369.5039101213</v>
      </c>
      <c r="AP282" s="81">
        <f t="shared" si="89"/>
        <v>20554725.423046656</v>
      </c>
      <c r="AQ282" s="68">
        <f t="shared" si="90"/>
        <v>8089353.2996908575</v>
      </c>
      <c r="AR282" s="68">
        <f>INDEX('IGT Commitment Suggestions'!H:H,MATCH(G282,'IGT Commitment Suggestions'!A:A,0))*AQ282</f>
        <v>3964298.009858958</v>
      </c>
    </row>
    <row r="283" spans="1:44">
      <c r="A283" s="103" t="s">
        <v>1134</v>
      </c>
      <c r="B283" s="123" t="s">
        <v>1134</v>
      </c>
      <c r="C283" s="30" t="s">
        <v>1135</v>
      </c>
      <c r="D283" s="124" t="s">
        <v>1135</v>
      </c>
      <c r="E283" s="119" t="s">
        <v>2904</v>
      </c>
      <c r="F283" s="99" t="s">
        <v>2283</v>
      </c>
      <c r="G283" s="99" t="s">
        <v>1550</v>
      </c>
      <c r="H283" s="42" t="str">
        <f t="shared" si="76"/>
        <v>Urban Jefferson</v>
      </c>
      <c r="I283" s="44">
        <f>INDEX(FeeCalc!M:M,MATCH(C:C,FeeCalc!F:F,0))</f>
        <v>5236101.1350332201</v>
      </c>
      <c r="J283" s="44">
        <f>INDEX(FeeCalc!L:L,MATCH(C:C,FeeCalc!F:F,0))</f>
        <v>3022703.7101432458</v>
      </c>
      <c r="K283" s="44">
        <f t="shared" si="77"/>
        <v>8258804.8451764658</v>
      </c>
      <c r="L283" s="44">
        <v>3761394.76</v>
      </c>
      <c r="M283" s="44">
        <v>1687066.38</v>
      </c>
      <c r="N283" s="44">
        <f t="shared" si="78"/>
        <v>5448461.1399999997</v>
      </c>
      <c r="O283" s="44">
        <v>7598718.3234461565</v>
      </c>
      <c r="P283" s="44">
        <v>3388493.8024018807</v>
      </c>
      <c r="Q283" s="44">
        <f t="shared" si="79"/>
        <v>10987212.125848036</v>
      </c>
      <c r="R283" s="44" t="str">
        <f t="shared" si="80"/>
        <v>Yes</v>
      </c>
      <c r="S283" s="45" t="str">
        <f t="shared" si="80"/>
        <v>Yes</v>
      </c>
      <c r="T283" s="46">
        <f>ROUND(INDEX(Summary!H:H,MATCH(H:H,Summary!A:A,0)),2)</f>
        <v>0.84</v>
      </c>
      <c r="U283" s="46">
        <f>ROUND(INDEX(Summary!I:I,MATCH(H:H,Summary!A:A,0)),2)</f>
        <v>0.93</v>
      </c>
      <c r="V283" s="79">
        <f t="shared" si="81"/>
        <v>4398324.9534279043</v>
      </c>
      <c r="W283" s="79">
        <f t="shared" si="81"/>
        <v>2811114.4504332189</v>
      </c>
      <c r="X283" s="44">
        <f t="shared" si="82"/>
        <v>7209439.4038611231</v>
      </c>
      <c r="Y283" s="44" t="s">
        <v>2765</v>
      </c>
      <c r="Z283" s="44" t="str">
        <f t="shared" si="83"/>
        <v>Yes</v>
      </c>
      <c r="AA283" s="44" t="str">
        <f t="shared" si="83"/>
        <v>Yes</v>
      </c>
      <c r="AB283" s="44" t="str">
        <f t="shared" si="84"/>
        <v>Yes</v>
      </c>
      <c r="AC283" s="80">
        <f t="shared" si="91"/>
        <v>0.43</v>
      </c>
      <c r="AD283" s="80">
        <f t="shared" si="92"/>
        <v>0.13</v>
      </c>
      <c r="AE283" s="44">
        <f t="shared" si="85"/>
        <v>2251523.4880642844</v>
      </c>
      <c r="AF283" s="44">
        <f t="shared" si="85"/>
        <v>392951.48231862194</v>
      </c>
      <c r="AG283" s="44">
        <f t="shared" si="86"/>
        <v>2644474.9703829065</v>
      </c>
      <c r="AH283" s="46">
        <f>IF(Y283="No",0,IFERROR(ROUNDDOWN(INDEX('90% of ACR'!K:K,MATCH(H:H,'90% of ACR'!A:A,0))*IF(I283&gt;0,IF(O283&gt;0,$R$4*MAX(O283-V283,0),0),0)/I283,2),0))</f>
        <v>0.42</v>
      </c>
      <c r="AI283" s="80">
        <f>IF(Y283="No",0,IFERROR(ROUNDDOWN(INDEX('90% of ACR'!R:R,MATCH(H:H,'90% of ACR'!A:A,0))*IF(J283&gt;0,IF(P283&gt;0,$R$4*MAX(P283-W283,0),0),0)/J283,2),0))</f>
        <v>0.11</v>
      </c>
      <c r="AJ283" s="44">
        <f t="shared" si="87"/>
        <v>2199162.4767139521</v>
      </c>
      <c r="AK283" s="44">
        <f t="shared" si="87"/>
        <v>332497.40811575705</v>
      </c>
      <c r="AL283" s="46">
        <f t="shared" si="88"/>
        <v>1.26</v>
      </c>
      <c r="AM283" s="46">
        <f t="shared" si="88"/>
        <v>1.04</v>
      </c>
      <c r="AN283" s="81">
        <f>IFERROR(INDEX(FeeCalc!P:P,MATCH(C283,FeeCalc!F:F,0)),0)</f>
        <v>9741099.2886908315</v>
      </c>
      <c r="AO283" s="81">
        <f>IFERROR(INDEX(FeeCalc!S:S,MATCH(C283,FeeCalc!F:F,0)),0)</f>
        <v>602133.5474212931</v>
      </c>
      <c r="AP283" s="81">
        <f t="shared" si="89"/>
        <v>10343232.836112125</v>
      </c>
      <c r="AQ283" s="68">
        <f t="shared" si="90"/>
        <v>4070599.9691175995</v>
      </c>
      <c r="AR283" s="68">
        <f>INDEX('IGT Commitment Suggestions'!H:H,MATCH(G283,'IGT Commitment Suggestions'!A:A,0))*AQ283</f>
        <v>1862874.3212349324</v>
      </c>
    </row>
    <row r="284" spans="1:44">
      <c r="A284" s="103" t="s">
        <v>536</v>
      </c>
      <c r="B284" s="123" t="s">
        <v>536</v>
      </c>
      <c r="C284" s="30" t="s">
        <v>537</v>
      </c>
      <c r="D284" s="124" t="s">
        <v>537</v>
      </c>
      <c r="E284" s="119" t="s">
        <v>2905</v>
      </c>
      <c r="F284" s="99" t="s">
        <v>2283</v>
      </c>
      <c r="G284" s="99" t="s">
        <v>310</v>
      </c>
      <c r="H284" s="42" t="str">
        <f t="shared" si="76"/>
        <v>Urban MRSA Northeast</v>
      </c>
      <c r="I284" s="44">
        <f>INDEX(FeeCalc!M:M,MATCH(C:C,FeeCalc!F:F,0))</f>
        <v>2123461.4565592185</v>
      </c>
      <c r="J284" s="44">
        <f>INDEX(FeeCalc!L:L,MATCH(C:C,FeeCalc!F:F,0))</f>
        <v>1147207.5950930042</v>
      </c>
      <c r="K284" s="44">
        <f t="shared" si="77"/>
        <v>3270669.0516522229</v>
      </c>
      <c r="L284" s="44">
        <v>1829164.88</v>
      </c>
      <c r="M284" s="44">
        <v>931973.79</v>
      </c>
      <c r="N284" s="44">
        <f t="shared" si="78"/>
        <v>2761138.67</v>
      </c>
      <c r="O284" s="44">
        <v>3677805.5453813337</v>
      </c>
      <c r="P284" s="44">
        <v>1067947.9999491947</v>
      </c>
      <c r="Q284" s="44">
        <f t="shared" si="79"/>
        <v>4745753.5453305282</v>
      </c>
      <c r="R284" s="44" t="str">
        <f t="shared" si="80"/>
        <v>Yes</v>
      </c>
      <c r="S284" s="45" t="str">
        <f t="shared" si="80"/>
        <v>Yes</v>
      </c>
      <c r="T284" s="46">
        <f>ROUND(INDEX(Summary!H:H,MATCH(H:H,Summary!A:A,0)),2)</f>
        <v>0.68</v>
      </c>
      <c r="U284" s="46">
        <f>ROUND(INDEX(Summary!I:I,MATCH(H:H,Summary!A:A,0)),2)</f>
        <v>1.06</v>
      </c>
      <c r="V284" s="79">
        <f t="shared" si="81"/>
        <v>1443953.7904602687</v>
      </c>
      <c r="W284" s="79">
        <f t="shared" si="81"/>
        <v>1216040.0507985845</v>
      </c>
      <c r="X284" s="44">
        <f t="shared" si="82"/>
        <v>2659993.8412588532</v>
      </c>
      <c r="Y284" s="44" t="s">
        <v>2765</v>
      </c>
      <c r="Z284" s="44" t="str">
        <f t="shared" si="83"/>
        <v>Yes</v>
      </c>
      <c r="AA284" s="44" t="str">
        <f t="shared" si="83"/>
        <v>No</v>
      </c>
      <c r="AB284" s="44" t="str">
        <f t="shared" si="84"/>
        <v>Yes</v>
      </c>
      <c r="AC284" s="80">
        <f t="shared" si="91"/>
        <v>0.73</v>
      </c>
      <c r="AD284" s="80">
        <f t="shared" si="92"/>
        <v>0</v>
      </c>
      <c r="AE284" s="44">
        <f t="shared" si="85"/>
        <v>1550126.8632882293</v>
      </c>
      <c r="AF284" s="44">
        <f t="shared" si="85"/>
        <v>0</v>
      </c>
      <c r="AG284" s="44">
        <f t="shared" si="86"/>
        <v>1550126.8632882293</v>
      </c>
      <c r="AH284" s="46">
        <f>IF(Y284="No",0,IFERROR(ROUNDDOWN(INDEX('90% of ACR'!K:K,MATCH(H:H,'90% of ACR'!A:A,0))*IF(I284&gt;0,IF(O284&gt;0,$R$4*MAX(O284-V284,0),0),0)/I284,2),0))</f>
        <v>0.73</v>
      </c>
      <c r="AI284" s="80">
        <f>IF(Y284="No",0,IFERROR(ROUNDDOWN(INDEX('90% of ACR'!R:R,MATCH(H:H,'90% of ACR'!A:A,0))*IF(J284&gt;0,IF(P284&gt;0,$R$4*MAX(P284-W284,0),0),0)/J284,2),0))</f>
        <v>0</v>
      </c>
      <c r="AJ284" s="44">
        <f t="shared" si="87"/>
        <v>1550126.8632882293</v>
      </c>
      <c r="AK284" s="44">
        <f t="shared" si="87"/>
        <v>0</v>
      </c>
      <c r="AL284" s="46">
        <f t="shared" si="88"/>
        <v>1.4100000000000001</v>
      </c>
      <c r="AM284" s="46">
        <f t="shared" si="88"/>
        <v>1.06</v>
      </c>
      <c r="AN284" s="81">
        <f>IFERROR(INDEX(FeeCalc!P:P,MATCH(C284,FeeCalc!F:F,0)),0)</f>
        <v>4210120.704547083</v>
      </c>
      <c r="AO284" s="81">
        <f>IFERROR(INDEX(FeeCalc!S:S,MATCH(C284,FeeCalc!F:F,0)),0)</f>
        <v>261298.63204689434</v>
      </c>
      <c r="AP284" s="81">
        <f t="shared" si="89"/>
        <v>4471419.3365939772</v>
      </c>
      <c r="AQ284" s="68">
        <f t="shared" si="90"/>
        <v>1759736.0227552329</v>
      </c>
      <c r="AR284" s="68">
        <f>INDEX('IGT Commitment Suggestions'!H:H,MATCH(G284,'IGT Commitment Suggestions'!A:A,0))*AQ284</f>
        <v>805970.39790641575</v>
      </c>
    </row>
    <row r="285" spans="1:44">
      <c r="A285" s="103" t="s">
        <v>825</v>
      </c>
      <c r="B285" s="123" t="s">
        <v>825</v>
      </c>
      <c r="C285" s="30" t="s">
        <v>826</v>
      </c>
      <c r="D285" s="124" t="s">
        <v>826</v>
      </c>
      <c r="E285" s="119" t="s">
        <v>2705</v>
      </c>
      <c r="F285" s="99" t="s">
        <v>2295</v>
      </c>
      <c r="G285" s="99" t="s">
        <v>227</v>
      </c>
      <c r="H285" s="42" t="str">
        <f t="shared" si="76"/>
        <v>Rural MRSA West</v>
      </c>
      <c r="I285" s="44">
        <f>INDEX(FeeCalc!M:M,MATCH(C:C,FeeCalc!F:F,0))</f>
        <v>11476.412387026485</v>
      </c>
      <c r="J285" s="44">
        <f>INDEX(FeeCalc!L:L,MATCH(C:C,FeeCalc!F:F,0))</f>
        <v>144980.85645660604</v>
      </c>
      <c r="K285" s="44">
        <f t="shared" si="77"/>
        <v>156457.26884363251</v>
      </c>
      <c r="L285" s="44">
        <v>106294.49</v>
      </c>
      <c r="M285" s="44">
        <v>13600.47</v>
      </c>
      <c r="N285" s="44">
        <f t="shared" si="78"/>
        <v>119894.96</v>
      </c>
      <c r="O285" s="44">
        <v>17461.107729692005</v>
      </c>
      <c r="P285" s="44">
        <v>-1922.0890862621454</v>
      </c>
      <c r="Q285" s="44">
        <f t="shared" si="79"/>
        <v>15539.018643429859</v>
      </c>
      <c r="R285" s="44" t="str">
        <f t="shared" si="80"/>
        <v>Yes</v>
      </c>
      <c r="S285" s="45" t="str">
        <f t="shared" si="80"/>
        <v>No</v>
      </c>
      <c r="T285" s="46">
        <f>ROUND(INDEX(Summary!H:H,MATCH(H:H,Summary!A:A,0)),2)</f>
        <v>0</v>
      </c>
      <c r="U285" s="46">
        <f>ROUND(INDEX(Summary!I:I,MATCH(H:H,Summary!A:A,0)),2)</f>
        <v>0.18</v>
      </c>
      <c r="V285" s="79">
        <f t="shared" si="81"/>
        <v>0</v>
      </c>
      <c r="W285" s="79">
        <f t="shared" si="81"/>
        <v>26096.554162189084</v>
      </c>
      <c r="X285" s="44">
        <f t="shared" si="82"/>
        <v>26096.554162189084</v>
      </c>
      <c r="Y285" s="44" t="s">
        <v>2765</v>
      </c>
      <c r="Z285" s="44" t="str">
        <f t="shared" si="83"/>
        <v>No</v>
      </c>
      <c r="AA285" s="44" t="str">
        <f t="shared" si="83"/>
        <v>No</v>
      </c>
      <c r="AB285" s="44" t="str">
        <f t="shared" si="84"/>
        <v>Yes</v>
      </c>
      <c r="AC285" s="80">
        <f t="shared" si="91"/>
        <v>1.06</v>
      </c>
      <c r="AD285" s="80">
        <f t="shared" si="92"/>
        <v>0</v>
      </c>
      <c r="AE285" s="44">
        <f t="shared" si="85"/>
        <v>12164.997130248075</v>
      </c>
      <c r="AF285" s="44">
        <f t="shared" si="85"/>
        <v>0</v>
      </c>
      <c r="AG285" s="44">
        <f t="shared" si="86"/>
        <v>12164.997130248075</v>
      </c>
      <c r="AH285" s="46">
        <f>IF(Y285="No",0,IFERROR(ROUNDDOWN(INDEX('90% of ACR'!K:K,MATCH(H:H,'90% of ACR'!A:A,0))*IF(I285&gt;0,IF(O285&gt;0,$R$4*MAX(O285-V285,0),0),0)/I285,2),0))</f>
        <v>0</v>
      </c>
      <c r="AI285" s="80">
        <f>IF(Y285="No",0,IFERROR(ROUNDDOWN(INDEX('90% of ACR'!R:R,MATCH(H:H,'90% of ACR'!A:A,0))*IF(J285&gt;0,IF(P285&gt;0,$R$4*MAX(P285-W285,0),0),0)/J285,2),0))</f>
        <v>0</v>
      </c>
      <c r="AJ285" s="44">
        <f t="shared" si="87"/>
        <v>0</v>
      </c>
      <c r="AK285" s="44">
        <f t="shared" si="87"/>
        <v>0</v>
      </c>
      <c r="AL285" s="46">
        <f t="shared" si="88"/>
        <v>0</v>
      </c>
      <c r="AM285" s="46">
        <f t="shared" si="88"/>
        <v>0.18</v>
      </c>
      <c r="AN285" s="81">
        <f>IFERROR(INDEX(FeeCalc!P:P,MATCH(C285,FeeCalc!F:F,0)),0)</f>
        <v>26096.554162189084</v>
      </c>
      <c r="AO285" s="81">
        <f>IFERROR(INDEX(FeeCalc!S:S,MATCH(C285,FeeCalc!F:F,0)),0)</f>
        <v>1602.0237723550911</v>
      </c>
      <c r="AP285" s="81">
        <f t="shared" si="89"/>
        <v>27698.577934544177</v>
      </c>
      <c r="AQ285" s="68">
        <f t="shared" si="90"/>
        <v>10900.830743295732</v>
      </c>
      <c r="AR285" s="68">
        <f>INDEX('IGT Commitment Suggestions'!H:H,MATCH(G285,'IGT Commitment Suggestions'!A:A,0))*AQ285</f>
        <v>5342.1009097362685</v>
      </c>
    </row>
    <row r="286" spans="1:44">
      <c r="A286" s="103" t="s">
        <v>932</v>
      </c>
      <c r="B286" s="123" t="s">
        <v>932</v>
      </c>
      <c r="C286" s="30" t="s">
        <v>933</v>
      </c>
      <c r="D286" s="124" t="s">
        <v>933</v>
      </c>
      <c r="E286" s="119" t="s">
        <v>2585</v>
      </c>
      <c r="F286" s="99" t="s">
        <v>2295</v>
      </c>
      <c r="G286" s="99" t="s">
        <v>227</v>
      </c>
      <c r="H286" s="42" t="str">
        <f t="shared" si="76"/>
        <v>Rural MRSA West</v>
      </c>
      <c r="I286" s="44">
        <f>INDEX(FeeCalc!M:M,MATCH(C:C,FeeCalc!F:F,0))</f>
        <v>8099.4876074673439</v>
      </c>
      <c r="J286" s="44">
        <f>INDEX(FeeCalc!L:L,MATCH(C:C,FeeCalc!F:F,0))</f>
        <v>94275.112866784679</v>
      </c>
      <c r="K286" s="44">
        <f t="shared" si="77"/>
        <v>102374.60047425202</v>
      </c>
      <c r="L286" s="44">
        <v>-1489.46</v>
      </c>
      <c r="M286" s="44">
        <v>27516.720000000001</v>
      </c>
      <c r="N286" s="44">
        <f t="shared" si="78"/>
        <v>26027.260000000002</v>
      </c>
      <c r="O286" s="44">
        <v>-2609.1718389773573</v>
      </c>
      <c r="P286" s="44">
        <v>23145.288143686696</v>
      </c>
      <c r="Q286" s="44">
        <f t="shared" si="79"/>
        <v>20536.11630470934</v>
      </c>
      <c r="R286" s="44" t="str">
        <f t="shared" si="80"/>
        <v>No</v>
      </c>
      <c r="S286" s="45" t="str">
        <f t="shared" si="80"/>
        <v>Yes</v>
      </c>
      <c r="T286" s="46">
        <f>ROUND(INDEX(Summary!H:H,MATCH(H:H,Summary!A:A,0)),2)</f>
        <v>0</v>
      </c>
      <c r="U286" s="46">
        <f>ROUND(INDEX(Summary!I:I,MATCH(H:H,Summary!A:A,0)),2)</f>
        <v>0.18</v>
      </c>
      <c r="V286" s="79">
        <f t="shared" si="81"/>
        <v>0</v>
      </c>
      <c r="W286" s="79">
        <f t="shared" si="81"/>
        <v>16969.52031602124</v>
      </c>
      <c r="X286" s="44">
        <f t="shared" si="82"/>
        <v>16969.52031602124</v>
      </c>
      <c r="Y286" s="44" t="s">
        <v>2765</v>
      </c>
      <c r="Z286" s="44" t="str">
        <f t="shared" si="83"/>
        <v>No</v>
      </c>
      <c r="AA286" s="44" t="str">
        <f t="shared" si="83"/>
        <v>Yes</v>
      </c>
      <c r="AB286" s="44" t="str">
        <f t="shared" si="84"/>
        <v>Yes</v>
      </c>
      <c r="AC286" s="80">
        <f t="shared" si="91"/>
        <v>0</v>
      </c>
      <c r="AD286" s="80">
        <f t="shared" si="92"/>
        <v>0.05</v>
      </c>
      <c r="AE286" s="44">
        <f t="shared" si="85"/>
        <v>0</v>
      </c>
      <c r="AF286" s="44">
        <f t="shared" si="85"/>
        <v>4713.7556433392338</v>
      </c>
      <c r="AG286" s="44">
        <f t="shared" si="86"/>
        <v>4713.7556433392338</v>
      </c>
      <c r="AH286" s="46">
        <f>IF(Y286="No",0,IFERROR(ROUNDDOWN(INDEX('90% of ACR'!K:K,MATCH(H:H,'90% of ACR'!A:A,0))*IF(I286&gt;0,IF(O286&gt;0,$R$4*MAX(O286-V286,0),0),0)/I286,2),0))</f>
        <v>0</v>
      </c>
      <c r="AI286" s="80">
        <f>IF(Y286="No",0,IFERROR(ROUNDDOWN(INDEX('90% of ACR'!R:R,MATCH(H:H,'90% of ACR'!A:A,0))*IF(J286&gt;0,IF(P286&gt;0,$R$4*MAX(P286-W286,0),0),0)/J286,2),0))</f>
        <v>0.04</v>
      </c>
      <c r="AJ286" s="44">
        <f t="shared" si="87"/>
        <v>0</v>
      </c>
      <c r="AK286" s="44">
        <f t="shared" si="87"/>
        <v>3771.0045146713874</v>
      </c>
      <c r="AL286" s="46">
        <f t="shared" si="88"/>
        <v>0</v>
      </c>
      <c r="AM286" s="46">
        <f t="shared" si="88"/>
        <v>0.22</v>
      </c>
      <c r="AN286" s="81">
        <f>IFERROR(INDEX(FeeCalc!P:P,MATCH(C286,FeeCalc!F:F,0)),0)</f>
        <v>20740.52483069263</v>
      </c>
      <c r="AO286" s="81">
        <f>IFERROR(INDEX(FeeCalc!S:S,MATCH(C286,FeeCalc!F:F,0)),0)</f>
        <v>1267.6661013002481</v>
      </c>
      <c r="AP286" s="81">
        <f t="shared" si="89"/>
        <v>22008.190931992878</v>
      </c>
      <c r="AQ286" s="68">
        <f t="shared" si="90"/>
        <v>8661.3675576676615</v>
      </c>
      <c r="AR286" s="68">
        <f>INDEX('IGT Commitment Suggestions'!H:H,MATCH(G286,'IGT Commitment Suggestions'!A:A,0))*AQ286</f>
        <v>4244.6214053762551</v>
      </c>
    </row>
    <row r="287" spans="1:44">
      <c r="A287" s="103" t="s">
        <v>497</v>
      </c>
      <c r="B287" s="123" t="s">
        <v>497</v>
      </c>
      <c r="C287" s="30" t="s">
        <v>498</v>
      </c>
      <c r="D287" s="124" t="s">
        <v>498</v>
      </c>
      <c r="E287" s="119" t="s">
        <v>2906</v>
      </c>
      <c r="F287" s="99" t="s">
        <v>2295</v>
      </c>
      <c r="G287" s="99" t="s">
        <v>227</v>
      </c>
      <c r="H287" s="42" t="str">
        <f t="shared" si="76"/>
        <v>Rural MRSA West</v>
      </c>
      <c r="I287" s="44">
        <f>INDEX(FeeCalc!M:M,MATCH(C:C,FeeCalc!F:F,0))</f>
        <v>1555205.8713176227</v>
      </c>
      <c r="J287" s="44">
        <f>INDEX(FeeCalc!L:L,MATCH(C:C,FeeCalc!F:F,0))</f>
        <v>1028369.8000161115</v>
      </c>
      <c r="K287" s="44">
        <f t="shared" si="77"/>
        <v>2583575.6713337339</v>
      </c>
      <c r="L287" s="44">
        <v>321428.59999999998</v>
      </c>
      <c r="M287" s="44">
        <v>73327.94</v>
      </c>
      <c r="N287" s="44">
        <f t="shared" si="78"/>
        <v>394756.54</v>
      </c>
      <c r="O287" s="44">
        <v>-593485.21180485864</v>
      </c>
      <c r="P287" s="44">
        <v>105937.55016672931</v>
      </c>
      <c r="Q287" s="44">
        <f t="shared" si="79"/>
        <v>-487547.66163812933</v>
      </c>
      <c r="R287" s="44" t="str">
        <f t="shared" si="80"/>
        <v>No</v>
      </c>
      <c r="S287" s="45" t="str">
        <f t="shared" si="80"/>
        <v>Yes</v>
      </c>
      <c r="T287" s="46">
        <f>ROUND(INDEX(Summary!H:H,MATCH(H:H,Summary!A:A,0)),2)</f>
        <v>0</v>
      </c>
      <c r="U287" s="46">
        <f>ROUND(INDEX(Summary!I:I,MATCH(H:H,Summary!A:A,0)),2)</f>
        <v>0.18</v>
      </c>
      <c r="V287" s="79">
        <f t="shared" si="81"/>
        <v>0</v>
      </c>
      <c r="W287" s="79">
        <f t="shared" si="81"/>
        <v>185106.56400290006</v>
      </c>
      <c r="X287" s="44">
        <f t="shared" si="82"/>
        <v>185106.56400290006</v>
      </c>
      <c r="Y287" s="44" t="s">
        <v>2765</v>
      </c>
      <c r="Z287" s="44" t="str">
        <f t="shared" si="83"/>
        <v>No</v>
      </c>
      <c r="AA287" s="44" t="str">
        <f t="shared" si="83"/>
        <v>No</v>
      </c>
      <c r="AB287" s="44" t="str">
        <f t="shared" si="84"/>
        <v>No</v>
      </c>
      <c r="AC287" s="80">
        <f t="shared" si="91"/>
        <v>0</v>
      </c>
      <c r="AD287" s="80">
        <f t="shared" si="92"/>
        <v>0</v>
      </c>
      <c r="AE287" s="44">
        <f t="shared" si="85"/>
        <v>0</v>
      </c>
      <c r="AF287" s="44">
        <f t="shared" si="85"/>
        <v>0</v>
      </c>
      <c r="AG287" s="44">
        <f t="shared" si="86"/>
        <v>0</v>
      </c>
      <c r="AH287" s="46">
        <f>IF(Y287="No",0,IFERROR(ROUNDDOWN(INDEX('90% of ACR'!K:K,MATCH(H:H,'90% of ACR'!A:A,0))*IF(I287&gt;0,IF(O287&gt;0,$R$4*MAX(O287-V287,0),0),0)/I287,2),0))</f>
        <v>0</v>
      </c>
      <c r="AI287" s="80">
        <f>IF(Y287="No",0,IFERROR(ROUNDDOWN(INDEX('90% of ACR'!R:R,MATCH(H:H,'90% of ACR'!A:A,0))*IF(J287&gt;0,IF(P287&gt;0,$R$4*MAX(P287-W287,0),0),0)/J287,2),0))</f>
        <v>0</v>
      </c>
      <c r="AJ287" s="44">
        <f t="shared" si="87"/>
        <v>0</v>
      </c>
      <c r="AK287" s="44">
        <f t="shared" si="87"/>
        <v>0</v>
      </c>
      <c r="AL287" s="46">
        <f t="shared" si="88"/>
        <v>0</v>
      </c>
      <c r="AM287" s="46">
        <f t="shared" si="88"/>
        <v>0.18</v>
      </c>
      <c r="AN287" s="81">
        <f>IFERROR(INDEX(FeeCalc!P:P,MATCH(C287,FeeCalc!F:F,0)),0)</f>
        <v>185106.56400290006</v>
      </c>
      <c r="AO287" s="81">
        <f>IFERROR(INDEX(FeeCalc!S:S,MATCH(C287,FeeCalc!F:F,0)),0)</f>
        <v>11345.52584577505</v>
      </c>
      <c r="AP287" s="81">
        <f t="shared" si="89"/>
        <v>196452.08984867512</v>
      </c>
      <c r="AQ287" s="68">
        <f t="shared" si="90"/>
        <v>77314.112864125811</v>
      </c>
      <c r="AR287" s="68">
        <f>INDEX('IGT Commitment Suggestions'!H:H,MATCH(G287,'IGT Commitment Suggestions'!A:A,0))*AQ287</f>
        <v>37888.836400924396</v>
      </c>
    </row>
    <row r="288" spans="1:44" ht="25.5">
      <c r="A288" s="103" t="s">
        <v>488</v>
      </c>
      <c r="B288" s="123" t="s">
        <v>488</v>
      </c>
      <c r="C288" s="30" t="s">
        <v>489</v>
      </c>
      <c r="D288" s="124" t="s">
        <v>489</v>
      </c>
      <c r="E288" s="119" t="s">
        <v>2907</v>
      </c>
      <c r="F288" s="99" t="s">
        <v>2544</v>
      </c>
      <c r="G288" s="99" t="s">
        <v>300</v>
      </c>
      <c r="H288" s="42" t="str">
        <f t="shared" si="76"/>
        <v>Non-state-owned IMD Harris</v>
      </c>
      <c r="I288" s="44">
        <f>INDEX(FeeCalc!M:M,MATCH(C:C,FeeCalc!F:F,0))</f>
        <v>1569326.4863462311</v>
      </c>
      <c r="J288" s="44">
        <f>INDEX(FeeCalc!L:L,MATCH(C:C,FeeCalc!F:F,0))</f>
        <v>0</v>
      </c>
      <c r="K288" s="44">
        <f t="shared" si="77"/>
        <v>1569326.4863462311</v>
      </c>
      <c r="L288" s="44">
        <v>426367.65</v>
      </c>
      <c r="M288" s="44">
        <v>0</v>
      </c>
      <c r="N288" s="44">
        <f t="shared" si="78"/>
        <v>426367.65</v>
      </c>
      <c r="O288" s="44">
        <v>206741.57107179263</v>
      </c>
      <c r="P288" s="44">
        <v>0</v>
      </c>
      <c r="Q288" s="44">
        <f t="shared" si="79"/>
        <v>206741.57107179263</v>
      </c>
      <c r="R288" s="44" t="str">
        <f t="shared" si="80"/>
        <v>Yes</v>
      </c>
      <c r="S288" s="45" t="str">
        <f t="shared" si="80"/>
        <v>No</v>
      </c>
      <c r="T288" s="46">
        <f>ROUND(INDEX(Summary!H:H,MATCH(H:H,Summary!A:A,0)),2)</f>
        <v>0.24</v>
      </c>
      <c r="U288" s="46">
        <f>ROUND(INDEX(Summary!I:I,MATCH(H:H,Summary!A:A,0)),2)</f>
        <v>0</v>
      </c>
      <c r="V288" s="79">
        <f t="shared" si="81"/>
        <v>376638.35672309546</v>
      </c>
      <c r="W288" s="79">
        <f t="shared" si="81"/>
        <v>0</v>
      </c>
      <c r="X288" s="44">
        <f t="shared" si="82"/>
        <v>376638.35672309546</v>
      </c>
      <c r="Y288" s="44" t="s">
        <v>2765</v>
      </c>
      <c r="Z288" s="44" t="str">
        <f t="shared" si="83"/>
        <v>No</v>
      </c>
      <c r="AA288" s="44" t="str">
        <f t="shared" si="83"/>
        <v>No</v>
      </c>
      <c r="AB288" s="44" t="str">
        <f t="shared" si="84"/>
        <v>No</v>
      </c>
      <c r="AC288" s="80">
        <f t="shared" si="91"/>
        <v>0</v>
      </c>
      <c r="AD288" s="80">
        <f t="shared" si="92"/>
        <v>0</v>
      </c>
      <c r="AE288" s="44">
        <f t="shared" si="85"/>
        <v>0</v>
      </c>
      <c r="AF288" s="44">
        <f t="shared" si="85"/>
        <v>0</v>
      </c>
      <c r="AG288" s="44">
        <f t="shared" si="86"/>
        <v>0</v>
      </c>
      <c r="AH288" s="46">
        <f>IF(Y288="No",0,IFERROR(ROUNDDOWN(INDEX('90% of ACR'!K:K,MATCH(H:H,'90% of ACR'!A:A,0))*IF(I288&gt;0,IF(O288&gt;0,$R$4*MAX(O288-V288,0),0),0)/I288,2),0))</f>
        <v>0</v>
      </c>
      <c r="AI288" s="80">
        <f>IF(Y288="No",0,IFERROR(ROUNDDOWN(INDEX('90% of ACR'!R:R,MATCH(H:H,'90% of ACR'!A:A,0))*IF(J288&gt;0,IF(P288&gt;0,$R$4*MAX(P288-W288,0),0),0)/J288,2),0))</f>
        <v>0</v>
      </c>
      <c r="AJ288" s="44">
        <f t="shared" si="87"/>
        <v>0</v>
      </c>
      <c r="AK288" s="44">
        <f t="shared" si="87"/>
        <v>0</v>
      </c>
      <c r="AL288" s="46">
        <f t="shared" si="88"/>
        <v>0.24</v>
      </c>
      <c r="AM288" s="46">
        <f t="shared" si="88"/>
        <v>0</v>
      </c>
      <c r="AN288" s="81">
        <f>IFERROR(INDEX(FeeCalc!P:P,MATCH(C288,FeeCalc!F:F,0)),0)</f>
        <v>376638.35672309546</v>
      </c>
      <c r="AO288" s="81">
        <f>IFERROR(INDEX(FeeCalc!S:S,MATCH(C288,FeeCalc!F:F,0)),0)</f>
        <v>22977.936882310863</v>
      </c>
      <c r="AP288" s="81">
        <f t="shared" si="89"/>
        <v>399616.2936054063</v>
      </c>
      <c r="AQ288" s="68">
        <f t="shared" si="90"/>
        <v>157269.79158099488</v>
      </c>
      <c r="AR288" s="68">
        <f>INDEX('IGT Commitment Suggestions'!H:H,MATCH(G288,'IGT Commitment Suggestions'!A:A,0))*AQ288</f>
        <v>72154.409770797152</v>
      </c>
    </row>
    <row r="289" spans="1:44" ht="25.5">
      <c r="A289" s="103" t="s">
        <v>465</v>
      </c>
      <c r="B289" s="123" t="s">
        <v>465</v>
      </c>
      <c r="C289" s="30" t="s">
        <v>466</v>
      </c>
      <c r="D289" s="124" t="s">
        <v>466</v>
      </c>
      <c r="E289" s="119" t="s">
        <v>2689</v>
      </c>
      <c r="F289" s="99" t="s">
        <v>2963</v>
      </c>
      <c r="G289" s="99" t="s">
        <v>223</v>
      </c>
      <c r="H289" s="42" t="str">
        <f t="shared" si="76"/>
        <v>State-owned non-IMD Dallas</v>
      </c>
      <c r="I289" s="44">
        <f>INDEX(FeeCalc!M:M,MATCH(C:C,FeeCalc!F:F,0))</f>
        <v>15878218.631623287</v>
      </c>
      <c r="J289" s="44">
        <f>INDEX(FeeCalc!L:L,MATCH(C:C,FeeCalc!F:F,0))</f>
        <v>4649239.0798709234</v>
      </c>
      <c r="K289" s="44">
        <f t="shared" si="77"/>
        <v>20527457.711494211</v>
      </c>
      <c r="L289" s="44">
        <v>11426343.970000001</v>
      </c>
      <c r="M289" s="44">
        <v>5953710.7000000002</v>
      </c>
      <c r="N289" s="44">
        <f t="shared" si="78"/>
        <v>17380054.670000002</v>
      </c>
      <c r="O289" s="44">
        <v>30509335.510352265</v>
      </c>
      <c r="P289" s="44">
        <v>10447684.226862645</v>
      </c>
      <c r="Q289" s="44">
        <f t="shared" si="79"/>
        <v>40957019.737214908</v>
      </c>
      <c r="R289" s="44" t="str">
        <f t="shared" si="80"/>
        <v>Yes</v>
      </c>
      <c r="S289" s="45" t="str">
        <f t="shared" si="80"/>
        <v>Yes</v>
      </c>
      <c r="T289" s="46">
        <f>ROUND(INDEX(Summary!H:H,MATCH(H:H,Summary!A:A,0)),2)</f>
        <v>0.72</v>
      </c>
      <c r="U289" s="46">
        <f>ROUND(INDEX(Summary!I:I,MATCH(H:H,Summary!A:A,0)),2)</f>
        <v>1.28</v>
      </c>
      <c r="V289" s="79">
        <f t="shared" si="81"/>
        <v>11432317.414768767</v>
      </c>
      <c r="W289" s="79">
        <f t="shared" si="81"/>
        <v>5951026.0222347816</v>
      </c>
      <c r="X289" s="44">
        <f t="shared" si="82"/>
        <v>17383343.437003549</v>
      </c>
      <c r="Y289" s="44" t="s">
        <v>2765</v>
      </c>
      <c r="Z289" s="44" t="str">
        <f t="shared" si="83"/>
        <v>Yes</v>
      </c>
      <c r="AA289" s="44" t="str">
        <f t="shared" si="83"/>
        <v>Yes</v>
      </c>
      <c r="AB289" s="44" t="str">
        <f t="shared" si="84"/>
        <v>Yes</v>
      </c>
      <c r="AC289" s="80">
        <f t="shared" si="91"/>
        <v>0.84</v>
      </c>
      <c r="AD289" s="80">
        <f t="shared" si="92"/>
        <v>0.67</v>
      </c>
      <c r="AE289" s="44">
        <f t="shared" si="85"/>
        <v>13337703.65056356</v>
      </c>
      <c r="AF289" s="44">
        <f t="shared" si="85"/>
        <v>3114990.1835135189</v>
      </c>
      <c r="AG289" s="44">
        <f t="shared" si="86"/>
        <v>16452693.834077079</v>
      </c>
      <c r="AH289" s="46">
        <f>IF(Y289="No",0,IFERROR(ROUNDDOWN(INDEX('90% of ACR'!K:K,MATCH(H:H,'90% of ACR'!A:A,0))*IF(I289&gt;0,IF(O289&gt;0,$R$4*MAX(O289-V289,0),0),0)/I289,2),0))</f>
        <v>0.83</v>
      </c>
      <c r="AI289" s="80">
        <f>IF(Y289="No",0,IFERROR(ROUNDDOWN(INDEX('90% of ACR'!R:R,MATCH(H:H,'90% of ACR'!A:A,0))*IF(J289&gt;0,IF(P289&gt;0,$R$4*MAX(P289-W289,0),0),0)/J289,2),0))</f>
        <v>0.67</v>
      </c>
      <c r="AJ289" s="44">
        <f t="shared" si="87"/>
        <v>13178921.464247327</v>
      </c>
      <c r="AK289" s="44">
        <f t="shared" si="87"/>
        <v>3114990.1835135189</v>
      </c>
      <c r="AL289" s="46">
        <f t="shared" si="88"/>
        <v>1.5499999999999998</v>
      </c>
      <c r="AM289" s="46">
        <f t="shared" si="88"/>
        <v>1.9500000000000002</v>
      </c>
      <c r="AN289" s="81">
        <f>IFERROR(INDEX(FeeCalc!P:P,MATCH(C289,FeeCalc!F:F,0)),0)</f>
        <v>33677255.084764391</v>
      </c>
      <c r="AO289" s="81">
        <f>IFERROR(INDEX(FeeCalc!S:S,MATCH(C289,FeeCalc!F:F,0)),0)</f>
        <v>2112776.9083558028</v>
      </c>
      <c r="AP289" s="81">
        <f t="shared" si="89"/>
        <v>35790031.993120193</v>
      </c>
      <c r="AQ289" s="68">
        <f t="shared" si="90"/>
        <v>14085238.67095644</v>
      </c>
      <c r="AR289" s="68">
        <f>INDEX('IGT Commitment Suggestions'!H:H,MATCH(G289,'IGT Commitment Suggestions'!A:A,0))*AQ289</f>
        <v>6441654.7754272921</v>
      </c>
    </row>
    <row r="290" spans="1:44">
      <c r="A290" s="103" t="s">
        <v>1053</v>
      </c>
      <c r="B290" s="123" t="s">
        <v>1053</v>
      </c>
      <c r="C290" s="30" t="s">
        <v>1054</v>
      </c>
      <c r="D290" s="124" t="s">
        <v>1054</v>
      </c>
      <c r="E290" s="119" t="s">
        <v>2908</v>
      </c>
      <c r="F290" s="99" t="s">
        <v>2295</v>
      </c>
      <c r="G290" s="99" t="s">
        <v>1514</v>
      </c>
      <c r="H290" s="42" t="str">
        <f t="shared" si="76"/>
        <v>Rural Hidalgo</v>
      </c>
      <c r="I290" s="44">
        <f>INDEX(FeeCalc!M:M,MATCH(C:C,FeeCalc!F:F,0))</f>
        <v>1193629.273579834</v>
      </c>
      <c r="J290" s="44">
        <f>INDEX(FeeCalc!L:L,MATCH(C:C,FeeCalc!F:F,0))</f>
        <v>2888252.0244358573</v>
      </c>
      <c r="K290" s="44">
        <f t="shared" si="77"/>
        <v>4081881.2980156913</v>
      </c>
      <c r="L290" s="44">
        <v>-215105.07</v>
      </c>
      <c r="M290" s="44">
        <v>-223295.26</v>
      </c>
      <c r="N290" s="44">
        <f t="shared" si="78"/>
        <v>-438400.33</v>
      </c>
      <c r="O290" s="44">
        <v>76779.137930776924</v>
      </c>
      <c r="P290" s="44">
        <v>138861.66985834972</v>
      </c>
      <c r="Q290" s="44">
        <f t="shared" si="79"/>
        <v>215640.80778912664</v>
      </c>
      <c r="R290" s="44" t="str">
        <f t="shared" si="80"/>
        <v>Yes</v>
      </c>
      <c r="S290" s="45" t="str">
        <f t="shared" si="80"/>
        <v>Yes</v>
      </c>
      <c r="T290" s="46">
        <f>ROUND(INDEX(Summary!H:H,MATCH(H:H,Summary!A:A,0)),2)</f>
        <v>0</v>
      </c>
      <c r="U290" s="46">
        <f>ROUND(INDEX(Summary!I:I,MATCH(H:H,Summary!A:A,0)),2)</f>
        <v>0.06</v>
      </c>
      <c r="V290" s="79">
        <f t="shared" si="81"/>
        <v>0</v>
      </c>
      <c r="W290" s="79">
        <f t="shared" si="81"/>
        <v>173295.12146615144</v>
      </c>
      <c r="X290" s="44">
        <f t="shared" si="82"/>
        <v>173295.12146615144</v>
      </c>
      <c r="Y290" s="44" t="s">
        <v>2765</v>
      </c>
      <c r="Z290" s="44" t="str">
        <f t="shared" si="83"/>
        <v>Yes</v>
      </c>
      <c r="AA290" s="44" t="str">
        <f t="shared" si="83"/>
        <v>No</v>
      </c>
      <c r="AB290" s="44" t="str">
        <f t="shared" si="84"/>
        <v>Yes</v>
      </c>
      <c r="AC290" s="80">
        <f t="shared" si="91"/>
        <v>0.04</v>
      </c>
      <c r="AD290" s="80">
        <f t="shared" si="92"/>
        <v>0</v>
      </c>
      <c r="AE290" s="44">
        <f t="shared" si="85"/>
        <v>47745.170943193363</v>
      </c>
      <c r="AF290" s="44">
        <f t="shared" si="85"/>
        <v>0</v>
      </c>
      <c r="AG290" s="44">
        <f t="shared" si="86"/>
        <v>47745.170943193363</v>
      </c>
      <c r="AH290" s="46">
        <f>IF(Y290="No",0,IFERROR(ROUNDDOWN(INDEX('90% of ACR'!K:K,MATCH(H:H,'90% of ACR'!A:A,0))*IF(I290&gt;0,IF(O290&gt;0,$R$4*MAX(O290-V290,0),0),0)/I290,2),0))</f>
        <v>0.04</v>
      </c>
      <c r="AI290" s="80">
        <f>IF(Y290="No",0,IFERROR(ROUNDDOWN(INDEX('90% of ACR'!R:R,MATCH(H:H,'90% of ACR'!A:A,0))*IF(J290&gt;0,IF(P290&gt;0,$R$4*MAX(P290-W290,0),0),0)/J290,2),0))</f>
        <v>0</v>
      </c>
      <c r="AJ290" s="44">
        <f t="shared" si="87"/>
        <v>47745.170943193363</v>
      </c>
      <c r="AK290" s="44">
        <f t="shared" si="87"/>
        <v>0</v>
      </c>
      <c r="AL290" s="46">
        <f t="shared" si="88"/>
        <v>0.04</v>
      </c>
      <c r="AM290" s="46">
        <f t="shared" si="88"/>
        <v>0.06</v>
      </c>
      <c r="AN290" s="81">
        <f>IFERROR(INDEX(FeeCalc!P:P,MATCH(C290,FeeCalc!F:F,0)),0)</f>
        <v>221040.29240934481</v>
      </c>
      <c r="AO290" s="81">
        <f>IFERROR(INDEX(FeeCalc!S:S,MATCH(C290,FeeCalc!F:F,0)),0)</f>
        <v>13629.089239126359</v>
      </c>
      <c r="AP290" s="81">
        <f t="shared" si="89"/>
        <v>234669.38164847117</v>
      </c>
      <c r="AQ290" s="68">
        <f t="shared" si="90"/>
        <v>92354.604486519136</v>
      </c>
      <c r="AR290" s="68">
        <f>INDEX('IGT Commitment Suggestions'!H:H,MATCH(G290,'IGT Commitment Suggestions'!A:A,0))*AQ290</f>
        <v>42284.791108922691</v>
      </c>
    </row>
    <row r="291" spans="1:44">
      <c r="A291" s="103" t="s">
        <v>471</v>
      </c>
      <c r="B291" s="123" t="s">
        <v>471</v>
      </c>
      <c r="C291" s="30" t="s">
        <v>472</v>
      </c>
      <c r="D291" s="124" t="s">
        <v>472</v>
      </c>
      <c r="E291" s="119" t="s">
        <v>2613</v>
      </c>
      <c r="F291" s="99" t="s">
        <v>2295</v>
      </c>
      <c r="G291" s="99" t="s">
        <v>227</v>
      </c>
      <c r="H291" s="42" t="str">
        <f t="shared" si="76"/>
        <v>Rural MRSA West</v>
      </c>
      <c r="I291" s="44">
        <f>INDEX(FeeCalc!M:M,MATCH(C:C,FeeCalc!F:F,0))</f>
        <v>7914190.4062177958</v>
      </c>
      <c r="J291" s="44">
        <f>INDEX(FeeCalc!L:L,MATCH(C:C,FeeCalc!F:F,0))</f>
        <v>2810287.4693355244</v>
      </c>
      <c r="K291" s="44">
        <f t="shared" si="77"/>
        <v>10724477.875553321</v>
      </c>
      <c r="L291" s="44">
        <v>-646919.23</v>
      </c>
      <c r="M291" s="44">
        <v>-566014.71999999997</v>
      </c>
      <c r="N291" s="44">
        <f t="shared" si="78"/>
        <v>-1212933.95</v>
      </c>
      <c r="O291" s="44">
        <v>1743852.6028848956</v>
      </c>
      <c r="P291" s="44">
        <v>2378049.6331727728</v>
      </c>
      <c r="Q291" s="44">
        <f t="shared" si="79"/>
        <v>4121902.2360576685</v>
      </c>
      <c r="R291" s="44" t="str">
        <f t="shared" si="80"/>
        <v>Yes</v>
      </c>
      <c r="S291" s="45" t="str">
        <f t="shared" si="80"/>
        <v>Yes</v>
      </c>
      <c r="T291" s="46">
        <f>ROUND(INDEX(Summary!H:H,MATCH(H:H,Summary!A:A,0)),2)</f>
        <v>0</v>
      </c>
      <c r="U291" s="46">
        <f>ROUND(INDEX(Summary!I:I,MATCH(H:H,Summary!A:A,0)),2)</f>
        <v>0.18</v>
      </c>
      <c r="V291" s="79">
        <f t="shared" si="81"/>
        <v>0</v>
      </c>
      <c r="W291" s="79">
        <f t="shared" si="81"/>
        <v>505851.74448039435</v>
      </c>
      <c r="X291" s="44">
        <f t="shared" si="82"/>
        <v>505851.74448039435</v>
      </c>
      <c r="Y291" s="44" t="s">
        <v>2765</v>
      </c>
      <c r="Z291" s="44" t="str">
        <f t="shared" si="83"/>
        <v>No</v>
      </c>
      <c r="AA291" s="44" t="str">
        <f t="shared" si="83"/>
        <v>Yes</v>
      </c>
      <c r="AB291" s="44" t="str">
        <f t="shared" si="84"/>
        <v>Yes</v>
      </c>
      <c r="AC291" s="80">
        <f t="shared" si="91"/>
        <v>0.15</v>
      </c>
      <c r="AD291" s="80">
        <f t="shared" si="92"/>
        <v>0.46</v>
      </c>
      <c r="AE291" s="44">
        <f t="shared" si="85"/>
        <v>1187128.5609326693</v>
      </c>
      <c r="AF291" s="44">
        <f t="shared" si="85"/>
        <v>1292732.2358943413</v>
      </c>
      <c r="AG291" s="44">
        <f t="shared" si="86"/>
        <v>2479860.7968270108</v>
      </c>
      <c r="AH291" s="46">
        <f>IF(Y291="No",0,IFERROR(ROUNDDOWN(INDEX('90% of ACR'!K:K,MATCH(H:H,'90% of ACR'!A:A,0))*IF(I291&gt;0,IF(O291&gt;0,$R$4*MAX(O291-V291,0),0),0)/I291,2),0))</f>
        <v>0</v>
      </c>
      <c r="AI291" s="80">
        <f>IF(Y291="No",0,IFERROR(ROUNDDOWN(INDEX('90% of ACR'!R:R,MATCH(H:H,'90% of ACR'!A:A,0))*IF(J291&gt;0,IF(P291&gt;0,$R$4*MAX(P291-W291,0),0),0)/J291,2),0))</f>
        <v>0.45</v>
      </c>
      <c r="AJ291" s="44">
        <f t="shared" si="87"/>
        <v>0</v>
      </c>
      <c r="AK291" s="44">
        <f t="shared" si="87"/>
        <v>1264629.361200986</v>
      </c>
      <c r="AL291" s="46">
        <f t="shared" si="88"/>
        <v>0</v>
      </c>
      <c r="AM291" s="46">
        <f t="shared" si="88"/>
        <v>0.63</v>
      </c>
      <c r="AN291" s="81">
        <f>IFERROR(INDEX(FeeCalc!P:P,MATCH(C291,FeeCalc!F:F,0)),0)</f>
        <v>1770481.1056813803</v>
      </c>
      <c r="AO291" s="81">
        <f>IFERROR(INDEX(FeeCalc!S:S,MATCH(C291,FeeCalc!F:F,0)),0)</f>
        <v>109084.34642809628</v>
      </c>
      <c r="AP291" s="81">
        <f t="shared" si="89"/>
        <v>1879565.4521094766</v>
      </c>
      <c r="AQ291" s="68">
        <f t="shared" si="90"/>
        <v>739706.74280858878</v>
      </c>
      <c r="AR291" s="68">
        <f>INDEX('IGT Commitment Suggestions'!H:H,MATCH(G291,'IGT Commitment Suggestions'!A:A,0))*AQ291</f>
        <v>362503.38682913082</v>
      </c>
    </row>
    <row r="292" spans="1:44" ht="25.5">
      <c r="A292" s="103" t="s">
        <v>1356</v>
      </c>
      <c r="B292" s="123" t="s">
        <v>1356</v>
      </c>
      <c r="C292" s="30" t="s">
        <v>1357</v>
      </c>
      <c r="D292" s="124" t="s">
        <v>1357</v>
      </c>
      <c r="E292" s="119" t="s">
        <v>2909</v>
      </c>
      <c r="F292" s="99" t="s">
        <v>2544</v>
      </c>
      <c r="G292" s="99" t="s">
        <v>300</v>
      </c>
      <c r="H292" s="42" t="str">
        <f t="shared" si="76"/>
        <v>Non-state-owned IMD Harris</v>
      </c>
      <c r="I292" s="44">
        <f>INDEX(FeeCalc!M:M,MATCH(C:C,FeeCalc!F:F,0))</f>
        <v>1528349.8526361354</v>
      </c>
      <c r="J292" s="44">
        <f>INDEX(FeeCalc!L:L,MATCH(C:C,FeeCalc!F:F,0))</f>
        <v>0</v>
      </c>
      <c r="K292" s="44">
        <f t="shared" si="77"/>
        <v>1528349.8526361354</v>
      </c>
      <c r="L292" s="44">
        <v>489116.8</v>
      </c>
      <c r="M292" s="44">
        <v>0</v>
      </c>
      <c r="N292" s="44">
        <f t="shared" si="78"/>
        <v>489116.8</v>
      </c>
      <c r="O292" s="44">
        <v>353567.03698971414</v>
      </c>
      <c r="P292" s="44">
        <v>0</v>
      </c>
      <c r="Q292" s="44">
        <f t="shared" si="79"/>
        <v>353567.03698971414</v>
      </c>
      <c r="R292" s="44" t="str">
        <f t="shared" si="80"/>
        <v>Yes</v>
      </c>
      <c r="S292" s="45" t="str">
        <f t="shared" si="80"/>
        <v>No</v>
      </c>
      <c r="T292" s="46">
        <f>ROUND(INDEX(Summary!H:H,MATCH(H:H,Summary!A:A,0)),2)</f>
        <v>0.24</v>
      </c>
      <c r="U292" s="46">
        <f>ROUND(INDEX(Summary!I:I,MATCH(H:H,Summary!A:A,0)),2)</f>
        <v>0</v>
      </c>
      <c r="V292" s="79">
        <f t="shared" si="81"/>
        <v>366803.96463267249</v>
      </c>
      <c r="W292" s="79">
        <f t="shared" si="81"/>
        <v>0</v>
      </c>
      <c r="X292" s="44">
        <f t="shared" si="82"/>
        <v>366803.96463267249</v>
      </c>
      <c r="Y292" s="44" t="s">
        <v>2766</v>
      </c>
      <c r="Z292" s="44" t="str">
        <f t="shared" si="83"/>
        <v>No</v>
      </c>
      <c r="AA292" s="44" t="str">
        <f t="shared" si="83"/>
        <v>No</v>
      </c>
      <c r="AB292" s="44" t="str">
        <f t="shared" si="84"/>
        <v>No</v>
      </c>
      <c r="AC292" s="80">
        <f t="shared" si="91"/>
        <v>0</v>
      </c>
      <c r="AD292" s="80">
        <f t="shared" si="92"/>
        <v>0</v>
      </c>
      <c r="AE292" s="44">
        <f t="shared" si="85"/>
        <v>0</v>
      </c>
      <c r="AF292" s="44">
        <f t="shared" si="85"/>
        <v>0</v>
      </c>
      <c r="AG292" s="44">
        <f t="shared" si="86"/>
        <v>0</v>
      </c>
      <c r="AH292" s="46">
        <f>IF(Y292="No",0,IFERROR(ROUNDDOWN(INDEX('90% of ACR'!K:K,MATCH(H:H,'90% of ACR'!A:A,0))*IF(I292&gt;0,IF(O292&gt;0,$R$4*MAX(O292-V292,0),0),0)/I292,2),0))</f>
        <v>0</v>
      </c>
      <c r="AI292" s="80">
        <f>IF(Y292="No",0,IFERROR(ROUNDDOWN(INDEX('90% of ACR'!R:R,MATCH(H:H,'90% of ACR'!A:A,0))*IF(J292&gt;0,IF(P292&gt;0,$R$4*MAX(P292-W292,0),0),0)/J292,2),0))</f>
        <v>0</v>
      </c>
      <c r="AJ292" s="44">
        <f t="shared" si="87"/>
        <v>0</v>
      </c>
      <c r="AK292" s="44">
        <f t="shared" si="87"/>
        <v>0</v>
      </c>
      <c r="AL292" s="46">
        <f t="shared" si="88"/>
        <v>0.24</v>
      </c>
      <c r="AM292" s="46">
        <f t="shared" si="88"/>
        <v>0</v>
      </c>
      <c r="AN292" s="81">
        <f>IFERROR(INDEX(FeeCalc!P:P,MATCH(C292,FeeCalc!F:F,0)),0)</f>
        <v>366803.96463267249</v>
      </c>
      <c r="AO292" s="81">
        <f>IFERROR(INDEX(FeeCalc!S:S,MATCH(C292,FeeCalc!F:F,0)),0)</f>
        <v>22377.960707033075</v>
      </c>
      <c r="AP292" s="81">
        <f t="shared" si="89"/>
        <v>389181.92533970554</v>
      </c>
      <c r="AQ292" s="68">
        <f t="shared" si="90"/>
        <v>153163.32508129181</v>
      </c>
      <c r="AR292" s="68">
        <f>INDEX('IGT Commitment Suggestions'!H:H,MATCH(G292,'IGT Commitment Suggestions'!A:A,0))*AQ292</f>
        <v>70270.388284210334</v>
      </c>
    </row>
    <row r="293" spans="1:44">
      <c r="A293" s="103" t="s">
        <v>665</v>
      </c>
      <c r="B293" s="123" t="s">
        <v>665</v>
      </c>
      <c r="C293" s="30" t="s">
        <v>666</v>
      </c>
      <c r="D293" s="124" t="s">
        <v>666</v>
      </c>
      <c r="E293" s="119" t="s">
        <v>2910</v>
      </c>
      <c r="F293" s="99" t="s">
        <v>2295</v>
      </c>
      <c r="G293" s="99" t="s">
        <v>227</v>
      </c>
      <c r="H293" s="42" t="str">
        <f t="shared" si="76"/>
        <v>Rural MRSA West</v>
      </c>
      <c r="I293" s="44">
        <f>INDEX(FeeCalc!M:M,MATCH(C:C,FeeCalc!F:F,0))</f>
        <v>309254.66708942532</v>
      </c>
      <c r="J293" s="44">
        <f>INDEX(FeeCalc!L:L,MATCH(C:C,FeeCalc!F:F,0))</f>
        <v>580156.70733745047</v>
      </c>
      <c r="K293" s="44">
        <f t="shared" si="77"/>
        <v>889411.37442687573</v>
      </c>
      <c r="L293" s="44">
        <v>2567.4699999999998</v>
      </c>
      <c r="M293" s="44">
        <v>-151254.24</v>
      </c>
      <c r="N293" s="44">
        <f t="shared" si="78"/>
        <v>-148686.76999999999</v>
      </c>
      <c r="O293" s="44">
        <v>-9949.2086870139483</v>
      </c>
      <c r="P293" s="44">
        <v>107997.35534731863</v>
      </c>
      <c r="Q293" s="44">
        <f t="shared" si="79"/>
        <v>98048.146660304687</v>
      </c>
      <c r="R293" s="44" t="str">
        <f t="shared" si="80"/>
        <v>No</v>
      </c>
      <c r="S293" s="45" t="str">
        <f t="shared" si="80"/>
        <v>Yes</v>
      </c>
      <c r="T293" s="46">
        <f>ROUND(INDEX(Summary!H:H,MATCH(H:H,Summary!A:A,0)),2)</f>
        <v>0</v>
      </c>
      <c r="U293" s="46">
        <f>ROUND(INDEX(Summary!I:I,MATCH(H:H,Summary!A:A,0)),2)</f>
        <v>0.18</v>
      </c>
      <c r="V293" s="79">
        <f t="shared" si="81"/>
        <v>0</v>
      </c>
      <c r="W293" s="79">
        <f t="shared" si="81"/>
        <v>104428.20732074109</v>
      </c>
      <c r="X293" s="44">
        <f t="shared" si="82"/>
        <v>104428.20732074109</v>
      </c>
      <c r="Y293" s="44" t="s">
        <v>2765</v>
      </c>
      <c r="Z293" s="44" t="str">
        <f t="shared" si="83"/>
        <v>No</v>
      </c>
      <c r="AA293" s="44" t="str">
        <f t="shared" si="83"/>
        <v>No</v>
      </c>
      <c r="AB293" s="44" t="str">
        <f t="shared" si="84"/>
        <v>No</v>
      </c>
      <c r="AC293" s="80">
        <f t="shared" si="91"/>
        <v>0</v>
      </c>
      <c r="AD293" s="80">
        <f t="shared" si="92"/>
        <v>0</v>
      </c>
      <c r="AE293" s="44">
        <f t="shared" si="85"/>
        <v>0</v>
      </c>
      <c r="AF293" s="44">
        <f t="shared" si="85"/>
        <v>0</v>
      </c>
      <c r="AG293" s="44">
        <f t="shared" si="86"/>
        <v>0</v>
      </c>
      <c r="AH293" s="46">
        <f>IF(Y293="No",0,IFERROR(ROUNDDOWN(INDEX('90% of ACR'!K:K,MATCH(H:H,'90% of ACR'!A:A,0))*IF(I293&gt;0,IF(O293&gt;0,$R$4*MAX(O293-V293,0),0),0)/I293,2),0))</f>
        <v>0</v>
      </c>
      <c r="AI293" s="80">
        <f>IF(Y293="No",0,IFERROR(ROUNDDOWN(INDEX('90% of ACR'!R:R,MATCH(H:H,'90% of ACR'!A:A,0))*IF(J293&gt;0,IF(P293&gt;0,$R$4*MAX(P293-W293,0),0),0)/J293,2),0))</f>
        <v>0</v>
      </c>
      <c r="AJ293" s="44">
        <f t="shared" si="87"/>
        <v>0</v>
      </c>
      <c r="AK293" s="44">
        <f t="shared" si="87"/>
        <v>0</v>
      </c>
      <c r="AL293" s="46">
        <f t="shared" si="88"/>
        <v>0</v>
      </c>
      <c r="AM293" s="46">
        <f t="shared" si="88"/>
        <v>0.18</v>
      </c>
      <c r="AN293" s="81">
        <f>IFERROR(INDEX(FeeCalc!P:P,MATCH(C293,FeeCalc!F:F,0)),0)</f>
        <v>104428.20732074109</v>
      </c>
      <c r="AO293" s="81">
        <f>IFERROR(INDEX(FeeCalc!S:S,MATCH(C293,FeeCalc!F:F,0)),0)</f>
        <v>6434.3655940074404</v>
      </c>
      <c r="AP293" s="81">
        <f t="shared" si="89"/>
        <v>110862.57291474853</v>
      </c>
      <c r="AQ293" s="68">
        <f t="shared" si="90"/>
        <v>43630.18729574512</v>
      </c>
      <c r="AR293" s="68">
        <f>INDEX('IGT Commitment Suggestions'!H:H,MATCH(G293,'IGT Commitment Suggestions'!A:A,0))*AQ293</f>
        <v>21381.568866933518</v>
      </c>
    </row>
    <row r="294" spans="1:44" ht="25.5">
      <c r="A294" s="103" t="s">
        <v>1234</v>
      </c>
      <c r="B294" s="123" t="s">
        <v>1235</v>
      </c>
      <c r="C294" s="30" t="s">
        <v>1235</v>
      </c>
      <c r="D294" s="124" t="s">
        <v>1235</v>
      </c>
      <c r="E294" s="119" t="s">
        <v>2562</v>
      </c>
      <c r="F294" s="99" t="s">
        <v>2544</v>
      </c>
      <c r="G294" s="99" t="s">
        <v>223</v>
      </c>
      <c r="H294" s="42" t="str">
        <f t="shared" si="76"/>
        <v>Non-state-owned IMD Dallas</v>
      </c>
      <c r="I294" s="44">
        <f>INDEX(FeeCalc!M:M,MATCH(C:C,FeeCalc!F:F,0))</f>
        <v>4868973.7243280746</v>
      </c>
      <c r="J294" s="44">
        <f>INDEX(FeeCalc!L:L,MATCH(C:C,FeeCalc!F:F,0))</f>
        <v>0</v>
      </c>
      <c r="K294" s="44">
        <f t="shared" si="77"/>
        <v>4868973.7243280746</v>
      </c>
      <c r="L294" s="44">
        <v>963300.24</v>
      </c>
      <c r="M294" s="44">
        <v>0</v>
      </c>
      <c r="N294" s="44">
        <f t="shared" si="78"/>
        <v>963300.24</v>
      </c>
      <c r="O294" s="44">
        <v>1040924.3969355463</v>
      </c>
      <c r="P294" s="44">
        <v>0</v>
      </c>
      <c r="Q294" s="44">
        <f t="shared" si="79"/>
        <v>1040924.3969355463</v>
      </c>
      <c r="R294" s="44" t="str">
        <f t="shared" si="80"/>
        <v>Yes</v>
      </c>
      <c r="S294" s="45" t="str">
        <f t="shared" si="80"/>
        <v>No</v>
      </c>
      <c r="T294" s="46">
        <f>ROUND(INDEX(Summary!H:H,MATCH(H:H,Summary!A:A,0)),2)</f>
        <v>0.27</v>
      </c>
      <c r="U294" s="46">
        <f>ROUND(INDEX(Summary!I:I,MATCH(H:H,Summary!A:A,0)),2)</f>
        <v>0</v>
      </c>
      <c r="V294" s="79">
        <f t="shared" si="81"/>
        <v>1314622.9055685801</v>
      </c>
      <c r="W294" s="79">
        <f t="shared" si="81"/>
        <v>0</v>
      </c>
      <c r="X294" s="44">
        <f t="shared" si="82"/>
        <v>1314622.9055685801</v>
      </c>
      <c r="Y294" s="44" t="s">
        <v>2765</v>
      </c>
      <c r="Z294" s="44" t="str">
        <f t="shared" si="83"/>
        <v>No</v>
      </c>
      <c r="AA294" s="44" t="str">
        <f t="shared" si="83"/>
        <v>No</v>
      </c>
      <c r="AB294" s="44" t="str">
        <f t="shared" si="84"/>
        <v>No</v>
      </c>
      <c r="AC294" s="80">
        <f t="shared" si="91"/>
        <v>0</v>
      </c>
      <c r="AD294" s="80">
        <f t="shared" si="92"/>
        <v>0</v>
      </c>
      <c r="AE294" s="44">
        <f t="shared" si="85"/>
        <v>0</v>
      </c>
      <c r="AF294" s="44">
        <f t="shared" si="85"/>
        <v>0</v>
      </c>
      <c r="AG294" s="44">
        <f t="shared" si="86"/>
        <v>0</v>
      </c>
      <c r="AH294" s="46">
        <f>IF(Y294="No",0,IFERROR(ROUNDDOWN(INDEX('90% of ACR'!K:K,MATCH(H:H,'90% of ACR'!A:A,0))*IF(I294&gt;0,IF(O294&gt;0,$R$4*MAX(O294-V294,0),0),0)/I294,2),0))</f>
        <v>0</v>
      </c>
      <c r="AI294" s="80">
        <f>IF(Y294="No",0,IFERROR(ROUNDDOWN(INDEX('90% of ACR'!R:R,MATCH(H:H,'90% of ACR'!A:A,0))*IF(J294&gt;0,IF(P294&gt;0,$R$4*MAX(P294-W294,0),0),0)/J294,2),0))</f>
        <v>0</v>
      </c>
      <c r="AJ294" s="44">
        <f t="shared" si="87"/>
        <v>0</v>
      </c>
      <c r="AK294" s="44">
        <f t="shared" si="87"/>
        <v>0</v>
      </c>
      <c r="AL294" s="46">
        <f t="shared" si="88"/>
        <v>0.27</v>
      </c>
      <c r="AM294" s="46">
        <f t="shared" si="88"/>
        <v>0</v>
      </c>
      <c r="AN294" s="81">
        <f>IFERROR(INDEX(FeeCalc!P:P,MATCH(C294,FeeCalc!F:F,0)),0)</f>
        <v>1314622.9055685801</v>
      </c>
      <c r="AO294" s="81">
        <f>IFERROR(INDEX(FeeCalc!S:S,MATCH(C294,FeeCalc!F:F,0)),0)</f>
        <v>80202.458429913371</v>
      </c>
      <c r="AP294" s="81">
        <f t="shared" si="89"/>
        <v>1394825.3639984934</v>
      </c>
      <c r="AQ294" s="68">
        <f t="shared" si="90"/>
        <v>548936.31165233511</v>
      </c>
      <c r="AR294" s="68">
        <f>INDEX('IGT Commitment Suggestions'!H:H,MATCH(G294,'IGT Commitment Suggestions'!A:A,0))*AQ294</f>
        <v>251047.09234725358</v>
      </c>
    </row>
    <row r="295" spans="1:44">
      <c r="A295" s="103" t="s">
        <v>989</v>
      </c>
      <c r="B295" s="123" t="s">
        <v>989</v>
      </c>
      <c r="C295" s="30" t="s">
        <v>990</v>
      </c>
      <c r="D295" s="124" t="s">
        <v>990</v>
      </c>
      <c r="E295" s="119" t="s">
        <v>2658</v>
      </c>
      <c r="F295" s="99" t="s">
        <v>2295</v>
      </c>
      <c r="G295" s="99" t="s">
        <v>1548</v>
      </c>
      <c r="H295" s="42" t="str">
        <f t="shared" si="76"/>
        <v>Rural Nueces</v>
      </c>
      <c r="I295" s="44">
        <f>INDEX(FeeCalc!M:M,MATCH(C:C,FeeCalc!F:F,0))</f>
        <v>68200.782595505982</v>
      </c>
      <c r="J295" s="44">
        <f>INDEX(FeeCalc!L:L,MATCH(C:C,FeeCalc!F:F,0))</f>
        <v>502728.52436098148</v>
      </c>
      <c r="K295" s="44">
        <f t="shared" si="77"/>
        <v>570929.30695648747</v>
      </c>
      <c r="L295" s="44">
        <v>0</v>
      </c>
      <c r="M295" s="44">
        <v>-140881.07999999999</v>
      </c>
      <c r="N295" s="44">
        <f t="shared" si="78"/>
        <v>-140881.07999999999</v>
      </c>
      <c r="O295" s="44">
        <v>0</v>
      </c>
      <c r="P295" s="44">
        <v>-15505.042545551987</v>
      </c>
      <c r="Q295" s="44">
        <f t="shared" si="79"/>
        <v>-15505.042545551987</v>
      </c>
      <c r="R295" s="44" t="str">
        <f t="shared" si="80"/>
        <v>No</v>
      </c>
      <c r="S295" s="45" t="str">
        <f t="shared" si="80"/>
        <v>No</v>
      </c>
      <c r="T295" s="46">
        <f>ROUND(INDEX(Summary!H:H,MATCH(H:H,Summary!A:A,0)),2)</f>
        <v>0.2</v>
      </c>
      <c r="U295" s="46">
        <f>ROUND(INDEX(Summary!I:I,MATCH(H:H,Summary!A:A,0)),2)</f>
        <v>0.14000000000000001</v>
      </c>
      <c r="V295" s="79">
        <f t="shared" si="81"/>
        <v>13640.156519101198</v>
      </c>
      <c r="W295" s="79">
        <f t="shared" si="81"/>
        <v>70381.993410537412</v>
      </c>
      <c r="X295" s="44">
        <f t="shared" si="82"/>
        <v>84022.149929638603</v>
      </c>
      <c r="Y295" s="44" t="s">
        <v>2765</v>
      </c>
      <c r="Z295" s="44" t="str">
        <f t="shared" si="83"/>
        <v>No</v>
      </c>
      <c r="AA295" s="44" t="str">
        <f t="shared" si="83"/>
        <v>No</v>
      </c>
      <c r="AB295" s="44" t="str">
        <f t="shared" si="84"/>
        <v>No</v>
      </c>
      <c r="AC295" s="80">
        <f t="shared" si="91"/>
        <v>0</v>
      </c>
      <c r="AD295" s="80">
        <f t="shared" si="92"/>
        <v>0</v>
      </c>
      <c r="AE295" s="44">
        <f t="shared" si="85"/>
        <v>0</v>
      </c>
      <c r="AF295" s="44">
        <f t="shared" si="85"/>
        <v>0</v>
      </c>
      <c r="AG295" s="44">
        <f t="shared" si="86"/>
        <v>0</v>
      </c>
      <c r="AH295" s="46">
        <f>IF(Y295="No",0,IFERROR(ROUNDDOWN(INDEX('90% of ACR'!K:K,MATCH(H:H,'90% of ACR'!A:A,0))*IF(I295&gt;0,IF(O295&gt;0,$R$4*MAX(O295-V295,0),0),0)/I295,2),0))</f>
        <v>0</v>
      </c>
      <c r="AI295" s="80">
        <f>IF(Y295="No",0,IFERROR(ROUNDDOWN(INDEX('90% of ACR'!R:R,MATCH(H:H,'90% of ACR'!A:A,0))*IF(J295&gt;0,IF(P295&gt;0,$R$4*MAX(P295-W295,0),0),0)/J295,2),0))</f>
        <v>0</v>
      </c>
      <c r="AJ295" s="44">
        <f t="shared" si="87"/>
        <v>0</v>
      </c>
      <c r="AK295" s="44">
        <f t="shared" si="87"/>
        <v>0</v>
      </c>
      <c r="AL295" s="46">
        <f t="shared" si="88"/>
        <v>0.2</v>
      </c>
      <c r="AM295" s="46">
        <f t="shared" si="88"/>
        <v>0.14000000000000001</v>
      </c>
      <c r="AN295" s="81">
        <f>IFERROR(INDEX(FeeCalc!P:P,MATCH(C295,FeeCalc!F:F,0)),0)</f>
        <v>84022.149929638603</v>
      </c>
      <c r="AO295" s="81">
        <f>IFERROR(INDEX(FeeCalc!S:S,MATCH(C295,FeeCalc!F:F,0)),0)</f>
        <v>5211.1092804591372</v>
      </c>
      <c r="AP295" s="81">
        <f t="shared" si="89"/>
        <v>89233.259210097734</v>
      </c>
      <c r="AQ295" s="68">
        <f t="shared" si="90"/>
        <v>35117.927628652389</v>
      </c>
      <c r="AR295" s="68">
        <f>INDEX('IGT Commitment Suggestions'!H:H,MATCH(G295,'IGT Commitment Suggestions'!A:A,0))*AQ295</f>
        <v>16063.05260160457</v>
      </c>
    </row>
    <row r="296" spans="1:44">
      <c r="A296" s="103" t="s">
        <v>195</v>
      </c>
      <c r="B296" s="123" t="s">
        <v>195</v>
      </c>
      <c r="C296" s="30" t="s">
        <v>196</v>
      </c>
      <c r="D296" s="124" t="s">
        <v>196</v>
      </c>
      <c r="E296" s="119" t="s">
        <v>2911</v>
      </c>
      <c r="F296" s="99" t="s">
        <v>2295</v>
      </c>
      <c r="G296" s="99" t="s">
        <v>1548</v>
      </c>
      <c r="H296" s="42" t="str">
        <f t="shared" si="76"/>
        <v>Rural Nueces</v>
      </c>
      <c r="I296" s="44">
        <f>INDEX(FeeCalc!M:M,MATCH(C:C,FeeCalc!F:F,0))</f>
        <v>42071.759949995852</v>
      </c>
      <c r="J296" s="44">
        <f>INDEX(FeeCalc!L:L,MATCH(C:C,FeeCalc!F:F,0))</f>
        <v>810099.0321881097</v>
      </c>
      <c r="K296" s="44">
        <f t="shared" si="77"/>
        <v>852170.79213810561</v>
      </c>
      <c r="L296" s="44">
        <v>134457.54</v>
      </c>
      <c r="M296" s="44">
        <v>71912.62</v>
      </c>
      <c r="N296" s="44">
        <f t="shared" si="78"/>
        <v>206370.16</v>
      </c>
      <c r="O296" s="44">
        <v>21690.525712644194</v>
      </c>
      <c r="P296" s="44">
        <v>152083.8527382504</v>
      </c>
      <c r="Q296" s="44">
        <f t="shared" si="79"/>
        <v>173774.37845089458</v>
      </c>
      <c r="R296" s="44" t="str">
        <f t="shared" si="80"/>
        <v>Yes</v>
      </c>
      <c r="S296" s="45" t="str">
        <f t="shared" si="80"/>
        <v>Yes</v>
      </c>
      <c r="T296" s="46">
        <f>ROUND(INDEX(Summary!H:H,MATCH(H:H,Summary!A:A,0)),2)</f>
        <v>0.2</v>
      </c>
      <c r="U296" s="46">
        <f>ROUND(INDEX(Summary!I:I,MATCH(H:H,Summary!A:A,0)),2)</f>
        <v>0.14000000000000001</v>
      </c>
      <c r="V296" s="79">
        <f t="shared" si="81"/>
        <v>8414.3519899991716</v>
      </c>
      <c r="W296" s="79">
        <f t="shared" si="81"/>
        <v>113413.86450633538</v>
      </c>
      <c r="X296" s="44">
        <f t="shared" si="82"/>
        <v>121828.21649633454</v>
      </c>
      <c r="Y296" s="44" t="s">
        <v>2765</v>
      </c>
      <c r="Z296" s="44" t="str">
        <f t="shared" si="83"/>
        <v>No</v>
      </c>
      <c r="AA296" s="44" t="str">
        <f t="shared" si="83"/>
        <v>Yes</v>
      </c>
      <c r="AB296" s="44" t="str">
        <f t="shared" si="84"/>
        <v>Yes</v>
      </c>
      <c r="AC296" s="80">
        <f t="shared" si="91"/>
        <v>0.22</v>
      </c>
      <c r="AD296" s="80">
        <f t="shared" si="92"/>
        <v>0.03</v>
      </c>
      <c r="AE296" s="44">
        <f t="shared" si="85"/>
        <v>9255.7871889990874</v>
      </c>
      <c r="AF296" s="44">
        <f t="shared" si="85"/>
        <v>24302.97096564329</v>
      </c>
      <c r="AG296" s="44">
        <f t="shared" si="86"/>
        <v>33558.758154642375</v>
      </c>
      <c r="AH296" s="46">
        <f>IF(Y296="No",0,IFERROR(ROUNDDOWN(INDEX('90% of ACR'!K:K,MATCH(H:H,'90% of ACR'!A:A,0))*IF(I296&gt;0,IF(O296&gt;0,$R$4*MAX(O296-V296,0),0),0)/I296,2),0))</f>
        <v>0</v>
      </c>
      <c r="AI296" s="80">
        <f>IF(Y296="No",0,IFERROR(ROUNDDOWN(INDEX('90% of ACR'!R:R,MATCH(H:H,'90% of ACR'!A:A,0))*IF(J296&gt;0,IF(P296&gt;0,$R$4*MAX(P296-W296,0),0),0)/J296,2),0))</f>
        <v>0.03</v>
      </c>
      <c r="AJ296" s="44">
        <f t="shared" si="87"/>
        <v>0</v>
      </c>
      <c r="AK296" s="44">
        <f t="shared" si="87"/>
        <v>24302.97096564329</v>
      </c>
      <c r="AL296" s="46">
        <f t="shared" si="88"/>
        <v>0.2</v>
      </c>
      <c r="AM296" s="46">
        <f t="shared" si="88"/>
        <v>0.17</v>
      </c>
      <c r="AN296" s="81">
        <f>IFERROR(INDEX(FeeCalc!P:P,MATCH(C296,FeeCalc!F:F,0)),0)</f>
        <v>146131.18746197785</v>
      </c>
      <c r="AO296" s="81">
        <f>IFERROR(INDEX(FeeCalc!S:S,MATCH(C296,FeeCalc!F:F,0)),0)</f>
        <v>9013.9460874808719</v>
      </c>
      <c r="AP296" s="81">
        <f t="shared" si="89"/>
        <v>155145.13354945873</v>
      </c>
      <c r="AQ296" s="68">
        <f t="shared" si="90"/>
        <v>61057.677598656584</v>
      </c>
      <c r="AR296" s="68">
        <f>INDEX('IGT Commitment Suggestions'!H:H,MATCH(G296,'IGT Commitment Suggestions'!A:A,0))*AQ296</f>
        <v>27927.977338811714</v>
      </c>
    </row>
    <row r="297" spans="1:44">
      <c r="A297" s="103" t="s">
        <v>980</v>
      </c>
      <c r="B297" s="123" t="s">
        <v>980</v>
      </c>
      <c r="C297" s="30" t="s">
        <v>981</v>
      </c>
      <c r="D297" s="124" t="s">
        <v>981</v>
      </c>
      <c r="E297" s="119" t="s">
        <v>2912</v>
      </c>
      <c r="F297" s="99" t="s">
        <v>2283</v>
      </c>
      <c r="G297" s="99" t="s">
        <v>223</v>
      </c>
      <c r="H297" s="42" t="str">
        <f t="shared" si="76"/>
        <v>Urban Dallas</v>
      </c>
      <c r="I297" s="44">
        <f>INDEX(FeeCalc!M:M,MATCH(C:C,FeeCalc!F:F,0))</f>
        <v>4194098.8276492422</v>
      </c>
      <c r="J297" s="44">
        <f>INDEX(FeeCalc!L:L,MATCH(C:C,FeeCalc!F:F,0))</f>
        <v>2466507.5578280073</v>
      </c>
      <c r="K297" s="44">
        <f t="shared" si="77"/>
        <v>6660606.3854772495</v>
      </c>
      <c r="L297" s="44">
        <v>5782810.8200000003</v>
      </c>
      <c r="M297" s="44">
        <v>2179236.0499999998</v>
      </c>
      <c r="N297" s="44">
        <f t="shared" si="78"/>
        <v>7962046.8700000001</v>
      </c>
      <c r="O297" s="44">
        <v>10721743.183607908</v>
      </c>
      <c r="P297" s="44">
        <v>5159381.5870290548</v>
      </c>
      <c r="Q297" s="44">
        <f t="shared" si="79"/>
        <v>15881124.770636963</v>
      </c>
      <c r="R297" s="44" t="str">
        <f t="shared" si="80"/>
        <v>Yes</v>
      </c>
      <c r="S297" s="45" t="str">
        <f t="shared" si="80"/>
        <v>Yes</v>
      </c>
      <c r="T297" s="46">
        <f>ROUND(INDEX(Summary!H:H,MATCH(H:H,Summary!A:A,0)),2)</f>
        <v>0.6</v>
      </c>
      <c r="U297" s="46">
        <f>ROUND(INDEX(Summary!I:I,MATCH(H:H,Summary!A:A,0)),2)</f>
        <v>0.3</v>
      </c>
      <c r="V297" s="79">
        <f t="shared" si="81"/>
        <v>2516459.2965895454</v>
      </c>
      <c r="W297" s="79">
        <f t="shared" si="81"/>
        <v>739952.26734840218</v>
      </c>
      <c r="X297" s="44">
        <f t="shared" si="82"/>
        <v>3256411.5639379476</v>
      </c>
      <c r="Y297" s="44" t="s">
        <v>2765</v>
      </c>
      <c r="Z297" s="44" t="str">
        <f t="shared" si="83"/>
        <v>Yes</v>
      </c>
      <c r="AA297" s="44" t="str">
        <f t="shared" si="83"/>
        <v>Yes</v>
      </c>
      <c r="AB297" s="44" t="str">
        <f t="shared" si="84"/>
        <v>Yes</v>
      </c>
      <c r="AC297" s="80">
        <f t="shared" si="91"/>
        <v>1.36</v>
      </c>
      <c r="AD297" s="80">
        <f t="shared" si="92"/>
        <v>1.25</v>
      </c>
      <c r="AE297" s="44">
        <f t="shared" si="85"/>
        <v>5703974.4056029702</v>
      </c>
      <c r="AF297" s="44">
        <f t="shared" si="85"/>
        <v>3083134.4472850091</v>
      </c>
      <c r="AG297" s="44">
        <f t="shared" si="86"/>
        <v>8787108.8528879788</v>
      </c>
      <c r="AH297" s="46">
        <f>IF(Y297="No",0,IFERROR(ROUNDDOWN(INDEX('90% of ACR'!K:K,MATCH(H:H,'90% of ACR'!A:A,0))*IF(I297&gt;0,IF(O297&gt;0,$R$4*MAX(O297-V297,0),0),0)/I297,2),0))</f>
        <v>1.36</v>
      </c>
      <c r="AI297" s="80">
        <f>IF(Y297="No",0,IFERROR(ROUNDDOWN(INDEX('90% of ACR'!R:R,MATCH(H:H,'90% of ACR'!A:A,0))*IF(J297&gt;0,IF(P297&gt;0,$R$4*MAX(P297-W297,0),0),0)/J297,2),0))</f>
        <v>1.24</v>
      </c>
      <c r="AJ297" s="44">
        <f t="shared" si="87"/>
        <v>5703974.4056029702</v>
      </c>
      <c r="AK297" s="44">
        <f t="shared" si="87"/>
        <v>3058469.3717067288</v>
      </c>
      <c r="AL297" s="46">
        <f t="shared" si="88"/>
        <v>1.96</v>
      </c>
      <c r="AM297" s="46">
        <f t="shared" si="88"/>
        <v>1.54</v>
      </c>
      <c r="AN297" s="81">
        <f>IFERROR(INDEX(FeeCalc!P:P,MATCH(C297,FeeCalc!F:F,0)),0)</f>
        <v>12018855.341247646</v>
      </c>
      <c r="AO297" s="81">
        <f>IFERROR(INDEX(FeeCalc!S:S,MATCH(C297,FeeCalc!F:F,0)),0)</f>
        <v>741190.11624441855</v>
      </c>
      <c r="AP297" s="81">
        <f t="shared" si="89"/>
        <v>12760045.457492065</v>
      </c>
      <c r="AQ297" s="68">
        <f t="shared" si="90"/>
        <v>5021741.409886918</v>
      </c>
      <c r="AR297" s="68">
        <f>INDEX('IGT Commitment Suggestions'!H:H,MATCH(G297,'IGT Commitment Suggestions'!A:A,0))*AQ297</f>
        <v>2296611.7429490797</v>
      </c>
    </row>
    <row r="298" spans="1:44">
      <c r="A298" s="103" t="s">
        <v>971</v>
      </c>
      <c r="B298" s="123" t="s">
        <v>971</v>
      </c>
      <c r="C298" s="153" t="s">
        <v>972</v>
      </c>
      <c r="D298" s="124" t="s">
        <v>2711</v>
      </c>
      <c r="E298" s="119" t="s">
        <v>2913</v>
      </c>
      <c r="F298" s="99" t="s">
        <v>2283</v>
      </c>
      <c r="G298" s="99" t="s">
        <v>223</v>
      </c>
      <c r="H298" s="42" t="str">
        <f t="shared" si="76"/>
        <v>Urban Dallas</v>
      </c>
      <c r="I298" s="44">
        <f>INDEX(FeeCalc!M:M,MATCH(C:C,FeeCalc!F:F,0))</f>
        <v>10409891.106920797</v>
      </c>
      <c r="J298" s="44">
        <f>INDEX(FeeCalc!L:L,MATCH(C:C,FeeCalc!F:F,0))</f>
        <v>7402300.130787842</v>
      </c>
      <c r="K298" s="44">
        <f t="shared" si="77"/>
        <v>17812191.237708639</v>
      </c>
      <c r="L298" s="44">
        <v>-214266.3</v>
      </c>
      <c r="M298" s="44">
        <v>2202224</v>
      </c>
      <c r="N298" s="44">
        <f t="shared" si="78"/>
        <v>1987957.7</v>
      </c>
      <c r="O298" s="44">
        <v>4316490.3013201701</v>
      </c>
      <c r="P298" s="44">
        <v>3532672.5609573978</v>
      </c>
      <c r="Q298" s="44">
        <f t="shared" si="79"/>
        <v>7849162.8622775674</v>
      </c>
      <c r="R298" s="44" t="str">
        <f t="shared" si="80"/>
        <v>Yes</v>
      </c>
      <c r="S298" s="45" t="str">
        <f t="shared" si="80"/>
        <v>Yes</v>
      </c>
      <c r="T298" s="46">
        <f>ROUND(INDEX(Summary!H:H,MATCH(H:H,Summary!A:A,0)),2)</f>
        <v>0.6</v>
      </c>
      <c r="U298" s="46">
        <f>ROUND(INDEX(Summary!I:I,MATCH(H:H,Summary!A:A,0)),2)</f>
        <v>0.3</v>
      </c>
      <c r="V298" s="79">
        <f t="shared" si="81"/>
        <v>6245934.6641524779</v>
      </c>
      <c r="W298" s="79">
        <f t="shared" si="81"/>
        <v>2220690.0392363523</v>
      </c>
      <c r="X298" s="44">
        <f t="shared" si="82"/>
        <v>8466624.7033888306</v>
      </c>
      <c r="Y298" s="44" t="s">
        <v>2765</v>
      </c>
      <c r="Z298" s="44" t="str">
        <f t="shared" si="83"/>
        <v>No</v>
      </c>
      <c r="AA298" s="44" t="str">
        <f t="shared" si="83"/>
        <v>Yes</v>
      </c>
      <c r="AB298" s="44" t="str">
        <f t="shared" si="84"/>
        <v>Yes</v>
      </c>
      <c r="AC298" s="80">
        <f t="shared" si="91"/>
        <v>0</v>
      </c>
      <c r="AD298" s="80">
        <f t="shared" si="92"/>
        <v>0.12</v>
      </c>
      <c r="AE298" s="44">
        <f t="shared" si="85"/>
        <v>0</v>
      </c>
      <c r="AF298" s="44">
        <f t="shared" si="85"/>
        <v>888276.01569454104</v>
      </c>
      <c r="AG298" s="44">
        <f t="shared" si="86"/>
        <v>888276.01569454104</v>
      </c>
      <c r="AH298" s="46">
        <f>IF(Y298="No",0,IFERROR(ROUNDDOWN(INDEX('90% of ACR'!K:K,MATCH(H:H,'90% of ACR'!A:A,0))*IF(I298&gt;0,IF(O298&gt;0,$R$4*MAX(O298-V298,0),0),0)/I298,2),0))</f>
        <v>0</v>
      </c>
      <c r="AI298" s="80">
        <f>IF(Y298="No",0,IFERROR(ROUNDDOWN(INDEX('90% of ACR'!R:R,MATCH(H:H,'90% of ACR'!A:A,0))*IF(J298&gt;0,IF(P298&gt;0,$R$4*MAX(P298-W298,0),0),0)/J298,2),0))</f>
        <v>0.12</v>
      </c>
      <c r="AJ298" s="44">
        <f t="shared" si="87"/>
        <v>0</v>
      </c>
      <c r="AK298" s="44">
        <f t="shared" si="87"/>
        <v>888276.01569454104</v>
      </c>
      <c r="AL298" s="46">
        <f t="shared" si="88"/>
        <v>0.6</v>
      </c>
      <c r="AM298" s="46">
        <f t="shared" si="88"/>
        <v>0.42</v>
      </c>
      <c r="AN298" s="81">
        <f>IFERROR(INDEX(FeeCalc!P:P,MATCH(C298,FeeCalc!F:F,0)),0)</f>
        <v>9354900.7190833725</v>
      </c>
      <c r="AO298" s="81">
        <f>IFERROR(INDEX(FeeCalc!S:S,MATCH(C298,FeeCalc!F:F,0)),0)</f>
        <v>583467.986075297</v>
      </c>
      <c r="AP298" s="81">
        <f t="shared" si="89"/>
        <v>9938368.7051586695</v>
      </c>
      <c r="AQ298" s="68">
        <f t="shared" si="90"/>
        <v>3911264.8806526046</v>
      </c>
      <c r="AR298" s="68">
        <f>INDEX('IGT Commitment Suggestions'!H:H,MATCH(G298,'IGT Commitment Suggestions'!A:A,0))*AQ298</f>
        <v>1788753.3669108974</v>
      </c>
    </row>
    <row r="299" spans="1:44">
      <c r="A299" s="103" t="s">
        <v>729</v>
      </c>
      <c r="B299" s="123" t="s">
        <v>729</v>
      </c>
      <c r="C299" s="30" t="s">
        <v>730</v>
      </c>
      <c r="D299" s="124" t="s">
        <v>730</v>
      </c>
      <c r="E299" s="119" t="s">
        <v>2334</v>
      </c>
      <c r="F299" s="99" t="s">
        <v>2295</v>
      </c>
      <c r="G299" s="99" t="s">
        <v>227</v>
      </c>
      <c r="H299" s="42" t="str">
        <f t="shared" si="76"/>
        <v>Rural MRSA West</v>
      </c>
      <c r="I299" s="44">
        <f>INDEX(FeeCalc!M:M,MATCH(C:C,FeeCalc!F:F,0))</f>
        <v>69625.920465275049</v>
      </c>
      <c r="J299" s="44">
        <f>INDEX(FeeCalc!L:L,MATCH(C:C,FeeCalc!F:F,0))</f>
        <v>265301.36432395189</v>
      </c>
      <c r="K299" s="44">
        <f t="shared" si="77"/>
        <v>334927.28478922695</v>
      </c>
      <c r="L299" s="44">
        <v>11292.88</v>
      </c>
      <c r="M299" s="44">
        <v>-11432.43</v>
      </c>
      <c r="N299" s="44">
        <f t="shared" si="78"/>
        <v>-139.55000000000109</v>
      </c>
      <c r="O299" s="44">
        <v>-6739.5084893696039</v>
      </c>
      <c r="P299" s="44">
        <v>26068.485276961379</v>
      </c>
      <c r="Q299" s="44">
        <f t="shared" si="79"/>
        <v>19328.976787591775</v>
      </c>
      <c r="R299" s="44" t="str">
        <f t="shared" si="80"/>
        <v>No</v>
      </c>
      <c r="S299" s="45" t="str">
        <f t="shared" si="80"/>
        <v>Yes</v>
      </c>
      <c r="T299" s="46">
        <f>ROUND(INDEX(Summary!H:H,MATCH(H:H,Summary!A:A,0)),2)</f>
        <v>0</v>
      </c>
      <c r="U299" s="46">
        <f>ROUND(INDEX(Summary!I:I,MATCH(H:H,Summary!A:A,0)),2)</f>
        <v>0.18</v>
      </c>
      <c r="V299" s="79">
        <f t="shared" si="81"/>
        <v>0</v>
      </c>
      <c r="W299" s="79">
        <f t="shared" si="81"/>
        <v>47754.24557831134</v>
      </c>
      <c r="X299" s="44">
        <f t="shared" si="82"/>
        <v>47754.24557831134</v>
      </c>
      <c r="Y299" s="44" t="s">
        <v>2765</v>
      </c>
      <c r="Z299" s="44" t="str">
        <f t="shared" si="83"/>
        <v>No</v>
      </c>
      <c r="AA299" s="44" t="str">
        <f t="shared" si="83"/>
        <v>No</v>
      </c>
      <c r="AB299" s="44" t="str">
        <f t="shared" si="84"/>
        <v>No</v>
      </c>
      <c r="AC299" s="80">
        <f t="shared" si="91"/>
        <v>0</v>
      </c>
      <c r="AD299" s="80">
        <f t="shared" si="92"/>
        <v>0</v>
      </c>
      <c r="AE299" s="44">
        <f t="shared" si="85"/>
        <v>0</v>
      </c>
      <c r="AF299" s="44">
        <f t="shared" si="85"/>
        <v>0</v>
      </c>
      <c r="AG299" s="44">
        <f t="shared" si="86"/>
        <v>0</v>
      </c>
      <c r="AH299" s="46">
        <f>IF(Y299="No",0,IFERROR(ROUNDDOWN(INDEX('90% of ACR'!K:K,MATCH(H:H,'90% of ACR'!A:A,0))*IF(I299&gt;0,IF(O299&gt;0,$R$4*MAX(O299-V299,0),0),0)/I299,2),0))</f>
        <v>0</v>
      </c>
      <c r="AI299" s="80">
        <f>IF(Y299="No",0,IFERROR(ROUNDDOWN(INDEX('90% of ACR'!R:R,MATCH(H:H,'90% of ACR'!A:A,0))*IF(J299&gt;0,IF(P299&gt;0,$R$4*MAX(P299-W299,0),0),0)/J299,2),0))</f>
        <v>0</v>
      </c>
      <c r="AJ299" s="44">
        <f t="shared" si="87"/>
        <v>0</v>
      </c>
      <c r="AK299" s="44">
        <f t="shared" si="87"/>
        <v>0</v>
      </c>
      <c r="AL299" s="46">
        <f t="shared" si="88"/>
        <v>0</v>
      </c>
      <c r="AM299" s="46">
        <f t="shared" si="88"/>
        <v>0.18</v>
      </c>
      <c r="AN299" s="81">
        <f>IFERROR(INDEX(FeeCalc!P:P,MATCH(C299,FeeCalc!F:F,0)),0)</f>
        <v>47754.24557831134</v>
      </c>
      <c r="AO299" s="81">
        <f>IFERROR(INDEX(FeeCalc!S:S,MATCH(C299,FeeCalc!F:F,0)),0)</f>
        <v>2962.5793701709822</v>
      </c>
      <c r="AP299" s="81">
        <f t="shared" si="89"/>
        <v>50716.824948482325</v>
      </c>
      <c r="AQ299" s="68">
        <f t="shared" si="90"/>
        <v>19959.707892125116</v>
      </c>
      <c r="AR299" s="68">
        <f>INDEX('IGT Commitment Suggestions'!H:H,MATCH(G299,'IGT Commitment Suggestions'!A:A,0))*AQ299</f>
        <v>9781.5273165460112</v>
      </c>
    </row>
    <row r="300" spans="1:44">
      <c r="A300" s="103" t="s">
        <v>850</v>
      </c>
      <c r="B300" s="123" t="s">
        <v>850</v>
      </c>
      <c r="C300" s="30" t="s">
        <v>851</v>
      </c>
      <c r="D300" s="124" t="s">
        <v>851</v>
      </c>
      <c r="E300" s="119" t="s">
        <v>2338</v>
      </c>
      <c r="F300" s="99" t="s">
        <v>2295</v>
      </c>
      <c r="G300" s="99" t="s">
        <v>1548</v>
      </c>
      <c r="H300" s="42" t="str">
        <f t="shared" si="76"/>
        <v>Rural Nueces</v>
      </c>
      <c r="I300" s="44">
        <f>INDEX(FeeCalc!M:M,MATCH(C:C,FeeCalc!F:F,0))</f>
        <v>865671.79067697201</v>
      </c>
      <c r="J300" s="44">
        <f>INDEX(FeeCalc!L:L,MATCH(C:C,FeeCalc!F:F,0))</f>
        <v>910730.6174682437</v>
      </c>
      <c r="K300" s="44">
        <f t="shared" si="77"/>
        <v>1776402.4081452158</v>
      </c>
      <c r="L300" s="44">
        <v>121196.4</v>
      </c>
      <c r="M300" s="44">
        <v>-79109.960000000006</v>
      </c>
      <c r="N300" s="44">
        <f t="shared" si="78"/>
        <v>42086.439999999988</v>
      </c>
      <c r="O300" s="44">
        <v>93303.555217113229</v>
      </c>
      <c r="P300" s="44">
        <v>221987.19850708562</v>
      </c>
      <c r="Q300" s="44">
        <f t="shared" si="79"/>
        <v>315290.75372419885</v>
      </c>
      <c r="R300" s="44" t="str">
        <f t="shared" si="80"/>
        <v>Yes</v>
      </c>
      <c r="S300" s="45" t="str">
        <f t="shared" si="80"/>
        <v>Yes</v>
      </c>
      <c r="T300" s="46">
        <f>ROUND(INDEX(Summary!H:H,MATCH(H:H,Summary!A:A,0)),2)</f>
        <v>0.2</v>
      </c>
      <c r="U300" s="46">
        <f>ROUND(INDEX(Summary!I:I,MATCH(H:H,Summary!A:A,0)),2)</f>
        <v>0.14000000000000001</v>
      </c>
      <c r="V300" s="79">
        <f t="shared" si="81"/>
        <v>173134.3581353944</v>
      </c>
      <c r="W300" s="79">
        <f t="shared" si="81"/>
        <v>127502.28644555413</v>
      </c>
      <c r="X300" s="44">
        <f t="shared" si="82"/>
        <v>300636.64458094852</v>
      </c>
      <c r="Y300" s="44" t="s">
        <v>2765</v>
      </c>
      <c r="Z300" s="44" t="str">
        <f t="shared" si="83"/>
        <v>No</v>
      </c>
      <c r="AA300" s="44" t="str">
        <f t="shared" si="83"/>
        <v>Yes</v>
      </c>
      <c r="AB300" s="44" t="str">
        <f t="shared" si="84"/>
        <v>Yes</v>
      </c>
      <c r="AC300" s="80">
        <f t="shared" si="91"/>
        <v>0</v>
      </c>
      <c r="AD300" s="80">
        <f t="shared" si="92"/>
        <v>7.0000000000000007E-2</v>
      </c>
      <c r="AE300" s="44">
        <f t="shared" si="85"/>
        <v>0</v>
      </c>
      <c r="AF300" s="44">
        <f t="shared" si="85"/>
        <v>63751.143222777064</v>
      </c>
      <c r="AG300" s="44">
        <f t="shared" si="86"/>
        <v>63751.143222777064</v>
      </c>
      <c r="AH300" s="46">
        <f>IF(Y300="No",0,IFERROR(ROUNDDOWN(INDEX('90% of ACR'!K:K,MATCH(H:H,'90% of ACR'!A:A,0))*IF(I300&gt;0,IF(O300&gt;0,$R$4*MAX(O300-V300,0),0),0)/I300,2),0))</f>
        <v>0</v>
      </c>
      <c r="AI300" s="80">
        <f>IF(Y300="No",0,IFERROR(ROUNDDOWN(INDEX('90% of ACR'!R:R,MATCH(H:H,'90% of ACR'!A:A,0))*IF(J300&gt;0,IF(P300&gt;0,$R$4*MAX(P300-W300,0),0),0)/J300,2),0))</f>
        <v>7.0000000000000007E-2</v>
      </c>
      <c r="AJ300" s="44">
        <f t="shared" si="87"/>
        <v>0</v>
      </c>
      <c r="AK300" s="44">
        <f t="shared" si="87"/>
        <v>63751.143222777064</v>
      </c>
      <c r="AL300" s="46">
        <f t="shared" si="88"/>
        <v>0.2</v>
      </c>
      <c r="AM300" s="46">
        <f t="shared" si="88"/>
        <v>0.21000000000000002</v>
      </c>
      <c r="AN300" s="81">
        <f>IFERROR(INDEX(FeeCalc!P:P,MATCH(C300,FeeCalc!F:F,0)),0)</f>
        <v>364387.78780372557</v>
      </c>
      <c r="AO300" s="81">
        <f>IFERROR(INDEX(FeeCalc!S:S,MATCH(C300,FeeCalc!F:F,0)),0)</f>
        <v>22495.121571276275</v>
      </c>
      <c r="AP300" s="81">
        <f t="shared" si="89"/>
        <v>386882.90937500185</v>
      </c>
      <c r="AQ300" s="68">
        <f t="shared" si="90"/>
        <v>152258.54275035075</v>
      </c>
      <c r="AR300" s="68">
        <f>INDEX('IGT Commitment Suggestions'!H:H,MATCH(G300,'IGT Commitment Suggestions'!A:A,0))*AQ300</f>
        <v>69643.545231498458</v>
      </c>
    </row>
    <row r="301" spans="1:44" ht="25.5">
      <c r="A301" s="103" t="s">
        <v>1306</v>
      </c>
      <c r="B301" s="123" t="s">
        <v>1306</v>
      </c>
      <c r="C301" s="30" t="s">
        <v>1307</v>
      </c>
      <c r="D301" s="124" t="s">
        <v>1307</v>
      </c>
      <c r="E301" s="119" t="s">
        <v>2731</v>
      </c>
      <c r="F301" s="99" t="s">
        <v>2544</v>
      </c>
      <c r="G301" s="99" t="s">
        <v>487</v>
      </c>
      <c r="H301" s="42" t="str">
        <f t="shared" si="76"/>
        <v>Non-state-owned IMD Bexar</v>
      </c>
      <c r="I301" s="44">
        <f>INDEX(FeeCalc!M:M,MATCH(C:C,FeeCalc!F:F,0))</f>
        <v>5178829.9501364185</v>
      </c>
      <c r="J301" s="44">
        <f>INDEX(FeeCalc!L:L,MATCH(C:C,FeeCalc!F:F,0))</f>
        <v>0</v>
      </c>
      <c r="K301" s="44">
        <f t="shared" si="77"/>
        <v>5178829.9501364185</v>
      </c>
      <c r="L301" s="44">
        <v>984959.34</v>
      </c>
      <c r="M301" s="44">
        <v>0</v>
      </c>
      <c r="N301" s="44">
        <f t="shared" si="78"/>
        <v>984959.34</v>
      </c>
      <c r="O301" s="44">
        <v>1188979.4760861071</v>
      </c>
      <c r="P301" s="44">
        <v>0</v>
      </c>
      <c r="Q301" s="44">
        <f t="shared" si="79"/>
        <v>1188979.4760861071</v>
      </c>
      <c r="R301" s="44" t="str">
        <f t="shared" si="80"/>
        <v>Yes</v>
      </c>
      <c r="S301" s="45" t="str">
        <f t="shared" si="80"/>
        <v>No</v>
      </c>
      <c r="T301" s="46">
        <f>ROUND(INDEX(Summary!H:H,MATCH(H:H,Summary!A:A,0)),2)</f>
        <v>7.0000000000000007E-2</v>
      </c>
      <c r="U301" s="46">
        <f>ROUND(INDEX(Summary!I:I,MATCH(H:H,Summary!A:A,0)),2)</f>
        <v>0</v>
      </c>
      <c r="V301" s="79">
        <f t="shared" si="81"/>
        <v>362518.0965095493</v>
      </c>
      <c r="W301" s="79">
        <f t="shared" si="81"/>
        <v>0</v>
      </c>
      <c r="X301" s="44">
        <f t="shared" si="82"/>
        <v>362518.0965095493</v>
      </c>
      <c r="Y301" s="44" t="s">
        <v>2765</v>
      </c>
      <c r="Z301" s="44" t="str">
        <f t="shared" si="83"/>
        <v>No</v>
      </c>
      <c r="AA301" s="44" t="str">
        <f t="shared" si="83"/>
        <v>No</v>
      </c>
      <c r="AB301" s="44" t="str">
        <f t="shared" si="84"/>
        <v>Yes</v>
      </c>
      <c r="AC301" s="80">
        <f t="shared" si="91"/>
        <v>0.11</v>
      </c>
      <c r="AD301" s="80">
        <f t="shared" si="92"/>
        <v>0</v>
      </c>
      <c r="AE301" s="44">
        <f t="shared" si="85"/>
        <v>569671.29451500601</v>
      </c>
      <c r="AF301" s="44">
        <f t="shared" si="85"/>
        <v>0</v>
      </c>
      <c r="AG301" s="44">
        <f t="shared" si="86"/>
        <v>569671.29451500601</v>
      </c>
      <c r="AH301" s="46">
        <f>IF(Y301="No",0,IFERROR(ROUNDDOWN(INDEX('90% of ACR'!K:K,MATCH(H:H,'90% of ACR'!A:A,0))*IF(I301&gt;0,IF(O301&gt;0,$R$4*MAX(O301-V301,0),0),0)/I301,2),0))</f>
        <v>0</v>
      </c>
      <c r="AI301" s="80">
        <f>IF(Y301="No",0,IFERROR(ROUNDDOWN(INDEX('90% of ACR'!R:R,MATCH(H:H,'90% of ACR'!A:A,0))*IF(J301&gt;0,IF(P301&gt;0,$R$4*MAX(P301-W301,0),0),0)/J301,2),0))</f>
        <v>0</v>
      </c>
      <c r="AJ301" s="44">
        <f t="shared" si="87"/>
        <v>0</v>
      </c>
      <c r="AK301" s="44">
        <f t="shared" si="87"/>
        <v>0</v>
      </c>
      <c r="AL301" s="46">
        <f t="shared" si="88"/>
        <v>7.0000000000000007E-2</v>
      </c>
      <c r="AM301" s="46">
        <f t="shared" si="88"/>
        <v>0</v>
      </c>
      <c r="AN301" s="81">
        <f>IFERROR(INDEX(FeeCalc!P:P,MATCH(C301,FeeCalc!F:F,0)),0)</f>
        <v>362518.0965095493</v>
      </c>
      <c r="AO301" s="81">
        <f>IFERROR(INDEX(FeeCalc!S:S,MATCH(C301,FeeCalc!F:F,0)),0)</f>
        <v>22116.488646471182</v>
      </c>
      <c r="AP301" s="81">
        <f t="shared" si="89"/>
        <v>384634.58515602048</v>
      </c>
      <c r="AQ301" s="68">
        <f t="shared" si="90"/>
        <v>151373.71025732218</v>
      </c>
      <c r="AR301" s="68">
        <f>INDEX('IGT Commitment Suggestions'!H:H,MATCH(G301,'IGT Commitment Suggestions'!A:A,0))*AQ301</f>
        <v>69775.441335070354</v>
      </c>
    </row>
    <row r="302" spans="1:44" ht="25.5">
      <c r="A302" s="103" t="s">
        <v>1244</v>
      </c>
      <c r="B302" s="123" t="s">
        <v>1244</v>
      </c>
      <c r="C302" s="30" t="s">
        <v>1245</v>
      </c>
      <c r="D302" s="124" t="s">
        <v>1245</v>
      </c>
      <c r="E302" s="119" t="s">
        <v>2735</v>
      </c>
      <c r="F302" s="99" t="s">
        <v>2544</v>
      </c>
      <c r="G302" s="99" t="s">
        <v>1202</v>
      </c>
      <c r="H302" s="42" t="str">
        <f t="shared" si="76"/>
        <v>Non-state-owned IMD Travis</v>
      </c>
      <c r="I302" s="44">
        <f>INDEX(FeeCalc!M:M,MATCH(C:C,FeeCalc!F:F,0))</f>
        <v>1377580.423091081</v>
      </c>
      <c r="J302" s="44">
        <f>INDEX(FeeCalc!L:L,MATCH(C:C,FeeCalc!F:F,0))</f>
        <v>0</v>
      </c>
      <c r="K302" s="44">
        <f t="shared" si="77"/>
        <v>1377580.423091081</v>
      </c>
      <c r="L302" s="44">
        <v>414909.3</v>
      </c>
      <c r="M302" s="44">
        <v>0</v>
      </c>
      <c r="N302" s="44">
        <f t="shared" si="78"/>
        <v>414909.3</v>
      </c>
      <c r="O302" s="44">
        <v>523779.50101244706</v>
      </c>
      <c r="P302" s="44">
        <v>0</v>
      </c>
      <c r="Q302" s="44">
        <f t="shared" si="79"/>
        <v>523779.50101244706</v>
      </c>
      <c r="R302" s="44" t="str">
        <f t="shared" si="80"/>
        <v>Yes</v>
      </c>
      <c r="S302" s="45" t="str">
        <f t="shared" si="80"/>
        <v>No</v>
      </c>
      <c r="T302" s="46">
        <f>ROUND(INDEX(Summary!H:H,MATCH(H:H,Summary!A:A,0)),2)</f>
        <v>0.28999999999999998</v>
      </c>
      <c r="U302" s="46">
        <f>ROUND(INDEX(Summary!I:I,MATCH(H:H,Summary!A:A,0)),2)</f>
        <v>0</v>
      </c>
      <c r="V302" s="79">
        <f t="shared" si="81"/>
        <v>399498.32269641344</v>
      </c>
      <c r="W302" s="79">
        <f t="shared" si="81"/>
        <v>0</v>
      </c>
      <c r="X302" s="44">
        <f t="shared" si="82"/>
        <v>399498.32269641344</v>
      </c>
      <c r="Y302" s="44" t="s">
        <v>2765</v>
      </c>
      <c r="Z302" s="44" t="str">
        <f t="shared" si="83"/>
        <v>No</v>
      </c>
      <c r="AA302" s="44" t="str">
        <f t="shared" si="83"/>
        <v>No</v>
      </c>
      <c r="AB302" s="44" t="str">
        <f t="shared" si="84"/>
        <v>Yes</v>
      </c>
      <c r="AC302" s="80">
        <f t="shared" si="91"/>
        <v>0.06</v>
      </c>
      <c r="AD302" s="80">
        <f t="shared" si="92"/>
        <v>0</v>
      </c>
      <c r="AE302" s="44">
        <f t="shared" si="85"/>
        <v>82654.82538546485</v>
      </c>
      <c r="AF302" s="44">
        <f t="shared" si="85"/>
        <v>0</v>
      </c>
      <c r="AG302" s="44">
        <f t="shared" si="86"/>
        <v>82654.82538546485</v>
      </c>
      <c r="AH302" s="46">
        <f>IF(Y302="No",0,IFERROR(ROUNDDOWN(INDEX('90% of ACR'!K:K,MATCH(H:H,'90% of ACR'!A:A,0))*IF(I302&gt;0,IF(O302&gt;0,$R$4*MAX(O302-V302,0),0),0)/I302,2),0))</f>
        <v>0</v>
      </c>
      <c r="AI302" s="80">
        <f>IF(Y302="No",0,IFERROR(ROUNDDOWN(INDEX('90% of ACR'!R:R,MATCH(H:H,'90% of ACR'!A:A,0))*IF(J302&gt;0,IF(P302&gt;0,$R$4*MAX(P302-W302,0),0),0)/J302,2),0))</f>
        <v>0</v>
      </c>
      <c r="AJ302" s="44">
        <f t="shared" si="87"/>
        <v>0</v>
      </c>
      <c r="AK302" s="44">
        <f t="shared" si="87"/>
        <v>0</v>
      </c>
      <c r="AL302" s="46">
        <f t="shared" si="88"/>
        <v>0.28999999999999998</v>
      </c>
      <c r="AM302" s="46">
        <f t="shared" si="88"/>
        <v>0</v>
      </c>
      <c r="AN302" s="81">
        <f>IFERROR(INDEX(FeeCalc!P:P,MATCH(C302,FeeCalc!F:F,0)),0)</f>
        <v>399498.32269641344</v>
      </c>
      <c r="AO302" s="81">
        <f>IFERROR(INDEX(FeeCalc!S:S,MATCH(C302,FeeCalc!F:F,0)),0)</f>
        <v>24372.576716226817</v>
      </c>
      <c r="AP302" s="81">
        <f t="shared" si="89"/>
        <v>423870.89941264025</v>
      </c>
      <c r="AQ302" s="68">
        <f t="shared" si="90"/>
        <v>166815.24020564341</v>
      </c>
      <c r="AR302" s="68">
        <f>INDEX('IGT Commitment Suggestions'!H:H,MATCH(G302,'IGT Commitment Suggestions'!A:A,0))*AQ302</f>
        <v>76647.284346719433</v>
      </c>
    </row>
    <row r="303" spans="1:44">
      <c r="A303" s="103" t="s">
        <v>1559</v>
      </c>
      <c r="B303" s="123" t="s">
        <v>1559</v>
      </c>
      <c r="C303" s="30" t="s">
        <v>1600</v>
      </c>
      <c r="D303" s="124" t="s">
        <v>1600</v>
      </c>
      <c r="E303" s="119" t="s">
        <v>2656</v>
      </c>
      <c r="F303" s="99" t="s">
        <v>2283</v>
      </c>
      <c r="G303" s="99" t="s">
        <v>1189</v>
      </c>
      <c r="H303" s="42" t="str">
        <f t="shared" si="76"/>
        <v>Urban El Paso</v>
      </c>
      <c r="I303" s="44">
        <f>INDEX(FeeCalc!M:M,MATCH(C:C,FeeCalc!F:F,0))</f>
        <v>17780319.844902571</v>
      </c>
      <c r="J303" s="44">
        <f>INDEX(FeeCalc!L:L,MATCH(C:C,FeeCalc!F:F,0))</f>
        <v>8038240.9450181946</v>
      </c>
      <c r="K303" s="44">
        <f t="shared" si="77"/>
        <v>25818560.789920766</v>
      </c>
      <c r="L303" s="44">
        <v>5940330.0999999996</v>
      </c>
      <c r="M303" s="44">
        <v>5050776.8899999997</v>
      </c>
      <c r="N303" s="44">
        <f t="shared" si="78"/>
        <v>10991106.989999998</v>
      </c>
      <c r="O303" s="44">
        <v>39827555.602333076</v>
      </c>
      <c r="P303" s="44">
        <v>11109148.834520955</v>
      </c>
      <c r="Q303" s="44">
        <f t="shared" si="79"/>
        <v>50936704.436854035</v>
      </c>
      <c r="R303" s="44" t="str">
        <f t="shared" si="80"/>
        <v>Yes</v>
      </c>
      <c r="S303" s="45" t="str">
        <f t="shared" si="80"/>
        <v>Yes</v>
      </c>
      <c r="T303" s="46">
        <f>ROUND(INDEX(Summary!H:H,MATCH(H:H,Summary!A:A,0)),2)</f>
        <v>0.11</v>
      </c>
      <c r="U303" s="46">
        <f>ROUND(INDEX(Summary!I:I,MATCH(H:H,Summary!A:A,0)),2)</f>
        <v>0.49</v>
      </c>
      <c r="V303" s="79">
        <f t="shared" si="81"/>
        <v>1955835.1829392829</v>
      </c>
      <c r="W303" s="79">
        <f t="shared" si="81"/>
        <v>3938738.0630589151</v>
      </c>
      <c r="X303" s="44">
        <f t="shared" si="82"/>
        <v>5894573.2459981982</v>
      </c>
      <c r="Y303" s="44" t="s">
        <v>2765</v>
      </c>
      <c r="Z303" s="44" t="str">
        <f t="shared" si="83"/>
        <v>Yes</v>
      </c>
      <c r="AA303" s="44" t="str">
        <f t="shared" si="83"/>
        <v>Yes</v>
      </c>
      <c r="AB303" s="44" t="str">
        <f t="shared" si="84"/>
        <v>Yes</v>
      </c>
      <c r="AC303" s="80">
        <f t="shared" si="91"/>
        <v>1.48</v>
      </c>
      <c r="AD303" s="80">
        <f t="shared" si="92"/>
        <v>0.62</v>
      </c>
      <c r="AE303" s="44">
        <f t="shared" si="85"/>
        <v>26314873.370455805</v>
      </c>
      <c r="AF303" s="44">
        <f t="shared" si="85"/>
        <v>4983709.3859112803</v>
      </c>
      <c r="AG303" s="44">
        <f t="shared" si="86"/>
        <v>31298582.756367087</v>
      </c>
      <c r="AH303" s="46">
        <f>IF(Y303="No",0,IFERROR(ROUNDDOWN(INDEX('90% of ACR'!K:K,MATCH(H:H,'90% of ACR'!A:A,0))*IF(I303&gt;0,IF(O303&gt;0,$R$4*MAX(O303-V303,0),0),0)/I303,2),0))</f>
        <v>1.42</v>
      </c>
      <c r="AI303" s="80">
        <f>IF(Y303="No",0,IFERROR(ROUNDDOWN(INDEX('90% of ACR'!R:R,MATCH(H:H,'90% of ACR'!A:A,0))*IF(J303&gt;0,IF(P303&gt;0,$R$4*MAX(P303-W303,0),0),0)/J303,2),0))</f>
        <v>0.62</v>
      </c>
      <c r="AJ303" s="44">
        <f t="shared" si="87"/>
        <v>25248054.179761648</v>
      </c>
      <c r="AK303" s="44">
        <f t="shared" si="87"/>
        <v>4983709.3859112803</v>
      </c>
      <c r="AL303" s="46">
        <f t="shared" si="88"/>
        <v>1.53</v>
      </c>
      <c r="AM303" s="46">
        <f t="shared" si="88"/>
        <v>1.1099999999999999</v>
      </c>
      <c r="AN303" s="81">
        <f>IFERROR(INDEX(FeeCalc!P:P,MATCH(C303,FeeCalc!F:F,0)),0)</f>
        <v>36126336.81167113</v>
      </c>
      <c r="AO303" s="81">
        <f>IFERROR(INDEX(FeeCalc!S:S,MATCH(C303,FeeCalc!F:F,0)),0)</f>
        <v>2215268.4436252904</v>
      </c>
      <c r="AP303" s="81">
        <f t="shared" si="89"/>
        <v>38341605.255296424</v>
      </c>
      <c r="AQ303" s="68">
        <f t="shared" si="90"/>
        <v>15089415.431432419</v>
      </c>
      <c r="AR303" s="68">
        <f>INDEX('IGT Commitment Suggestions'!H:H,MATCH(G303,'IGT Commitment Suggestions'!A:A,0))*AQ303</f>
        <v>6946064.8760203449</v>
      </c>
    </row>
    <row r="304" spans="1:44">
      <c r="A304" s="103" t="s">
        <v>1560</v>
      </c>
      <c r="B304" s="123" t="s">
        <v>1560</v>
      </c>
      <c r="C304" s="30" t="s">
        <v>1616</v>
      </c>
      <c r="D304" s="124" t="s">
        <v>1616</v>
      </c>
      <c r="E304" s="119" t="s">
        <v>2675</v>
      </c>
      <c r="F304" s="99" t="s">
        <v>2283</v>
      </c>
      <c r="G304" s="99" t="s">
        <v>1189</v>
      </c>
      <c r="H304" s="42" t="str">
        <f t="shared" si="76"/>
        <v>Urban El Paso</v>
      </c>
      <c r="I304" s="44">
        <f>INDEX(FeeCalc!M:M,MATCH(C:C,FeeCalc!F:F,0))</f>
        <v>1752490.4766669066</v>
      </c>
      <c r="J304" s="44">
        <f>INDEX(FeeCalc!L:L,MATCH(C:C,FeeCalc!F:F,0))</f>
        <v>1407501.655076748</v>
      </c>
      <c r="K304" s="44">
        <f t="shared" si="77"/>
        <v>3159992.1317436546</v>
      </c>
      <c r="L304" s="44">
        <v>1292086.44</v>
      </c>
      <c r="M304" s="44">
        <v>1745125.02</v>
      </c>
      <c r="N304" s="44">
        <f t="shared" si="78"/>
        <v>3037211.46</v>
      </c>
      <c r="O304" s="44">
        <v>7772148.5177563988</v>
      </c>
      <c r="P304" s="44">
        <v>2756704.4002289171</v>
      </c>
      <c r="Q304" s="44">
        <f t="shared" si="79"/>
        <v>10528852.917985316</v>
      </c>
      <c r="R304" s="44" t="str">
        <f t="shared" si="80"/>
        <v>Yes</v>
      </c>
      <c r="S304" s="45" t="str">
        <f t="shared" si="80"/>
        <v>Yes</v>
      </c>
      <c r="T304" s="46">
        <f>ROUND(INDEX(Summary!H:H,MATCH(H:H,Summary!A:A,0)),2)</f>
        <v>0.11</v>
      </c>
      <c r="U304" s="46">
        <f>ROUND(INDEX(Summary!I:I,MATCH(H:H,Summary!A:A,0)),2)</f>
        <v>0.49</v>
      </c>
      <c r="V304" s="79">
        <f t="shared" si="81"/>
        <v>192773.95243335972</v>
      </c>
      <c r="W304" s="79">
        <f t="shared" si="81"/>
        <v>689675.81098760653</v>
      </c>
      <c r="X304" s="44">
        <f t="shared" si="82"/>
        <v>882449.76342096622</v>
      </c>
      <c r="Y304" s="44" t="s">
        <v>2765</v>
      </c>
      <c r="Z304" s="44" t="str">
        <f t="shared" si="83"/>
        <v>Yes</v>
      </c>
      <c r="AA304" s="44" t="str">
        <f t="shared" si="83"/>
        <v>Yes</v>
      </c>
      <c r="AB304" s="44" t="str">
        <f t="shared" si="84"/>
        <v>Yes</v>
      </c>
      <c r="AC304" s="80">
        <f t="shared" si="91"/>
        <v>3.01</v>
      </c>
      <c r="AD304" s="80">
        <f t="shared" si="92"/>
        <v>1.02</v>
      </c>
      <c r="AE304" s="44">
        <f t="shared" si="85"/>
        <v>5274996.3347673882</v>
      </c>
      <c r="AF304" s="44">
        <f t="shared" si="85"/>
        <v>1435651.6881782829</v>
      </c>
      <c r="AG304" s="44">
        <f t="shared" si="86"/>
        <v>6710648.0229456713</v>
      </c>
      <c r="AH304" s="46">
        <f>IF(Y304="No",0,IFERROR(ROUNDDOWN(INDEX('90% of ACR'!K:K,MATCH(H:H,'90% of ACR'!A:A,0))*IF(I304&gt;0,IF(O304&gt;0,$R$4*MAX(O304-V304,0),0),0)/I304,2),0))</f>
        <v>2.9</v>
      </c>
      <c r="AI304" s="80">
        <f>IF(Y304="No",0,IFERROR(ROUNDDOWN(INDEX('90% of ACR'!R:R,MATCH(H:H,'90% of ACR'!A:A,0))*IF(J304&gt;0,IF(P304&gt;0,$R$4*MAX(P304-W304,0),0),0)/J304,2),0))</f>
        <v>1.02</v>
      </c>
      <c r="AJ304" s="44">
        <f t="shared" si="87"/>
        <v>5082222.3823340293</v>
      </c>
      <c r="AK304" s="44">
        <f t="shared" si="87"/>
        <v>1435651.6881782829</v>
      </c>
      <c r="AL304" s="46">
        <f t="shared" si="88"/>
        <v>3.01</v>
      </c>
      <c r="AM304" s="46">
        <f t="shared" si="88"/>
        <v>1.51</v>
      </c>
      <c r="AN304" s="81">
        <f>IFERROR(INDEX(FeeCalc!P:P,MATCH(C304,FeeCalc!F:F,0)),0)</f>
        <v>7400323.8339332771</v>
      </c>
      <c r="AO304" s="81">
        <f>IFERROR(INDEX(FeeCalc!S:S,MATCH(C304,FeeCalc!F:F,0)),0)</f>
        <v>465445.65849697904</v>
      </c>
      <c r="AP304" s="81">
        <f t="shared" si="89"/>
        <v>7865769.4924302557</v>
      </c>
      <c r="AQ304" s="68">
        <f t="shared" si="90"/>
        <v>3095589.3152849125</v>
      </c>
      <c r="AR304" s="68">
        <f>INDEX('IGT Commitment Suggestions'!H:H,MATCH(G304,'IGT Commitment Suggestions'!A:A,0))*AQ304</f>
        <v>1424983.248104743</v>
      </c>
    </row>
    <row r="305" spans="1:44">
      <c r="A305" s="103" t="s">
        <v>1080</v>
      </c>
      <c r="B305" s="123" t="s">
        <v>1080</v>
      </c>
      <c r="C305" s="30" t="s">
        <v>1081</v>
      </c>
      <c r="D305" s="124" t="s">
        <v>1081</v>
      </c>
      <c r="E305" s="119" t="s">
        <v>2665</v>
      </c>
      <c r="F305" s="99" t="s">
        <v>2283</v>
      </c>
      <c r="G305" s="99" t="s">
        <v>1189</v>
      </c>
      <c r="H305" s="42" t="str">
        <f t="shared" si="76"/>
        <v>Urban El Paso</v>
      </c>
      <c r="I305" s="44">
        <f>INDEX(FeeCalc!M:M,MATCH(C:C,FeeCalc!F:F,0))</f>
        <v>10981058.82018847</v>
      </c>
      <c r="J305" s="44">
        <f>INDEX(FeeCalc!L:L,MATCH(C:C,FeeCalc!F:F,0))</f>
        <v>5972007.9526967639</v>
      </c>
      <c r="K305" s="44">
        <f t="shared" si="77"/>
        <v>16953066.772885233</v>
      </c>
      <c r="L305" s="44">
        <v>4696124.5</v>
      </c>
      <c r="M305" s="44">
        <v>2869686.16</v>
      </c>
      <c r="N305" s="44">
        <f t="shared" si="78"/>
        <v>7565810.6600000001</v>
      </c>
      <c r="O305" s="44">
        <v>30526393.81204943</v>
      </c>
      <c r="P305" s="44">
        <v>7829982.821559269</v>
      </c>
      <c r="Q305" s="44">
        <f t="shared" si="79"/>
        <v>38356376.633608699</v>
      </c>
      <c r="R305" s="44" t="str">
        <f t="shared" si="80"/>
        <v>Yes</v>
      </c>
      <c r="S305" s="45" t="str">
        <f t="shared" si="80"/>
        <v>Yes</v>
      </c>
      <c r="T305" s="46">
        <f>ROUND(INDEX(Summary!H:H,MATCH(H:H,Summary!A:A,0)),2)</f>
        <v>0.11</v>
      </c>
      <c r="U305" s="46">
        <f>ROUND(INDEX(Summary!I:I,MATCH(H:H,Summary!A:A,0)),2)</f>
        <v>0.49</v>
      </c>
      <c r="V305" s="79">
        <f t="shared" si="81"/>
        <v>1207916.4702207318</v>
      </c>
      <c r="W305" s="79">
        <f t="shared" si="81"/>
        <v>2926283.8968214141</v>
      </c>
      <c r="X305" s="44">
        <f t="shared" si="82"/>
        <v>4134200.3670421457</v>
      </c>
      <c r="Y305" s="44" t="s">
        <v>2765</v>
      </c>
      <c r="Z305" s="44" t="str">
        <f t="shared" si="83"/>
        <v>Yes</v>
      </c>
      <c r="AA305" s="44" t="str">
        <f t="shared" si="83"/>
        <v>Yes</v>
      </c>
      <c r="AB305" s="44" t="str">
        <f t="shared" si="84"/>
        <v>Yes</v>
      </c>
      <c r="AC305" s="80">
        <f t="shared" si="91"/>
        <v>1.86</v>
      </c>
      <c r="AD305" s="80">
        <f t="shared" si="92"/>
        <v>0.56999999999999995</v>
      </c>
      <c r="AE305" s="44">
        <f t="shared" si="85"/>
        <v>20424769.405550554</v>
      </c>
      <c r="AF305" s="44">
        <f t="shared" si="85"/>
        <v>3404044.5330371549</v>
      </c>
      <c r="AG305" s="44">
        <f t="shared" si="86"/>
        <v>23828813.93858771</v>
      </c>
      <c r="AH305" s="46">
        <f>IF(Y305="No",0,IFERROR(ROUNDDOWN(INDEX('90% of ACR'!K:K,MATCH(H:H,'90% of ACR'!A:A,0))*IF(I305&gt;0,IF(O305&gt;0,$R$4*MAX(O305-V305,0),0),0)/I305,2),0))</f>
        <v>1.79</v>
      </c>
      <c r="AI305" s="80">
        <f>IF(Y305="No",0,IFERROR(ROUNDDOWN(INDEX('90% of ACR'!R:R,MATCH(H:H,'90% of ACR'!A:A,0))*IF(J305&gt;0,IF(P305&gt;0,$R$4*MAX(P305-W305,0),0),0)/J305,2),0))</f>
        <v>0.56999999999999995</v>
      </c>
      <c r="AJ305" s="44">
        <f t="shared" si="87"/>
        <v>19656095.288137361</v>
      </c>
      <c r="AK305" s="44">
        <f t="shared" si="87"/>
        <v>3404044.5330371549</v>
      </c>
      <c r="AL305" s="46">
        <f t="shared" si="88"/>
        <v>1.9000000000000001</v>
      </c>
      <c r="AM305" s="46">
        <f t="shared" si="88"/>
        <v>1.06</v>
      </c>
      <c r="AN305" s="81">
        <f>IFERROR(INDEX(FeeCalc!P:P,MATCH(C305,FeeCalc!F:F,0)),0)</f>
        <v>27194340.188216664</v>
      </c>
      <c r="AO305" s="81">
        <f>IFERROR(INDEX(FeeCalc!S:S,MATCH(C305,FeeCalc!F:F,0)),0)</f>
        <v>1672559.8870619067</v>
      </c>
      <c r="AP305" s="81">
        <f t="shared" si="89"/>
        <v>28866900.075278569</v>
      </c>
      <c r="AQ305" s="68">
        <f t="shared" si="90"/>
        <v>11360626.258426031</v>
      </c>
      <c r="AR305" s="68">
        <f>INDEX('IGT Commitment Suggestions'!H:H,MATCH(G305,'IGT Commitment Suggestions'!A:A,0))*AQ305</f>
        <v>5229602.6563672191</v>
      </c>
    </row>
    <row r="306" spans="1:44">
      <c r="A306" s="103" t="s">
        <v>1083</v>
      </c>
      <c r="B306" s="123" t="s">
        <v>1083</v>
      </c>
      <c r="C306" s="30" t="s">
        <v>1084</v>
      </c>
      <c r="D306" s="124" t="s">
        <v>1084</v>
      </c>
      <c r="E306" s="119" t="s">
        <v>2667</v>
      </c>
      <c r="F306" s="99" t="s">
        <v>2283</v>
      </c>
      <c r="G306" s="99" t="s">
        <v>1189</v>
      </c>
      <c r="H306" s="42" t="str">
        <f t="shared" si="76"/>
        <v>Urban El Paso</v>
      </c>
      <c r="I306" s="44">
        <f>INDEX(FeeCalc!M:M,MATCH(C:C,FeeCalc!F:F,0))</f>
        <v>1489968.9286832416</v>
      </c>
      <c r="J306" s="44">
        <f>INDEX(FeeCalc!L:L,MATCH(C:C,FeeCalc!F:F,0))</f>
        <v>1296388.0445143676</v>
      </c>
      <c r="K306" s="44">
        <f t="shared" si="77"/>
        <v>2786356.9731976092</v>
      </c>
      <c r="L306" s="44">
        <v>824241.31</v>
      </c>
      <c r="M306" s="44">
        <v>750435.89</v>
      </c>
      <c r="N306" s="44">
        <f t="shared" si="78"/>
        <v>1574677.2000000002</v>
      </c>
      <c r="O306" s="44">
        <v>5253363.8054582104</v>
      </c>
      <c r="P306" s="44">
        <v>1765881.2409361706</v>
      </c>
      <c r="Q306" s="44">
        <f t="shared" si="79"/>
        <v>7019245.0463943807</v>
      </c>
      <c r="R306" s="44" t="str">
        <f t="shared" si="80"/>
        <v>Yes</v>
      </c>
      <c r="S306" s="45" t="str">
        <f t="shared" si="80"/>
        <v>Yes</v>
      </c>
      <c r="T306" s="46">
        <f>ROUND(INDEX(Summary!H:H,MATCH(H:H,Summary!A:A,0)),2)</f>
        <v>0.11</v>
      </c>
      <c r="U306" s="46">
        <f>ROUND(INDEX(Summary!I:I,MATCH(H:H,Summary!A:A,0)),2)</f>
        <v>0.49</v>
      </c>
      <c r="V306" s="79">
        <f t="shared" si="81"/>
        <v>163896.58215515659</v>
      </c>
      <c r="W306" s="79">
        <f t="shared" si="81"/>
        <v>635230.14181204012</v>
      </c>
      <c r="X306" s="44">
        <f t="shared" si="82"/>
        <v>799126.72396719665</v>
      </c>
      <c r="Y306" s="44" t="s">
        <v>2765</v>
      </c>
      <c r="Z306" s="44" t="str">
        <f t="shared" si="83"/>
        <v>Yes</v>
      </c>
      <c r="AA306" s="44" t="str">
        <f t="shared" si="83"/>
        <v>Yes</v>
      </c>
      <c r="AB306" s="44" t="str">
        <f t="shared" si="84"/>
        <v>Yes</v>
      </c>
      <c r="AC306" s="80">
        <f t="shared" si="91"/>
        <v>2.38</v>
      </c>
      <c r="AD306" s="80">
        <f t="shared" si="92"/>
        <v>0.61</v>
      </c>
      <c r="AE306" s="44">
        <f t="shared" si="85"/>
        <v>3546126.050266115</v>
      </c>
      <c r="AF306" s="44">
        <f t="shared" si="85"/>
        <v>790796.7071537642</v>
      </c>
      <c r="AG306" s="44">
        <f t="shared" si="86"/>
        <v>4336922.7574198795</v>
      </c>
      <c r="AH306" s="46">
        <f>IF(Y306="No",0,IFERROR(ROUNDDOWN(INDEX('90% of ACR'!K:K,MATCH(H:H,'90% of ACR'!A:A,0))*IF(I306&gt;0,IF(O306&gt;0,$R$4*MAX(O306-V306,0),0),0)/I306,2),0))</f>
        <v>2.29</v>
      </c>
      <c r="AI306" s="80">
        <f>IF(Y306="No",0,IFERROR(ROUNDDOWN(INDEX('90% of ACR'!R:R,MATCH(H:H,'90% of ACR'!A:A,0))*IF(J306&gt;0,IF(P306&gt;0,$R$4*MAX(P306-W306,0),0),0)/J306,2),0))</f>
        <v>0.6</v>
      </c>
      <c r="AJ306" s="44">
        <f t="shared" si="87"/>
        <v>3412028.8466846235</v>
      </c>
      <c r="AK306" s="44">
        <f t="shared" si="87"/>
        <v>777832.82670862053</v>
      </c>
      <c r="AL306" s="46">
        <f t="shared" si="88"/>
        <v>2.4</v>
      </c>
      <c r="AM306" s="46">
        <f t="shared" si="88"/>
        <v>1.0899999999999999</v>
      </c>
      <c r="AN306" s="81">
        <f>IFERROR(INDEX(FeeCalc!P:P,MATCH(C306,FeeCalc!F:F,0)),0)</f>
        <v>4988988.3973604403</v>
      </c>
      <c r="AO306" s="81">
        <f>IFERROR(INDEX(FeeCalc!S:S,MATCH(C306,FeeCalc!F:F,0)),0)</f>
        <v>309786.81869132281</v>
      </c>
      <c r="AP306" s="81">
        <f t="shared" si="89"/>
        <v>5298775.2160517629</v>
      </c>
      <c r="AQ306" s="68">
        <f t="shared" si="90"/>
        <v>2085343.5838276036</v>
      </c>
      <c r="AR306" s="68">
        <f>INDEX('IGT Commitment Suggestions'!H:H,MATCH(G306,'IGT Commitment Suggestions'!A:A,0))*AQ306</f>
        <v>959939.89216348785</v>
      </c>
    </row>
    <row r="307" spans="1:44">
      <c r="A307" s="103" t="s">
        <v>908</v>
      </c>
      <c r="B307" s="123" t="s">
        <v>908</v>
      </c>
      <c r="C307" s="30" t="s">
        <v>909</v>
      </c>
      <c r="D307" s="124" t="s">
        <v>909</v>
      </c>
      <c r="E307" s="119" t="s">
        <v>2668</v>
      </c>
      <c r="F307" s="99" t="s">
        <v>2295</v>
      </c>
      <c r="G307" s="99" t="s">
        <v>310</v>
      </c>
      <c r="H307" s="42" t="str">
        <f t="shared" si="76"/>
        <v>Rural MRSA Northeast</v>
      </c>
      <c r="I307" s="44">
        <f>INDEX(FeeCalc!M:M,MATCH(C:C,FeeCalc!F:F,0))</f>
        <v>4782788.9982783021</v>
      </c>
      <c r="J307" s="44">
        <f>INDEX(FeeCalc!L:L,MATCH(C:C,FeeCalc!F:F,0))</f>
        <v>2635658.2207742869</v>
      </c>
      <c r="K307" s="44">
        <f t="shared" si="77"/>
        <v>7418447.2190525886</v>
      </c>
      <c r="L307" s="44">
        <v>-732564.68</v>
      </c>
      <c r="M307" s="44">
        <v>1640897.12</v>
      </c>
      <c r="N307" s="44">
        <f t="shared" si="78"/>
        <v>908332.44000000006</v>
      </c>
      <c r="O307" s="44">
        <v>1684292.7634173315</v>
      </c>
      <c r="P307" s="44">
        <v>2374035.52746752</v>
      </c>
      <c r="Q307" s="44">
        <f t="shared" si="79"/>
        <v>4058328.2908848515</v>
      </c>
      <c r="R307" s="44" t="str">
        <f t="shared" si="80"/>
        <v>Yes</v>
      </c>
      <c r="S307" s="45" t="str">
        <f t="shared" si="80"/>
        <v>Yes</v>
      </c>
      <c r="T307" s="46">
        <f>ROUND(INDEX(Summary!H:H,MATCH(H:H,Summary!A:A,0)),2)</f>
        <v>0</v>
      </c>
      <c r="U307" s="46">
        <f>ROUND(INDEX(Summary!I:I,MATCH(H:H,Summary!A:A,0)),2)</f>
        <v>0.32</v>
      </c>
      <c r="V307" s="79">
        <f t="shared" si="81"/>
        <v>0</v>
      </c>
      <c r="W307" s="79">
        <f t="shared" si="81"/>
        <v>843410.63064777188</v>
      </c>
      <c r="X307" s="44">
        <f t="shared" si="82"/>
        <v>843410.63064777188</v>
      </c>
      <c r="Y307" s="44" t="s">
        <v>2765</v>
      </c>
      <c r="Z307" s="44" t="str">
        <f t="shared" si="83"/>
        <v>Yes</v>
      </c>
      <c r="AA307" s="44" t="str">
        <f t="shared" si="83"/>
        <v>Yes</v>
      </c>
      <c r="AB307" s="44" t="str">
        <f t="shared" si="84"/>
        <v>Yes</v>
      </c>
      <c r="AC307" s="80">
        <f t="shared" si="91"/>
        <v>0.25</v>
      </c>
      <c r="AD307" s="80">
        <f t="shared" si="92"/>
        <v>0.4</v>
      </c>
      <c r="AE307" s="44">
        <f t="shared" si="85"/>
        <v>1195697.2495695755</v>
      </c>
      <c r="AF307" s="44">
        <f t="shared" si="85"/>
        <v>1054263.2883097148</v>
      </c>
      <c r="AG307" s="44">
        <f t="shared" si="86"/>
        <v>2249960.5378792901</v>
      </c>
      <c r="AH307" s="46">
        <f>IF(Y307="No",0,IFERROR(ROUNDDOWN(INDEX('90% of ACR'!K:K,MATCH(H:H,'90% of ACR'!A:A,0))*IF(I307&gt;0,IF(O307&gt;0,$R$4*MAX(O307-V307,0),0),0)/I307,2),0))</f>
        <v>0.16</v>
      </c>
      <c r="AI307" s="80">
        <f>IF(Y307="No",0,IFERROR(ROUNDDOWN(INDEX('90% of ACR'!R:R,MATCH(H:H,'90% of ACR'!A:A,0))*IF(J307&gt;0,IF(P307&gt;0,$R$4*MAX(P307-W307,0),0),0)/J307,2),0))</f>
        <v>0.4</v>
      </c>
      <c r="AJ307" s="44">
        <f t="shared" si="87"/>
        <v>765246.23972452839</v>
      </c>
      <c r="AK307" s="44">
        <f t="shared" si="87"/>
        <v>1054263.2883097148</v>
      </c>
      <c r="AL307" s="46">
        <f t="shared" si="88"/>
        <v>0.16</v>
      </c>
      <c r="AM307" s="46">
        <f t="shared" si="88"/>
        <v>0.72</v>
      </c>
      <c r="AN307" s="81">
        <f>IFERROR(INDEX(FeeCalc!P:P,MATCH(C307,FeeCalc!F:F,0)),0)</f>
        <v>2662920.1586820148</v>
      </c>
      <c r="AO307" s="81">
        <f>IFERROR(INDEX(FeeCalc!S:S,MATCH(C307,FeeCalc!F:F,0)),0)</f>
        <v>164202.43297112163</v>
      </c>
      <c r="AP307" s="81">
        <f t="shared" si="89"/>
        <v>2827122.5916531365</v>
      </c>
      <c r="AQ307" s="68">
        <f t="shared" si="90"/>
        <v>1112619.7501902753</v>
      </c>
      <c r="AR307" s="68">
        <f>INDEX('IGT Commitment Suggestions'!H:H,MATCH(G307,'IGT Commitment Suggestions'!A:A,0))*AQ307</f>
        <v>509586.98985735496</v>
      </c>
    </row>
    <row r="308" spans="1:44">
      <c r="A308" s="103" t="s">
        <v>362</v>
      </c>
      <c r="B308" s="123" t="s">
        <v>362</v>
      </c>
      <c r="C308" s="30" t="s">
        <v>363</v>
      </c>
      <c r="D308" s="124" t="s">
        <v>363</v>
      </c>
      <c r="E308" s="119" t="s">
        <v>2669</v>
      </c>
      <c r="F308" s="99" t="s">
        <v>2283</v>
      </c>
      <c r="G308" s="99" t="s">
        <v>487</v>
      </c>
      <c r="H308" s="42" t="str">
        <f t="shared" si="76"/>
        <v>Urban Bexar</v>
      </c>
      <c r="I308" s="44">
        <f>INDEX(FeeCalc!M:M,MATCH(C:C,FeeCalc!F:F,0))</f>
        <v>1448281.3875405875</v>
      </c>
      <c r="J308" s="44">
        <f>INDEX(FeeCalc!L:L,MATCH(C:C,FeeCalc!F:F,0))</f>
        <v>1103745.4616295069</v>
      </c>
      <c r="K308" s="44">
        <f t="shared" si="77"/>
        <v>2552026.8491700944</v>
      </c>
      <c r="L308" s="44">
        <v>749038.16</v>
      </c>
      <c r="M308" s="44">
        <v>534315.72</v>
      </c>
      <c r="N308" s="44">
        <f t="shared" si="78"/>
        <v>1283353.8799999999</v>
      </c>
      <c r="O308" s="44">
        <v>3622065.7385119838</v>
      </c>
      <c r="P308" s="44">
        <v>935866.62693404616</v>
      </c>
      <c r="Q308" s="44">
        <f t="shared" si="79"/>
        <v>4557932.3654460302</v>
      </c>
      <c r="R308" s="44" t="str">
        <f t="shared" si="80"/>
        <v>Yes</v>
      </c>
      <c r="S308" s="45" t="str">
        <f t="shared" si="80"/>
        <v>Yes</v>
      </c>
      <c r="T308" s="46">
        <f>ROUND(INDEX(Summary!H:H,MATCH(H:H,Summary!A:A,0)),2)</f>
        <v>0.44</v>
      </c>
      <c r="U308" s="46">
        <f>ROUND(INDEX(Summary!I:I,MATCH(H:H,Summary!A:A,0)),2)</f>
        <v>0.49</v>
      </c>
      <c r="V308" s="79">
        <f t="shared" si="81"/>
        <v>637243.81051785848</v>
      </c>
      <c r="W308" s="79">
        <f t="shared" si="81"/>
        <v>540835.27619845839</v>
      </c>
      <c r="X308" s="44">
        <f t="shared" si="82"/>
        <v>1178079.0867163169</v>
      </c>
      <c r="Y308" s="44" t="s">
        <v>2765</v>
      </c>
      <c r="Z308" s="44" t="str">
        <f t="shared" si="83"/>
        <v>Yes</v>
      </c>
      <c r="AA308" s="44" t="str">
        <f t="shared" si="83"/>
        <v>Yes</v>
      </c>
      <c r="AB308" s="44" t="str">
        <f t="shared" si="84"/>
        <v>Yes</v>
      </c>
      <c r="AC308" s="80">
        <f t="shared" si="91"/>
        <v>1.44</v>
      </c>
      <c r="AD308" s="80">
        <f t="shared" si="92"/>
        <v>0.25</v>
      </c>
      <c r="AE308" s="44">
        <f t="shared" si="85"/>
        <v>2085525.1980584459</v>
      </c>
      <c r="AF308" s="44">
        <f t="shared" si="85"/>
        <v>275936.36540737672</v>
      </c>
      <c r="AG308" s="44">
        <f t="shared" si="86"/>
        <v>2361461.5634658225</v>
      </c>
      <c r="AH308" s="46">
        <f>IF(Y308="No",0,IFERROR(ROUNDDOWN(INDEX('90% of ACR'!K:K,MATCH(H:H,'90% of ACR'!A:A,0))*IF(I308&gt;0,IF(O308&gt;0,$R$4*MAX(O308-V308,0),0),0)/I308,2),0))</f>
        <v>1.26</v>
      </c>
      <c r="AI308" s="80">
        <f>IF(Y308="No",0,IFERROR(ROUNDDOWN(INDEX('90% of ACR'!R:R,MATCH(H:H,'90% of ACR'!A:A,0))*IF(J308&gt;0,IF(P308&gt;0,$R$4*MAX(P308-W308,0),0),0)/J308,2),0))</f>
        <v>0.16</v>
      </c>
      <c r="AJ308" s="44">
        <f t="shared" si="87"/>
        <v>1824834.5483011403</v>
      </c>
      <c r="AK308" s="44">
        <f t="shared" si="87"/>
        <v>176599.27386072112</v>
      </c>
      <c r="AL308" s="46">
        <f t="shared" si="88"/>
        <v>1.7</v>
      </c>
      <c r="AM308" s="46">
        <f t="shared" si="88"/>
        <v>0.65</v>
      </c>
      <c r="AN308" s="81">
        <f>IFERROR(INDEX(FeeCalc!P:P,MATCH(C308,FeeCalc!F:F,0)),0)</f>
        <v>3179512.9088781783</v>
      </c>
      <c r="AO308" s="81">
        <f>IFERROR(INDEX(FeeCalc!S:S,MATCH(C308,FeeCalc!F:F,0)),0)</f>
        <v>196997.20191178384</v>
      </c>
      <c r="AP308" s="81">
        <f t="shared" si="89"/>
        <v>3376510.1107899621</v>
      </c>
      <c r="AQ308" s="68">
        <f t="shared" si="90"/>
        <v>1328832.3071216112</v>
      </c>
      <c r="AR308" s="68">
        <f>INDEX('IGT Commitment Suggestions'!H:H,MATCH(G308,'IGT Commitment Suggestions'!A:A,0))*AQ308</f>
        <v>612522.87819393771</v>
      </c>
    </row>
    <row r="309" spans="1:44">
      <c r="A309" s="103" t="s">
        <v>1294</v>
      </c>
      <c r="B309" s="123" t="s">
        <v>1294</v>
      </c>
      <c r="C309" s="30" t="s">
        <v>1295</v>
      </c>
      <c r="D309" s="124" t="s">
        <v>1295</v>
      </c>
      <c r="E309" s="119" t="s">
        <v>2670</v>
      </c>
      <c r="F309" s="99" t="s">
        <v>2283</v>
      </c>
      <c r="G309" s="99" t="s">
        <v>487</v>
      </c>
      <c r="H309" s="42" t="str">
        <f t="shared" si="76"/>
        <v>Urban Bexar</v>
      </c>
      <c r="I309" s="44">
        <f>INDEX(FeeCalc!M:M,MATCH(C:C,FeeCalc!F:F,0))</f>
        <v>53705374.198102951</v>
      </c>
      <c r="J309" s="44">
        <f>INDEX(FeeCalc!L:L,MATCH(C:C,FeeCalc!F:F,0))</f>
        <v>20676611.059472233</v>
      </c>
      <c r="K309" s="44">
        <f t="shared" si="77"/>
        <v>74381985.257575184</v>
      </c>
      <c r="L309" s="44">
        <v>29278052.449999999</v>
      </c>
      <c r="M309" s="44">
        <v>10865593.24</v>
      </c>
      <c r="N309" s="44">
        <f t="shared" si="78"/>
        <v>40143645.689999998</v>
      </c>
      <c r="O309" s="44">
        <v>110244282.89687771</v>
      </c>
      <c r="P309" s="44">
        <v>14896902.747140691</v>
      </c>
      <c r="Q309" s="44">
        <f t="shared" si="79"/>
        <v>125141185.6440184</v>
      </c>
      <c r="R309" s="44" t="str">
        <f t="shared" si="80"/>
        <v>Yes</v>
      </c>
      <c r="S309" s="45" t="str">
        <f t="shared" si="80"/>
        <v>Yes</v>
      </c>
      <c r="T309" s="46">
        <f>ROUND(INDEX(Summary!H:H,MATCH(H:H,Summary!A:A,0)),2)</f>
        <v>0.44</v>
      </c>
      <c r="U309" s="46">
        <f>ROUND(INDEX(Summary!I:I,MATCH(H:H,Summary!A:A,0)),2)</f>
        <v>0.49</v>
      </c>
      <c r="V309" s="79">
        <f t="shared" si="81"/>
        <v>23630364.647165298</v>
      </c>
      <c r="W309" s="79">
        <f t="shared" si="81"/>
        <v>10131539.419141393</v>
      </c>
      <c r="X309" s="44">
        <f t="shared" si="82"/>
        <v>33761904.066306695</v>
      </c>
      <c r="Y309" s="44" t="s">
        <v>2765</v>
      </c>
      <c r="Z309" s="44" t="str">
        <f t="shared" si="83"/>
        <v>Yes</v>
      </c>
      <c r="AA309" s="44" t="str">
        <f t="shared" si="83"/>
        <v>Yes</v>
      </c>
      <c r="AB309" s="44" t="str">
        <f t="shared" si="84"/>
        <v>Yes</v>
      </c>
      <c r="AC309" s="80">
        <f t="shared" si="91"/>
        <v>1.1200000000000001</v>
      </c>
      <c r="AD309" s="80">
        <f t="shared" si="92"/>
        <v>0.16</v>
      </c>
      <c r="AE309" s="44">
        <f t="shared" si="85"/>
        <v>60150019.101875313</v>
      </c>
      <c r="AF309" s="44">
        <f t="shared" si="85"/>
        <v>3308257.7695155572</v>
      </c>
      <c r="AG309" s="44">
        <f t="shared" si="86"/>
        <v>63458276.871390872</v>
      </c>
      <c r="AH309" s="46">
        <f>IF(Y309="No",0,IFERROR(ROUNDDOWN(INDEX('90% of ACR'!K:K,MATCH(H:H,'90% of ACR'!A:A,0))*IF(I309&gt;0,IF(O309&gt;0,$R$4*MAX(O309-V309,0),0),0)/I309,2),0))</f>
        <v>0.99</v>
      </c>
      <c r="AI309" s="80">
        <f>IF(Y309="No",0,IFERROR(ROUNDDOWN(INDEX('90% of ACR'!R:R,MATCH(H:H,'90% of ACR'!A:A,0))*IF(J309&gt;0,IF(P309&gt;0,$R$4*MAX(P309-W309,0),0),0)/J309,2),0))</f>
        <v>0.1</v>
      </c>
      <c r="AJ309" s="44">
        <f t="shared" si="87"/>
        <v>53168320.456121922</v>
      </c>
      <c r="AK309" s="44">
        <f t="shared" si="87"/>
        <v>2067661.1059472235</v>
      </c>
      <c r="AL309" s="46">
        <f t="shared" si="88"/>
        <v>1.43</v>
      </c>
      <c r="AM309" s="46">
        <f t="shared" si="88"/>
        <v>0.59</v>
      </c>
      <c r="AN309" s="81">
        <f>IFERROR(INDEX(FeeCalc!P:P,MATCH(C309,FeeCalc!F:F,0)),0)</f>
        <v>88997885.628375843</v>
      </c>
      <c r="AO309" s="81">
        <f>IFERROR(INDEX(FeeCalc!S:S,MATCH(C309,FeeCalc!F:F,0)),0)</f>
        <v>5497441.7424455713</v>
      </c>
      <c r="AP309" s="81">
        <f t="shared" si="89"/>
        <v>94495327.370821416</v>
      </c>
      <c r="AQ309" s="68">
        <f t="shared" si="90"/>
        <v>37188825.077441514</v>
      </c>
      <c r="AR309" s="68">
        <f>INDEX('IGT Commitment Suggestions'!H:H,MATCH(G309,'IGT Commitment Suggestions'!A:A,0))*AQ309</f>
        <v>17142122.486792225</v>
      </c>
    </row>
    <row r="310" spans="1:44">
      <c r="A310" s="103" t="s">
        <v>1369</v>
      </c>
      <c r="B310" s="123" t="s">
        <v>1369</v>
      </c>
      <c r="C310" s="30" t="s">
        <v>1370</v>
      </c>
      <c r="D310" s="124" t="s">
        <v>1370</v>
      </c>
      <c r="E310" s="119" t="s">
        <v>2671</v>
      </c>
      <c r="F310" s="99" t="s">
        <v>2283</v>
      </c>
      <c r="G310" s="99" t="s">
        <v>1514</v>
      </c>
      <c r="H310" s="42" t="str">
        <f t="shared" si="76"/>
        <v>Urban Hidalgo</v>
      </c>
      <c r="I310" s="44">
        <f>INDEX(FeeCalc!M:M,MATCH(C:C,FeeCalc!F:F,0))</f>
        <v>20804371.582795214</v>
      </c>
      <c r="J310" s="44">
        <f>INDEX(FeeCalc!L:L,MATCH(C:C,FeeCalc!F:F,0))</f>
        <v>8390986.5478428416</v>
      </c>
      <c r="K310" s="44">
        <f t="shared" si="77"/>
        <v>29195358.130638056</v>
      </c>
      <c r="L310" s="44">
        <v>9680295.7599999998</v>
      </c>
      <c r="M310" s="44">
        <v>6409590.8499999996</v>
      </c>
      <c r="N310" s="44">
        <f t="shared" si="78"/>
        <v>16089886.609999999</v>
      </c>
      <c r="O310" s="44">
        <v>40112552.216711216</v>
      </c>
      <c r="P310" s="44">
        <v>12554848.81194935</v>
      </c>
      <c r="Q310" s="44">
        <f t="shared" si="79"/>
        <v>52667401.028660566</v>
      </c>
      <c r="R310" s="44" t="str">
        <f t="shared" si="80"/>
        <v>Yes</v>
      </c>
      <c r="S310" s="45" t="str">
        <f t="shared" si="80"/>
        <v>Yes</v>
      </c>
      <c r="T310" s="46">
        <f>ROUND(INDEX(Summary!H:H,MATCH(H:H,Summary!A:A,0)),2)</f>
        <v>0.72</v>
      </c>
      <c r="U310" s="46">
        <f>ROUND(INDEX(Summary!I:I,MATCH(H:H,Summary!A:A,0)),2)</f>
        <v>0.53</v>
      </c>
      <c r="V310" s="79">
        <f t="shared" si="81"/>
        <v>14979147.539612554</v>
      </c>
      <c r="W310" s="79">
        <f t="shared" si="81"/>
        <v>4447222.870356706</v>
      </c>
      <c r="X310" s="44">
        <f t="shared" si="82"/>
        <v>19426370.409969259</v>
      </c>
      <c r="Y310" s="44" t="s">
        <v>2765</v>
      </c>
      <c r="Z310" s="44" t="str">
        <f t="shared" si="83"/>
        <v>Yes</v>
      </c>
      <c r="AA310" s="44" t="str">
        <f t="shared" si="83"/>
        <v>Yes</v>
      </c>
      <c r="AB310" s="44" t="str">
        <f t="shared" si="84"/>
        <v>Yes</v>
      </c>
      <c r="AC310" s="80">
        <f t="shared" si="91"/>
        <v>0.84</v>
      </c>
      <c r="AD310" s="80">
        <f t="shared" si="92"/>
        <v>0.67</v>
      </c>
      <c r="AE310" s="44">
        <f t="shared" si="85"/>
        <v>17475672.12954798</v>
      </c>
      <c r="AF310" s="44">
        <f t="shared" si="85"/>
        <v>5621960.9870547038</v>
      </c>
      <c r="AG310" s="44">
        <f t="shared" si="86"/>
        <v>23097633.116602682</v>
      </c>
      <c r="AH310" s="46">
        <f>IF(Y310="No",0,IFERROR(ROUNDDOWN(INDEX('90% of ACR'!K:K,MATCH(H:H,'90% of ACR'!A:A,0))*IF(I310&gt;0,IF(O310&gt;0,$R$4*MAX(O310-V310,0),0),0)/I310,2),0))</f>
        <v>0.84</v>
      </c>
      <c r="AI310" s="80">
        <f>IF(Y310="No",0,IFERROR(ROUNDDOWN(INDEX('90% of ACR'!R:R,MATCH(H:H,'90% of ACR'!A:A,0))*IF(J310&gt;0,IF(P310&gt;0,$R$4*MAX(P310-W310,0),0),0)/J310,2),0))</f>
        <v>0.64</v>
      </c>
      <c r="AJ310" s="44">
        <f t="shared" si="87"/>
        <v>17475672.12954798</v>
      </c>
      <c r="AK310" s="44">
        <f t="shared" si="87"/>
        <v>5370231.3906194186</v>
      </c>
      <c r="AL310" s="46">
        <f t="shared" si="88"/>
        <v>1.56</v>
      </c>
      <c r="AM310" s="46">
        <f t="shared" si="88"/>
        <v>1.17</v>
      </c>
      <c r="AN310" s="81">
        <f>IFERROR(INDEX(FeeCalc!P:P,MATCH(C310,FeeCalc!F:F,0)),0)</f>
        <v>42272273.930136658</v>
      </c>
      <c r="AO310" s="81">
        <f>IFERROR(INDEX(FeeCalc!S:S,MATCH(C310,FeeCalc!F:F,0)),0)</f>
        <v>2610446.672902884</v>
      </c>
      <c r="AP310" s="81">
        <f t="shared" si="89"/>
        <v>44882720.60303954</v>
      </c>
      <c r="AQ310" s="68">
        <f t="shared" si="90"/>
        <v>17663684.458767418</v>
      </c>
      <c r="AR310" s="68">
        <f>INDEX('IGT Commitment Suggestions'!H:H,MATCH(G310,'IGT Commitment Suggestions'!A:A,0))*AQ310</f>
        <v>8087362.9604675435</v>
      </c>
    </row>
    <row r="311" spans="1:44">
      <c r="A311" s="103" t="s">
        <v>1158</v>
      </c>
      <c r="B311" s="123" t="s">
        <v>1158</v>
      </c>
      <c r="C311" s="30" t="s">
        <v>1159</v>
      </c>
      <c r="D311" s="124" t="s">
        <v>1159</v>
      </c>
      <c r="E311" s="119" t="s">
        <v>2672</v>
      </c>
      <c r="F311" s="99" t="s">
        <v>2283</v>
      </c>
      <c r="G311" s="99" t="s">
        <v>1514</v>
      </c>
      <c r="H311" s="42" t="str">
        <f t="shared" si="76"/>
        <v>Urban Hidalgo</v>
      </c>
      <c r="I311" s="44">
        <f>INDEX(FeeCalc!M:M,MATCH(C:C,FeeCalc!F:F,0))</f>
        <v>11897564.360709621</v>
      </c>
      <c r="J311" s="44">
        <f>INDEX(FeeCalc!L:L,MATCH(C:C,FeeCalc!F:F,0))</f>
        <v>6932255.322436139</v>
      </c>
      <c r="K311" s="44">
        <f t="shared" si="77"/>
        <v>18829819.683145761</v>
      </c>
      <c r="L311" s="44">
        <v>6459189.2800000003</v>
      </c>
      <c r="M311" s="44">
        <v>4180928.52</v>
      </c>
      <c r="N311" s="44">
        <f t="shared" si="78"/>
        <v>10640117.800000001</v>
      </c>
      <c r="O311" s="44">
        <v>22095883.118345529</v>
      </c>
      <c r="P311" s="44">
        <v>7839184.9444294553</v>
      </c>
      <c r="Q311" s="44">
        <f t="shared" si="79"/>
        <v>29935068.062774986</v>
      </c>
      <c r="R311" s="44" t="str">
        <f t="shared" si="80"/>
        <v>Yes</v>
      </c>
      <c r="S311" s="45" t="str">
        <f t="shared" si="80"/>
        <v>Yes</v>
      </c>
      <c r="T311" s="46">
        <f>ROUND(INDEX(Summary!H:H,MATCH(H:H,Summary!A:A,0)),2)</f>
        <v>0.72</v>
      </c>
      <c r="U311" s="46">
        <f>ROUND(INDEX(Summary!I:I,MATCH(H:H,Summary!A:A,0)),2)</f>
        <v>0.53</v>
      </c>
      <c r="V311" s="79">
        <f t="shared" si="81"/>
        <v>8566246.3397109266</v>
      </c>
      <c r="W311" s="79">
        <f t="shared" si="81"/>
        <v>3674095.320891154</v>
      </c>
      <c r="X311" s="44">
        <f t="shared" si="82"/>
        <v>12240341.660602082</v>
      </c>
      <c r="Y311" s="44" t="s">
        <v>2765</v>
      </c>
      <c r="Z311" s="44" t="str">
        <f t="shared" si="83"/>
        <v>Yes</v>
      </c>
      <c r="AA311" s="44" t="str">
        <f t="shared" si="83"/>
        <v>Yes</v>
      </c>
      <c r="AB311" s="44" t="str">
        <f t="shared" si="84"/>
        <v>Yes</v>
      </c>
      <c r="AC311" s="80">
        <f t="shared" si="91"/>
        <v>0.79</v>
      </c>
      <c r="AD311" s="80">
        <f t="shared" si="92"/>
        <v>0.42</v>
      </c>
      <c r="AE311" s="44">
        <f t="shared" si="85"/>
        <v>9399075.8449606001</v>
      </c>
      <c r="AF311" s="44">
        <f t="shared" si="85"/>
        <v>2911547.2354231784</v>
      </c>
      <c r="AG311" s="44">
        <f t="shared" si="86"/>
        <v>12310623.080383778</v>
      </c>
      <c r="AH311" s="46">
        <f>IF(Y311="No",0,IFERROR(ROUNDDOWN(INDEX('90% of ACR'!K:K,MATCH(H:H,'90% of ACR'!A:A,0))*IF(I311&gt;0,IF(O311&gt;0,$R$4*MAX(O311-V311,0),0),0)/I311,2),0))</f>
        <v>0.79</v>
      </c>
      <c r="AI311" s="80">
        <f>IF(Y311="No",0,IFERROR(ROUNDDOWN(INDEX('90% of ACR'!R:R,MATCH(H:H,'90% of ACR'!A:A,0))*IF(J311&gt;0,IF(P311&gt;0,$R$4*MAX(P311-W311,0),0),0)/J311,2),0))</f>
        <v>0.4</v>
      </c>
      <c r="AJ311" s="44">
        <f t="shared" si="87"/>
        <v>9399075.8449606001</v>
      </c>
      <c r="AK311" s="44">
        <f t="shared" si="87"/>
        <v>2772902.1289744559</v>
      </c>
      <c r="AL311" s="46">
        <f t="shared" si="88"/>
        <v>1.51</v>
      </c>
      <c r="AM311" s="46">
        <f t="shared" si="88"/>
        <v>0.93</v>
      </c>
      <c r="AN311" s="81">
        <f>IFERROR(INDEX(FeeCalc!P:P,MATCH(C311,FeeCalc!F:F,0)),0)</f>
        <v>24412319.634537138</v>
      </c>
      <c r="AO311" s="81">
        <f>IFERROR(INDEX(FeeCalc!S:S,MATCH(C311,FeeCalc!F:F,0)),0)</f>
        <v>1505832.1502818116</v>
      </c>
      <c r="AP311" s="81">
        <f t="shared" si="89"/>
        <v>25918151.784818951</v>
      </c>
      <c r="AQ311" s="68">
        <f t="shared" si="90"/>
        <v>10200140.471219068</v>
      </c>
      <c r="AR311" s="68">
        <f>INDEX('IGT Commitment Suggestions'!H:H,MATCH(G311,'IGT Commitment Suggestions'!A:A,0))*AQ311</f>
        <v>4670160.3185374951</v>
      </c>
    </row>
    <row r="312" spans="1:44">
      <c r="A312" s="103" t="s">
        <v>680</v>
      </c>
      <c r="B312" s="123" t="s">
        <v>680</v>
      </c>
      <c r="C312" s="30" t="s">
        <v>681</v>
      </c>
      <c r="D312" s="124" t="s">
        <v>681</v>
      </c>
      <c r="E312" s="119" t="s">
        <v>1734</v>
      </c>
      <c r="F312" s="99" t="s">
        <v>2283</v>
      </c>
      <c r="G312" s="99" t="s">
        <v>223</v>
      </c>
      <c r="H312" s="42" t="str">
        <f t="shared" si="76"/>
        <v>Urban Dallas</v>
      </c>
      <c r="I312" s="44">
        <f>INDEX(FeeCalc!M:M,MATCH(C:C,FeeCalc!F:F,0))</f>
        <v>915259.53174192563</v>
      </c>
      <c r="J312" s="44">
        <f>INDEX(FeeCalc!L:L,MATCH(C:C,FeeCalc!F:F,0))</f>
        <v>838323.58214916161</v>
      </c>
      <c r="K312" s="44">
        <f t="shared" si="77"/>
        <v>1753583.1138910872</v>
      </c>
      <c r="L312" s="44">
        <v>711358.93</v>
      </c>
      <c r="M312" s="44">
        <v>985262.41</v>
      </c>
      <c r="N312" s="44">
        <f t="shared" si="78"/>
        <v>1696621.34</v>
      </c>
      <c r="O312" s="44">
        <v>730448.79234306305</v>
      </c>
      <c r="P312" s="44">
        <v>1095767.2316089668</v>
      </c>
      <c r="Q312" s="44">
        <f t="shared" si="79"/>
        <v>1826216.0239520299</v>
      </c>
      <c r="R312" s="44" t="str">
        <f t="shared" si="80"/>
        <v>Yes</v>
      </c>
      <c r="S312" s="45" t="str">
        <f t="shared" si="80"/>
        <v>Yes</v>
      </c>
      <c r="T312" s="46">
        <f>ROUND(INDEX(Summary!H:H,MATCH(H:H,Summary!A:A,0)),2)</f>
        <v>0.6</v>
      </c>
      <c r="U312" s="46">
        <f>ROUND(INDEX(Summary!I:I,MATCH(H:H,Summary!A:A,0)),2)</f>
        <v>0.3</v>
      </c>
      <c r="V312" s="79">
        <f t="shared" si="81"/>
        <v>549155.71904515533</v>
      </c>
      <c r="W312" s="79">
        <f t="shared" si="81"/>
        <v>251497.07464474847</v>
      </c>
      <c r="X312" s="44">
        <f t="shared" si="82"/>
        <v>800652.7936899038</v>
      </c>
      <c r="Y312" s="44" t="s">
        <v>2765</v>
      </c>
      <c r="Z312" s="44" t="str">
        <f t="shared" si="83"/>
        <v>Yes</v>
      </c>
      <c r="AA312" s="44" t="str">
        <f t="shared" si="83"/>
        <v>Yes</v>
      </c>
      <c r="AB312" s="44" t="str">
        <f t="shared" si="84"/>
        <v>Yes</v>
      </c>
      <c r="AC312" s="80">
        <f t="shared" si="91"/>
        <v>0.14000000000000001</v>
      </c>
      <c r="AD312" s="80">
        <f t="shared" si="92"/>
        <v>0.7</v>
      </c>
      <c r="AE312" s="44">
        <f t="shared" si="85"/>
        <v>128136.33444386961</v>
      </c>
      <c r="AF312" s="44">
        <f t="shared" si="85"/>
        <v>586826.50750441314</v>
      </c>
      <c r="AG312" s="44">
        <f t="shared" si="86"/>
        <v>714962.84194828279</v>
      </c>
      <c r="AH312" s="46">
        <f>IF(Y312="No",0,IFERROR(ROUNDDOWN(INDEX('90% of ACR'!K:K,MATCH(H:H,'90% of ACR'!A:A,0))*IF(I312&gt;0,IF(O312&gt;0,$R$4*MAX(O312-V312,0),0),0)/I312,2),0))</f>
        <v>0.13</v>
      </c>
      <c r="AI312" s="80">
        <f>IF(Y312="No",0,IFERROR(ROUNDDOWN(INDEX('90% of ACR'!R:R,MATCH(H:H,'90% of ACR'!A:A,0))*IF(J312&gt;0,IF(P312&gt;0,$R$4*MAX(P312-W312,0),0),0)/J312,2),0))</f>
        <v>0.7</v>
      </c>
      <c r="AJ312" s="44">
        <f t="shared" si="87"/>
        <v>118983.73912645034</v>
      </c>
      <c r="AK312" s="44">
        <f t="shared" si="87"/>
        <v>586826.50750441314</v>
      </c>
      <c r="AL312" s="46">
        <f t="shared" si="88"/>
        <v>0.73</v>
      </c>
      <c r="AM312" s="46">
        <f t="shared" si="88"/>
        <v>1</v>
      </c>
      <c r="AN312" s="81">
        <f>IFERROR(INDEX(FeeCalc!P:P,MATCH(C312,FeeCalc!F:F,0)),0)</f>
        <v>1506463.0403207673</v>
      </c>
      <c r="AO312" s="81">
        <f>IFERROR(INDEX(FeeCalc!S:S,MATCH(C312,FeeCalc!F:F,0)),0)</f>
        <v>94636.516385217546</v>
      </c>
      <c r="AP312" s="81">
        <f t="shared" si="89"/>
        <v>1601099.5567059848</v>
      </c>
      <c r="AQ312" s="68">
        <f t="shared" si="90"/>
        <v>630115.93274075375</v>
      </c>
      <c r="AR312" s="68">
        <f>INDEX('IGT Commitment Suggestions'!H:H,MATCH(G312,'IGT Commitment Suggestions'!A:A,0))*AQ312</f>
        <v>288173.27146765898</v>
      </c>
    </row>
    <row r="313" spans="1:44">
      <c r="A313" s="103" t="s">
        <v>774</v>
      </c>
      <c r="B313" s="123" t="s">
        <v>774</v>
      </c>
      <c r="C313" s="30" t="s">
        <v>775</v>
      </c>
      <c r="D313" s="124" t="s">
        <v>775</v>
      </c>
      <c r="E313" s="119" t="s">
        <v>2349</v>
      </c>
      <c r="F313" s="99" t="s">
        <v>2283</v>
      </c>
      <c r="G313" s="99" t="s">
        <v>1514</v>
      </c>
      <c r="H313" s="42" t="str">
        <f t="shared" si="76"/>
        <v>Urban Hidalgo</v>
      </c>
      <c r="I313" s="44">
        <f>INDEX(FeeCalc!M:M,MATCH(C:C,FeeCalc!F:F,0))</f>
        <v>7228089.4456434008</v>
      </c>
      <c r="J313" s="44">
        <f>INDEX(FeeCalc!L:L,MATCH(C:C,FeeCalc!F:F,0))</f>
        <v>3976810.7168149389</v>
      </c>
      <c r="K313" s="44">
        <f t="shared" si="77"/>
        <v>11204900.16245834</v>
      </c>
      <c r="L313" s="44">
        <v>10745718.25</v>
      </c>
      <c r="M313" s="44">
        <v>3884147.75</v>
      </c>
      <c r="N313" s="44">
        <f t="shared" si="78"/>
        <v>14629866</v>
      </c>
      <c r="O313" s="44">
        <v>10883567.333167508</v>
      </c>
      <c r="P313" s="44">
        <v>6257963.1080520144</v>
      </c>
      <c r="Q313" s="44">
        <f t="shared" si="79"/>
        <v>17141530.441219524</v>
      </c>
      <c r="R313" s="44" t="str">
        <f t="shared" si="80"/>
        <v>Yes</v>
      </c>
      <c r="S313" s="45" t="str">
        <f t="shared" si="80"/>
        <v>Yes</v>
      </c>
      <c r="T313" s="46">
        <f>ROUND(INDEX(Summary!H:H,MATCH(H:H,Summary!A:A,0)),2)</f>
        <v>0.72</v>
      </c>
      <c r="U313" s="46">
        <f>ROUND(INDEX(Summary!I:I,MATCH(H:H,Summary!A:A,0)),2)</f>
        <v>0.53</v>
      </c>
      <c r="V313" s="79">
        <f t="shared" si="81"/>
        <v>5204224.4008632479</v>
      </c>
      <c r="W313" s="79">
        <f t="shared" si="81"/>
        <v>2107709.6799119175</v>
      </c>
      <c r="X313" s="44">
        <f t="shared" si="82"/>
        <v>7311934.0807751659</v>
      </c>
      <c r="Y313" s="44" t="s">
        <v>2765</v>
      </c>
      <c r="Z313" s="44" t="str">
        <f t="shared" si="83"/>
        <v>Yes</v>
      </c>
      <c r="AA313" s="44" t="str">
        <f t="shared" si="83"/>
        <v>Yes</v>
      </c>
      <c r="AB313" s="44" t="str">
        <f t="shared" si="84"/>
        <v>Yes</v>
      </c>
      <c r="AC313" s="80">
        <f t="shared" si="91"/>
        <v>0.55000000000000004</v>
      </c>
      <c r="AD313" s="80">
        <f t="shared" si="92"/>
        <v>0.73</v>
      </c>
      <c r="AE313" s="44">
        <f t="shared" si="85"/>
        <v>3975449.1951038707</v>
      </c>
      <c r="AF313" s="44">
        <f t="shared" si="85"/>
        <v>2903071.8232749053</v>
      </c>
      <c r="AG313" s="44">
        <f t="shared" si="86"/>
        <v>6878521.0183787756</v>
      </c>
      <c r="AH313" s="46">
        <f>IF(Y313="No",0,IFERROR(ROUNDDOWN(INDEX('90% of ACR'!K:K,MATCH(H:H,'90% of ACR'!A:A,0))*IF(I313&gt;0,IF(O313&gt;0,$R$4*MAX(O313-V313,0),0),0)/I313,2),0))</f>
        <v>0.54</v>
      </c>
      <c r="AI313" s="80">
        <f>IF(Y313="No",0,IFERROR(ROUNDDOWN(INDEX('90% of ACR'!R:R,MATCH(H:H,'90% of ACR'!A:A,0))*IF(J313&gt;0,IF(P313&gt;0,$R$4*MAX(P313-W313,0),0),0)/J313,2),0))</f>
        <v>0.7</v>
      </c>
      <c r="AJ313" s="44">
        <f t="shared" si="87"/>
        <v>3903168.3006474366</v>
      </c>
      <c r="AK313" s="44">
        <f t="shared" si="87"/>
        <v>2783767.5017704573</v>
      </c>
      <c r="AL313" s="46">
        <f t="shared" si="88"/>
        <v>1.26</v>
      </c>
      <c r="AM313" s="46">
        <f t="shared" si="88"/>
        <v>1.23</v>
      </c>
      <c r="AN313" s="81">
        <f>IFERROR(INDEX(FeeCalc!P:P,MATCH(C313,FeeCalc!F:F,0)),0)</f>
        <v>13998869.883193061</v>
      </c>
      <c r="AO313" s="81">
        <f>IFERROR(INDEX(FeeCalc!S:S,MATCH(C313,FeeCalc!F:F,0)),0)</f>
        <v>860331.24430080329</v>
      </c>
      <c r="AP313" s="81">
        <f t="shared" si="89"/>
        <v>14859201.127493864</v>
      </c>
      <c r="AQ313" s="68">
        <f t="shared" si="90"/>
        <v>5847868.3221274652</v>
      </c>
      <c r="AR313" s="68">
        <f>INDEX('IGT Commitment Suggestions'!H:H,MATCH(G313,'IGT Commitment Suggestions'!A:A,0))*AQ313</f>
        <v>2677461.4195845597</v>
      </c>
    </row>
    <row r="314" spans="1:44">
      <c r="A314" s="103" t="s">
        <v>1072</v>
      </c>
      <c r="B314" s="123" t="s">
        <v>1072</v>
      </c>
      <c r="C314" s="30" t="s">
        <v>1073</v>
      </c>
      <c r="D314" s="124" t="s">
        <v>1073</v>
      </c>
      <c r="E314" s="119" t="s">
        <v>2914</v>
      </c>
      <c r="F314" s="99" t="s">
        <v>2295</v>
      </c>
      <c r="G314" s="99" t="s">
        <v>300</v>
      </c>
      <c r="H314" s="42" t="str">
        <f t="shared" si="76"/>
        <v>Rural Harris</v>
      </c>
      <c r="I314" s="44">
        <f>INDEX(FeeCalc!M:M,MATCH(C:C,FeeCalc!F:F,0))</f>
        <v>186995.26999176582</v>
      </c>
      <c r="J314" s="44">
        <f>INDEX(FeeCalc!L:L,MATCH(C:C,FeeCalc!F:F,0))</f>
        <v>865336.67151002877</v>
      </c>
      <c r="K314" s="44">
        <f t="shared" si="77"/>
        <v>1052331.9415017946</v>
      </c>
      <c r="L314" s="44">
        <v>51773.279999999999</v>
      </c>
      <c r="M314" s="44">
        <v>47371.72</v>
      </c>
      <c r="N314" s="44">
        <f t="shared" si="78"/>
        <v>99145</v>
      </c>
      <c r="O314" s="44">
        <v>-35645.632844565407</v>
      </c>
      <c r="P314" s="44">
        <v>52432.672455769207</v>
      </c>
      <c r="Q314" s="44">
        <f t="shared" si="79"/>
        <v>16787.0396112038</v>
      </c>
      <c r="R314" s="44" t="str">
        <f t="shared" si="80"/>
        <v>No</v>
      </c>
      <c r="S314" s="45" t="str">
        <f t="shared" si="80"/>
        <v>Yes</v>
      </c>
      <c r="T314" s="46">
        <f>ROUND(INDEX(Summary!H:H,MATCH(H:H,Summary!A:A,0)),2)</f>
        <v>0.01</v>
      </c>
      <c r="U314" s="46">
        <f>ROUND(INDEX(Summary!I:I,MATCH(H:H,Summary!A:A,0)),2)</f>
        <v>0.3</v>
      </c>
      <c r="V314" s="79">
        <f t="shared" si="81"/>
        <v>1869.9526999176583</v>
      </c>
      <c r="W314" s="79">
        <f t="shared" si="81"/>
        <v>259601.00145300862</v>
      </c>
      <c r="X314" s="44">
        <f t="shared" si="82"/>
        <v>261470.95415292628</v>
      </c>
      <c r="Y314" s="44" t="s">
        <v>2765</v>
      </c>
      <c r="Z314" s="44" t="str">
        <f t="shared" si="83"/>
        <v>No</v>
      </c>
      <c r="AA314" s="44" t="str">
        <f t="shared" si="83"/>
        <v>No</v>
      </c>
      <c r="AB314" s="44" t="str">
        <f t="shared" si="84"/>
        <v>No</v>
      </c>
      <c r="AC314" s="80">
        <f t="shared" si="91"/>
        <v>0</v>
      </c>
      <c r="AD314" s="80">
        <f t="shared" si="92"/>
        <v>0</v>
      </c>
      <c r="AE314" s="44">
        <f t="shared" si="85"/>
        <v>0</v>
      </c>
      <c r="AF314" s="44">
        <f t="shared" si="85"/>
        <v>0</v>
      </c>
      <c r="AG314" s="44">
        <f t="shared" si="86"/>
        <v>0</v>
      </c>
      <c r="AH314" s="46">
        <f>IF(Y314="No",0,IFERROR(ROUNDDOWN(INDEX('90% of ACR'!K:K,MATCH(H:H,'90% of ACR'!A:A,0))*IF(I314&gt;0,IF(O314&gt;0,$R$4*MAX(O314-V314,0),0),0)/I314,2),0))</f>
        <v>0</v>
      </c>
      <c r="AI314" s="80">
        <f>IF(Y314="No",0,IFERROR(ROUNDDOWN(INDEX('90% of ACR'!R:R,MATCH(H:H,'90% of ACR'!A:A,0))*IF(J314&gt;0,IF(P314&gt;0,$R$4*MAX(P314-W314,0),0),0)/J314,2),0))</f>
        <v>0</v>
      </c>
      <c r="AJ314" s="44">
        <f t="shared" si="87"/>
        <v>0</v>
      </c>
      <c r="AK314" s="44">
        <f t="shared" si="87"/>
        <v>0</v>
      </c>
      <c r="AL314" s="46">
        <f t="shared" si="88"/>
        <v>0.01</v>
      </c>
      <c r="AM314" s="46">
        <f t="shared" si="88"/>
        <v>0.3</v>
      </c>
      <c r="AN314" s="81">
        <f>IFERROR(INDEX(FeeCalc!P:P,MATCH(C314,FeeCalc!F:F,0)),0)</f>
        <v>261470.95415292628</v>
      </c>
      <c r="AO314" s="81">
        <f>IFERROR(INDEX(FeeCalc!S:S,MATCH(C314,FeeCalc!F:F,0)),0)</f>
        <v>16261.69990015047</v>
      </c>
      <c r="AP314" s="81">
        <f t="shared" si="89"/>
        <v>277732.65405307675</v>
      </c>
      <c r="AQ314" s="68">
        <f t="shared" si="90"/>
        <v>109302.24146789647</v>
      </c>
      <c r="AR314" s="68">
        <f>INDEX('IGT Commitment Suggestions'!H:H,MATCH(G314,'IGT Commitment Suggestions'!A:A,0))*AQ314</f>
        <v>50147.193815536746</v>
      </c>
    </row>
    <row r="315" spans="1:44">
      <c r="A315" s="103" t="s">
        <v>73</v>
      </c>
      <c r="B315" s="123" t="s">
        <v>73</v>
      </c>
      <c r="C315" s="30" t="s">
        <v>74</v>
      </c>
      <c r="D315" s="124" t="s">
        <v>74</v>
      </c>
      <c r="E315" s="119" t="s">
        <v>2915</v>
      </c>
      <c r="F315" s="99" t="s">
        <v>2295</v>
      </c>
      <c r="G315" s="99" t="s">
        <v>1548</v>
      </c>
      <c r="H315" s="42" t="str">
        <f t="shared" si="76"/>
        <v>Rural Nueces</v>
      </c>
      <c r="I315" s="44">
        <f>INDEX(FeeCalc!M:M,MATCH(C:C,FeeCalc!F:F,0))</f>
        <v>2096614.6710564727</v>
      </c>
      <c r="J315" s="44">
        <f>INDEX(FeeCalc!L:L,MATCH(C:C,FeeCalc!F:F,0))</f>
        <v>2762945.1959446017</v>
      </c>
      <c r="K315" s="44">
        <f t="shared" si="77"/>
        <v>4859559.8670010744</v>
      </c>
      <c r="L315" s="44">
        <v>520560.03</v>
      </c>
      <c r="M315" s="44">
        <v>855948.79</v>
      </c>
      <c r="N315" s="44">
        <f t="shared" si="78"/>
        <v>1376508.82</v>
      </c>
      <c r="O315" s="44">
        <v>732313.51108918968</v>
      </c>
      <c r="P315" s="44">
        <v>2312959.0821489962</v>
      </c>
      <c r="Q315" s="44">
        <f t="shared" si="79"/>
        <v>3045272.5932381861</v>
      </c>
      <c r="R315" s="44" t="str">
        <f t="shared" si="80"/>
        <v>Yes</v>
      </c>
      <c r="S315" s="45" t="str">
        <f t="shared" si="80"/>
        <v>Yes</v>
      </c>
      <c r="T315" s="46">
        <f>ROUND(INDEX(Summary!H:H,MATCH(H:H,Summary!A:A,0)),2)</f>
        <v>0.2</v>
      </c>
      <c r="U315" s="46">
        <f>ROUND(INDEX(Summary!I:I,MATCH(H:H,Summary!A:A,0)),2)</f>
        <v>0.14000000000000001</v>
      </c>
      <c r="V315" s="79">
        <f t="shared" si="81"/>
        <v>419322.93421129457</v>
      </c>
      <c r="W315" s="79">
        <f t="shared" si="81"/>
        <v>386812.32743224426</v>
      </c>
      <c r="X315" s="44">
        <f t="shared" si="82"/>
        <v>806135.26164353883</v>
      </c>
      <c r="Y315" s="44" t="s">
        <v>2765</v>
      </c>
      <c r="Z315" s="44" t="str">
        <f t="shared" si="83"/>
        <v>No</v>
      </c>
      <c r="AA315" s="44" t="str">
        <f t="shared" si="83"/>
        <v>Yes</v>
      </c>
      <c r="AB315" s="44" t="str">
        <f t="shared" si="84"/>
        <v>Yes</v>
      </c>
      <c r="AC315" s="80">
        <f t="shared" si="91"/>
        <v>0.1</v>
      </c>
      <c r="AD315" s="80">
        <f t="shared" si="92"/>
        <v>0.49</v>
      </c>
      <c r="AE315" s="44">
        <f t="shared" si="85"/>
        <v>209661.46710564729</v>
      </c>
      <c r="AF315" s="44">
        <f t="shared" si="85"/>
        <v>1353843.1460128548</v>
      </c>
      <c r="AG315" s="44">
        <f t="shared" si="86"/>
        <v>1563504.6131185021</v>
      </c>
      <c r="AH315" s="46">
        <f>IF(Y315="No",0,IFERROR(ROUNDDOWN(INDEX('90% of ACR'!K:K,MATCH(H:H,'90% of ACR'!A:A,0))*IF(I315&gt;0,IF(O315&gt;0,$R$4*MAX(O315-V315,0),0),0)/I315,2),0))</f>
        <v>0</v>
      </c>
      <c r="AI315" s="80">
        <f>IF(Y315="No",0,IFERROR(ROUNDDOWN(INDEX('90% of ACR'!R:R,MATCH(H:H,'90% of ACR'!A:A,0))*IF(J315&gt;0,IF(P315&gt;0,$R$4*MAX(P315-W315,0),0),0)/J315,2),0))</f>
        <v>0.48</v>
      </c>
      <c r="AJ315" s="44">
        <f t="shared" si="87"/>
        <v>0</v>
      </c>
      <c r="AK315" s="44">
        <f t="shared" si="87"/>
        <v>1326213.6940534087</v>
      </c>
      <c r="AL315" s="46">
        <f t="shared" si="88"/>
        <v>0.2</v>
      </c>
      <c r="AM315" s="46">
        <f t="shared" si="88"/>
        <v>0.62</v>
      </c>
      <c r="AN315" s="81">
        <f>IFERROR(INDEX(FeeCalc!P:P,MATCH(C315,FeeCalc!F:F,0)),0)</f>
        <v>2132348.9556969474</v>
      </c>
      <c r="AO315" s="81">
        <f>IFERROR(INDEX(FeeCalc!S:S,MATCH(C315,FeeCalc!F:F,0)),0)</f>
        <v>131701.80205093254</v>
      </c>
      <c r="AP315" s="81">
        <f t="shared" si="89"/>
        <v>2264050.7577478802</v>
      </c>
      <c r="AQ315" s="68">
        <f t="shared" si="90"/>
        <v>891021.70381319372</v>
      </c>
      <c r="AR315" s="68">
        <f>INDEX('IGT Commitment Suggestions'!H:H,MATCH(G315,'IGT Commitment Suggestions'!A:A,0))*AQ315</f>
        <v>407556.18181310903</v>
      </c>
    </row>
    <row r="316" spans="1:44">
      <c r="A316" s="103" t="s">
        <v>602</v>
      </c>
      <c r="B316" s="123" t="s">
        <v>602</v>
      </c>
      <c r="C316" s="30" t="s">
        <v>603</v>
      </c>
      <c r="D316" s="124" t="s">
        <v>603</v>
      </c>
      <c r="E316" s="119" t="s">
        <v>604</v>
      </c>
      <c r="F316" s="99" t="s">
        <v>2295</v>
      </c>
      <c r="G316" s="99" t="s">
        <v>1548</v>
      </c>
      <c r="H316" s="42" t="str">
        <f t="shared" si="76"/>
        <v>Rural Nueces</v>
      </c>
      <c r="I316" s="44">
        <f>INDEX(FeeCalc!M:M,MATCH(C:C,FeeCalc!F:F,0))</f>
        <v>2493128.1918677837</v>
      </c>
      <c r="J316" s="44">
        <f>INDEX(FeeCalc!L:L,MATCH(C:C,FeeCalc!F:F,0))</f>
        <v>2272668.1936219307</v>
      </c>
      <c r="K316" s="44">
        <f t="shared" si="77"/>
        <v>4765796.3854897143</v>
      </c>
      <c r="L316" s="44">
        <v>563647.49</v>
      </c>
      <c r="M316" s="44">
        <v>262154.69</v>
      </c>
      <c r="N316" s="44">
        <f t="shared" si="78"/>
        <v>825802.17999999993</v>
      </c>
      <c r="O316" s="44">
        <v>776988.04457095731</v>
      </c>
      <c r="P316" s="44">
        <v>1525268.0851417636</v>
      </c>
      <c r="Q316" s="44">
        <f t="shared" si="79"/>
        <v>2302256.1297127209</v>
      </c>
      <c r="R316" s="44" t="str">
        <f t="shared" si="80"/>
        <v>Yes</v>
      </c>
      <c r="S316" s="45" t="str">
        <f t="shared" si="80"/>
        <v>Yes</v>
      </c>
      <c r="T316" s="46">
        <f>ROUND(INDEX(Summary!H:H,MATCH(H:H,Summary!A:A,0)),2)</f>
        <v>0.2</v>
      </c>
      <c r="U316" s="46">
        <f>ROUND(INDEX(Summary!I:I,MATCH(H:H,Summary!A:A,0)),2)</f>
        <v>0.14000000000000001</v>
      </c>
      <c r="V316" s="79">
        <f t="shared" si="81"/>
        <v>498625.63837355678</v>
      </c>
      <c r="W316" s="79">
        <f t="shared" si="81"/>
        <v>318173.54710707034</v>
      </c>
      <c r="X316" s="44">
        <f t="shared" si="82"/>
        <v>816799.18548062711</v>
      </c>
      <c r="Y316" s="44" t="s">
        <v>2765</v>
      </c>
      <c r="Z316" s="44" t="str">
        <f t="shared" si="83"/>
        <v>No</v>
      </c>
      <c r="AA316" s="44" t="str">
        <f t="shared" si="83"/>
        <v>Yes</v>
      </c>
      <c r="AB316" s="44" t="str">
        <f t="shared" si="84"/>
        <v>Yes</v>
      </c>
      <c r="AC316" s="80">
        <f t="shared" si="91"/>
        <v>0.08</v>
      </c>
      <c r="AD316" s="80">
        <f t="shared" si="92"/>
        <v>0.37</v>
      </c>
      <c r="AE316" s="44">
        <f t="shared" si="85"/>
        <v>199450.25534942269</v>
      </c>
      <c r="AF316" s="44">
        <f t="shared" si="85"/>
        <v>840887.23164011433</v>
      </c>
      <c r="AG316" s="44">
        <f t="shared" si="86"/>
        <v>1040337.486989537</v>
      </c>
      <c r="AH316" s="46">
        <f>IF(Y316="No",0,IFERROR(ROUNDDOWN(INDEX('90% of ACR'!K:K,MATCH(H:H,'90% of ACR'!A:A,0))*IF(I316&gt;0,IF(O316&gt;0,$R$4*MAX(O316-V316,0),0),0)/I316,2),0))</f>
        <v>0</v>
      </c>
      <c r="AI316" s="80">
        <f>IF(Y316="No",0,IFERROR(ROUNDDOWN(INDEX('90% of ACR'!R:R,MATCH(H:H,'90% of ACR'!A:A,0))*IF(J316&gt;0,IF(P316&gt;0,$R$4*MAX(P316-W316,0),0),0)/J316,2),0))</f>
        <v>0.37</v>
      </c>
      <c r="AJ316" s="44">
        <f t="shared" si="87"/>
        <v>0</v>
      </c>
      <c r="AK316" s="44">
        <f t="shared" si="87"/>
        <v>840887.23164011433</v>
      </c>
      <c r="AL316" s="46">
        <f t="shared" si="88"/>
        <v>0.2</v>
      </c>
      <c r="AM316" s="46">
        <f t="shared" si="88"/>
        <v>0.51</v>
      </c>
      <c r="AN316" s="81">
        <f>IFERROR(INDEX(FeeCalc!P:P,MATCH(C316,FeeCalc!F:F,0)),0)</f>
        <v>1657686.4171207414</v>
      </c>
      <c r="AO316" s="81">
        <f>IFERROR(INDEX(FeeCalc!S:S,MATCH(C316,FeeCalc!F:F,0)),0)</f>
        <v>102018.12178872892</v>
      </c>
      <c r="AP316" s="81">
        <f t="shared" si="89"/>
        <v>1759704.5389094704</v>
      </c>
      <c r="AQ316" s="68">
        <f t="shared" si="90"/>
        <v>692535.24069689994</v>
      </c>
      <c r="AR316" s="68">
        <f>INDEX('IGT Commitment Suggestions'!H:H,MATCH(G316,'IGT Commitment Suggestions'!A:A,0))*AQ316</f>
        <v>316767.83770984912</v>
      </c>
    </row>
    <row r="317" spans="1:44">
      <c r="A317" s="103" t="s">
        <v>608</v>
      </c>
      <c r="B317" s="123" t="s">
        <v>608</v>
      </c>
      <c r="C317" s="30" t="s">
        <v>609</v>
      </c>
      <c r="D317" s="124" t="s">
        <v>609</v>
      </c>
      <c r="E317" s="119" t="s">
        <v>2916</v>
      </c>
      <c r="F317" s="99" t="s">
        <v>2295</v>
      </c>
      <c r="G317" s="99" t="s">
        <v>1548</v>
      </c>
      <c r="H317" s="42" t="str">
        <f t="shared" si="76"/>
        <v>Rural Nueces</v>
      </c>
      <c r="I317" s="44">
        <f>INDEX(FeeCalc!M:M,MATCH(C:C,FeeCalc!F:F,0))</f>
        <v>2618786.9325730237</v>
      </c>
      <c r="J317" s="44">
        <f>INDEX(FeeCalc!L:L,MATCH(C:C,FeeCalc!F:F,0))</f>
        <v>1919478.124525062</v>
      </c>
      <c r="K317" s="44">
        <f t="shared" si="77"/>
        <v>4538265.057098086</v>
      </c>
      <c r="L317" s="44">
        <v>283787.64</v>
      </c>
      <c r="M317" s="44">
        <v>311466.46999999997</v>
      </c>
      <c r="N317" s="44">
        <f t="shared" si="78"/>
        <v>595254.11</v>
      </c>
      <c r="O317" s="44">
        <v>814844.33280566707</v>
      </c>
      <c r="P317" s="44">
        <v>1678863.8264892774</v>
      </c>
      <c r="Q317" s="44">
        <f t="shared" si="79"/>
        <v>2493708.1592949443</v>
      </c>
      <c r="R317" s="44" t="str">
        <f t="shared" si="80"/>
        <v>Yes</v>
      </c>
      <c r="S317" s="45" t="str">
        <f t="shared" si="80"/>
        <v>Yes</v>
      </c>
      <c r="T317" s="46">
        <f>ROUND(INDEX(Summary!H:H,MATCH(H:H,Summary!A:A,0)),2)</f>
        <v>0.2</v>
      </c>
      <c r="U317" s="46">
        <f>ROUND(INDEX(Summary!I:I,MATCH(H:H,Summary!A:A,0)),2)</f>
        <v>0.14000000000000001</v>
      </c>
      <c r="V317" s="79">
        <f t="shared" si="81"/>
        <v>523757.38651460479</v>
      </c>
      <c r="W317" s="79">
        <f t="shared" si="81"/>
        <v>268726.93743350869</v>
      </c>
      <c r="X317" s="44">
        <f t="shared" si="82"/>
        <v>792484.32394811348</v>
      </c>
      <c r="Y317" s="44" t="s">
        <v>2765</v>
      </c>
      <c r="Z317" s="44" t="str">
        <f t="shared" si="83"/>
        <v>No</v>
      </c>
      <c r="AA317" s="44" t="str">
        <f t="shared" si="83"/>
        <v>Yes</v>
      </c>
      <c r="AB317" s="44" t="str">
        <f t="shared" si="84"/>
        <v>Yes</v>
      </c>
      <c r="AC317" s="80">
        <f t="shared" si="91"/>
        <v>0.08</v>
      </c>
      <c r="AD317" s="80">
        <f t="shared" si="92"/>
        <v>0.51</v>
      </c>
      <c r="AE317" s="44">
        <f t="shared" si="85"/>
        <v>209502.95460584189</v>
      </c>
      <c r="AF317" s="44">
        <f t="shared" si="85"/>
        <v>978933.84350778162</v>
      </c>
      <c r="AG317" s="44">
        <f t="shared" si="86"/>
        <v>1188436.7981136236</v>
      </c>
      <c r="AH317" s="46">
        <f>IF(Y317="No",0,IFERROR(ROUNDDOWN(INDEX('90% of ACR'!K:K,MATCH(H:H,'90% of ACR'!A:A,0))*IF(I317&gt;0,IF(O317&gt;0,$R$4*MAX(O317-V317,0),0),0)/I317,2),0))</f>
        <v>0</v>
      </c>
      <c r="AI317" s="80">
        <f>IF(Y317="No",0,IFERROR(ROUNDDOWN(INDEX('90% of ACR'!R:R,MATCH(H:H,'90% of ACR'!A:A,0))*IF(J317&gt;0,IF(P317&gt;0,$R$4*MAX(P317-W317,0),0),0)/J317,2),0))</f>
        <v>0.51</v>
      </c>
      <c r="AJ317" s="44">
        <f t="shared" si="87"/>
        <v>0</v>
      </c>
      <c r="AK317" s="44">
        <f t="shared" si="87"/>
        <v>978933.84350778162</v>
      </c>
      <c r="AL317" s="46">
        <f t="shared" si="88"/>
        <v>0.2</v>
      </c>
      <c r="AM317" s="46">
        <f t="shared" si="88"/>
        <v>0.65</v>
      </c>
      <c r="AN317" s="81">
        <f>IFERROR(INDEX(FeeCalc!P:P,MATCH(C317,FeeCalc!F:F,0)),0)</f>
        <v>1771418.1674558951</v>
      </c>
      <c r="AO317" s="81">
        <f>IFERROR(INDEX(FeeCalc!S:S,MATCH(C317,FeeCalc!F:F,0)),0)</f>
        <v>109186.5376170893</v>
      </c>
      <c r="AP317" s="81">
        <f t="shared" si="89"/>
        <v>1880604.7050729843</v>
      </c>
      <c r="AQ317" s="68">
        <f t="shared" si="90"/>
        <v>740115.74289088312</v>
      </c>
      <c r="AR317" s="68">
        <f>INDEX('IGT Commitment Suggestions'!H:H,MATCH(G317,'IGT Commitment Suggestions'!A:A,0))*AQ317</f>
        <v>338531.31184290524</v>
      </c>
    </row>
    <row r="318" spans="1:44">
      <c r="A318" s="103" t="s">
        <v>1555</v>
      </c>
      <c r="B318" s="123" t="s">
        <v>1555</v>
      </c>
      <c r="C318" s="30" t="s">
        <v>1712</v>
      </c>
      <c r="D318" s="124" t="s">
        <v>1712</v>
      </c>
      <c r="E318" s="119" t="s">
        <v>2917</v>
      </c>
      <c r="F318" s="99" t="s">
        <v>2283</v>
      </c>
      <c r="G318" s="99" t="s">
        <v>1548</v>
      </c>
      <c r="H318" s="42" t="str">
        <f t="shared" si="76"/>
        <v>Urban Nueces</v>
      </c>
      <c r="I318" s="44">
        <f>INDEX(FeeCalc!M:M,MATCH(C:C,FeeCalc!F:F,0))</f>
        <v>21352541.062531468</v>
      </c>
      <c r="J318" s="44">
        <f>INDEX(FeeCalc!L:L,MATCH(C:C,FeeCalc!F:F,0))</f>
        <v>9630841.0725337211</v>
      </c>
      <c r="K318" s="44">
        <f t="shared" si="77"/>
        <v>30983382.13506519</v>
      </c>
      <c r="L318" s="44">
        <v>-1466446.19</v>
      </c>
      <c r="M318" s="44">
        <v>7256652.0199999996</v>
      </c>
      <c r="N318" s="44">
        <f t="shared" si="78"/>
        <v>5790205.8300000001</v>
      </c>
      <c r="O318" s="44">
        <v>16617121.253670894</v>
      </c>
      <c r="P318" s="44">
        <v>9713202.9597727619</v>
      </c>
      <c r="Q318" s="44">
        <f t="shared" si="79"/>
        <v>26330324.213443656</v>
      </c>
      <c r="R318" s="44" t="str">
        <f t="shared" si="80"/>
        <v>Yes</v>
      </c>
      <c r="S318" s="45" t="str">
        <f t="shared" si="80"/>
        <v>Yes</v>
      </c>
      <c r="T318" s="46">
        <f>ROUND(INDEX(Summary!H:H,MATCH(H:H,Summary!A:A,0)),2)</f>
        <v>0.33</v>
      </c>
      <c r="U318" s="46">
        <f>ROUND(INDEX(Summary!I:I,MATCH(H:H,Summary!A:A,0)),2)</f>
        <v>0.74</v>
      </c>
      <c r="V318" s="79">
        <f t="shared" si="81"/>
        <v>7046338.5506353844</v>
      </c>
      <c r="W318" s="79">
        <f t="shared" si="81"/>
        <v>7126822.3936749538</v>
      </c>
      <c r="X318" s="44">
        <f t="shared" si="82"/>
        <v>14173160.944310337</v>
      </c>
      <c r="Y318" s="44" t="s">
        <v>2765</v>
      </c>
      <c r="Z318" s="44" t="str">
        <f t="shared" si="83"/>
        <v>Yes</v>
      </c>
      <c r="AA318" s="44" t="str">
        <f t="shared" si="83"/>
        <v>Yes</v>
      </c>
      <c r="AB318" s="44" t="str">
        <f t="shared" si="84"/>
        <v>Yes</v>
      </c>
      <c r="AC318" s="80">
        <f t="shared" si="91"/>
        <v>0.31</v>
      </c>
      <c r="AD318" s="80">
        <f t="shared" si="92"/>
        <v>0.19</v>
      </c>
      <c r="AE318" s="44">
        <f t="shared" si="85"/>
        <v>6619287.7293847548</v>
      </c>
      <c r="AF318" s="44">
        <f t="shared" si="85"/>
        <v>1829859.803781407</v>
      </c>
      <c r="AG318" s="44">
        <f t="shared" si="86"/>
        <v>8449147.5331661627</v>
      </c>
      <c r="AH318" s="46">
        <f>IF(Y318="No",0,IFERROR(ROUNDDOWN(INDEX('90% of ACR'!K:K,MATCH(H:H,'90% of ACR'!A:A,0))*IF(I318&gt;0,IF(O318&gt;0,$R$4*MAX(O318-V318,0),0),0)/I318,2),0))</f>
        <v>0.31</v>
      </c>
      <c r="AI318" s="80">
        <f>IF(Y318="No",0,IFERROR(ROUNDDOWN(INDEX('90% of ACR'!R:R,MATCH(H:H,'90% of ACR'!A:A,0))*IF(J318&gt;0,IF(P318&gt;0,$R$4*MAX(P318-W318,0),0),0)/J318,2),0))</f>
        <v>0.16</v>
      </c>
      <c r="AJ318" s="44">
        <f t="shared" si="87"/>
        <v>6619287.7293847548</v>
      </c>
      <c r="AK318" s="44">
        <f t="shared" si="87"/>
        <v>1540934.5716053953</v>
      </c>
      <c r="AL318" s="46">
        <f t="shared" si="88"/>
        <v>0.64</v>
      </c>
      <c r="AM318" s="46">
        <f t="shared" si="88"/>
        <v>0.9</v>
      </c>
      <c r="AN318" s="81">
        <f>IFERROR(INDEX(FeeCalc!P:P,MATCH(C318,FeeCalc!F:F,0)),0)</f>
        <v>22333383.245300487</v>
      </c>
      <c r="AO318" s="81">
        <f>IFERROR(INDEX(FeeCalc!S:S,MATCH(C318,FeeCalc!F:F,0)),0)</f>
        <v>1395426.2310744938</v>
      </c>
      <c r="AP318" s="81">
        <f t="shared" si="89"/>
        <v>23728809.47637498</v>
      </c>
      <c r="AQ318" s="68">
        <f t="shared" si="90"/>
        <v>9338520.4270463269</v>
      </c>
      <c r="AR318" s="68">
        <f>INDEX('IGT Commitment Suggestions'!H:H,MATCH(G318,'IGT Commitment Suggestions'!A:A,0))*AQ318</f>
        <v>4271469.1603389522</v>
      </c>
    </row>
    <row r="319" spans="1:44">
      <c r="A319" s="103" t="s">
        <v>61</v>
      </c>
      <c r="B319" s="123" t="s">
        <v>61</v>
      </c>
      <c r="C319" s="30" t="s">
        <v>62</v>
      </c>
      <c r="D319" s="124" t="s">
        <v>62</v>
      </c>
      <c r="E319" s="119" t="s">
        <v>2918</v>
      </c>
      <c r="F319" s="99" t="s">
        <v>2283</v>
      </c>
      <c r="G319" s="99" t="s">
        <v>487</v>
      </c>
      <c r="H319" s="42" t="str">
        <f t="shared" si="76"/>
        <v>Urban Bexar</v>
      </c>
      <c r="I319" s="44">
        <f>INDEX(FeeCalc!M:M,MATCH(C:C,FeeCalc!F:F,0))</f>
        <v>10313016.592139095</v>
      </c>
      <c r="J319" s="44">
        <f>INDEX(FeeCalc!L:L,MATCH(C:C,FeeCalc!F:F,0))</f>
        <v>6216925.6600996219</v>
      </c>
      <c r="K319" s="44">
        <f t="shared" si="77"/>
        <v>16529942.252238717</v>
      </c>
      <c r="L319" s="44">
        <v>9060437.5800000001</v>
      </c>
      <c r="M319" s="44">
        <v>4257171.63</v>
      </c>
      <c r="N319" s="44">
        <f t="shared" si="78"/>
        <v>13317609.210000001</v>
      </c>
      <c r="O319" s="44">
        <v>17518732.115383565</v>
      </c>
      <c r="P319" s="44">
        <v>8381607.3462024471</v>
      </c>
      <c r="Q319" s="44">
        <f t="shared" si="79"/>
        <v>25900339.461586013</v>
      </c>
      <c r="R319" s="44" t="str">
        <f t="shared" si="80"/>
        <v>Yes</v>
      </c>
      <c r="S319" s="45" t="str">
        <f t="shared" si="80"/>
        <v>Yes</v>
      </c>
      <c r="T319" s="46">
        <f>ROUND(INDEX(Summary!H:H,MATCH(H:H,Summary!A:A,0)),2)</f>
        <v>0.44</v>
      </c>
      <c r="U319" s="46">
        <f>ROUND(INDEX(Summary!I:I,MATCH(H:H,Summary!A:A,0)),2)</f>
        <v>0.49</v>
      </c>
      <c r="V319" s="79">
        <f t="shared" si="81"/>
        <v>4537727.3005412016</v>
      </c>
      <c r="W319" s="79">
        <f t="shared" si="81"/>
        <v>3046293.5734488145</v>
      </c>
      <c r="X319" s="44">
        <f t="shared" si="82"/>
        <v>7584020.8739900161</v>
      </c>
      <c r="Y319" s="44" t="s">
        <v>2765</v>
      </c>
      <c r="Z319" s="44" t="str">
        <f t="shared" si="83"/>
        <v>Yes</v>
      </c>
      <c r="AA319" s="44" t="str">
        <f t="shared" si="83"/>
        <v>Yes</v>
      </c>
      <c r="AB319" s="44" t="str">
        <f t="shared" si="84"/>
        <v>Yes</v>
      </c>
      <c r="AC319" s="80">
        <f t="shared" si="91"/>
        <v>0.88</v>
      </c>
      <c r="AD319" s="80">
        <f t="shared" si="92"/>
        <v>0.6</v>
      </c>
      <c r="AE319" s="44">
        <f t="shared" si="85"/>
        <v>9075454.6010824032</v>
      </c>
      <c r="AF319" s="44">
        <f t="shared" si="85"/>
        <v>3730155.3960597729</v>
      </c>
      <c r="AG319" s="44">
        <f t="shared" si="86"/>
        <v>12805609.997142177</v>
      </c>
      <c r="AH319" s="46">
        <f>IF(Y319="No",0,IFERROR(ROUNDDOWN(INDEX('90% of ACR'!K:K,MATCH(H:H,'90% of ACR'!A:A,0))*IF(I319&gt;0,IF(O319&gt;0,$R$4*MAX(O319-V319,0),0),0)/I319,2),0))</f>
        <v>0.77</v>
      </c>
      <c r="AI319" s="80">
        <f>IF(Y319="No",0,IFERROR(ROUNDDOWN(INDEX('90% of ACR'!R:R,MATCH(H:H,'90% of ACR'!A:A,0))*IF(J319&gt;0,IF(P319&gt;0,$R$4*MAX(P319-W319,0),0),0)/J319,2),0))</f>
        <v>0.39</v>
      </c>
      <c r="AJ319" s="44">
        <f t="shared" si="87"/>
        <v>7941022.7759471033</v>
      </c>
      <c r="AK319" s="44">
        <f t="shared" si="87"/>
        <v>2424601.0074388525</v>
      </c>
      <c r="AL319" s="46">
        <f t="shared" si="88"/>
        <v>1.21</v>
      </c>
      <c r="AM319" s="46">
        <f t="shared" si="88"/>
        <v>0.88</v>
      </c>
      <c r="AN319" s="81">
        <f>IFERROR(INDEX(FeeCalc!P:P,MATCH(C319,FeeCalc!F:F,0)),0)</f>
        <v>17949644.657375973</v>
      </c>
      <c r="AO319" s="81">
        <f>IFERROR(INDEX(FeeCalc!S:S,MATCH(C319,FeeCalc!F:F,0)),0)</f>
        <v>1114408.7038718699</v>
      </c>
      <c r="AP319" s="81">
        <f t="shared" si="89"/>
        <v>19064053.361247841</v>
      </c>
      <c r="AQ319" s="68">
        <f t="shared" si="90"/>
        <v>7502696.3284258107</v>
      </c>
      <c r="AR319" s="68">
        <f>INDEX('IGT Commitment Suggestions'!H:H,MATCH(G319,'IGT Commitment Suggestions'!A:A,0))*AQ319</f>
        <v>3458354.4700662461</v>
      </c>
    </row>
    <row r="320" spans="1:44">
      <c r="A320" s="103" t="s">
        <v>70</v>
      </c>
      <c r="B320" s="123" t="s">
        <v>70</v>
      </c>
      <c r="C320" s="30" t="s">
        <v>71</v>
      </c>
      <c r="D320" s="124" t="s">
        <v>71</v>
      </c>
      <c r="E320" s="119" t="s">
        <v>2919</v>
      </c>
      <c r="F320" s="99" t="s">
        <v>1547</v>
      </c>
      <c r="G320" s="99" t="s">
        <v>487</v>
      </c>
      <c r="H320" s="42" t="str">
        <f t="shared" si="76"/>
        <v>Children's Bexar</v>
      </c>
      <c r="I320" s="44">
        <f>INDEX(FeeCalc!M:M,MATCH(C:C,FeeCalc!F:F,0))</f>
        <v>69885305.598550573</v>
      </c>
      <c r="J320" s="44">
        <f>INDEX(FeeCalc!L:L,MATCH(C:C,FeeCalc!F:F,0))</f>
        <v>26831171.658728022</v>
      </c>
      <c r="K320" s="44">
        <f t="shared" si="77"/>
        <v>96716477.257278591</v>
      </c>
      <c r="L320" s="44">
        <v>20087868.800000001</v>
      </c>
      <c r="M320" s="44">
        <v>13202818.75</v>
      </c>
      <c r="N320" s="44">
        <f t="shared" si="78"/>
        <v>33290687.550000001</v>
      </c>
      <c r="O320" s="44">
        <v>65685115.251137175</v>
      </c>
      <c r="P320" s="44">
        <v>38640943.660023317</v>
      </c>
      <c r="Q320" s="44">
        <f t="shared" si="79"/>
        <v>104326058.9111605</v>
      </c>
      <c r="R320" s="44" t="str">
        <f t="shared" si="80"/>
        <v>Yes</v>
      </c>
      <c r="S320" s="45" t="str">
        <f t="shared" si="80"/>
        <v>Yes</v>
      </c>
      <c r="T320" s="46">
        <f>ROUND(INDEX(Summary!H:H,MATCH(H:H,Summary!A:A,0)),2)</f>
        <v>0.28999999999999998</v>
      </c>
      <c r="U320" s="46">
        <f>ROUND(INDEX(Summary!I:I,MATCH(H:H,Summary!A:A,0)),2)</f>
        <v>0.49</v>
      </c>
      <c r="V320" s="79">
        <f t="shared" si="81"/>
        <v>20266738.623579666</v>
      </c>
      <c r="W320" s="79">
        <f t="shared" si="81"/>
        <v>13147274.11277673</v>
      </c>
      <c r="X320" s="44">
        <f t="shared" si="82"/>
        <v>33414012.736356396</v>
      </c>
      <c r="Y320" s="44" t="s">
        <v>2765</v>
      </c>
      <c r="Z320" s="44" t="str">
        <f t="shared" si="83"/>
        <v>Yes</v>
      </c>
      <c r="AA320" s="44" t="str">
        <f t="shared" si="83"/>
        <v>Yes</v>
      </c>
      <c r="AB320" s="44" t="str">
        <f t="shared" si="84"/>
        <v>Yes</v>
      </c>
      <c r="AC320" s="80">
        <f t="shared" si="91"/>
        <v>0.45</v>
      </c>
      <c r="AD320" s="80">
        <f t="shared" si="92"/>
        <v>0.66</v>
      </c>
      <c r="AE320" s="44">
        <f t="shared" si="85"/>
        <v>31448387.519347757</v>
      </c>
      <c r="AF320" s="44">
        <f t="shared" si="85"/>
        <v>17708573.294760495</v>
      </c>
      <c r="AG320" s="44">
        <f t="shared" si="86"/>
        <v>49156960.814108253</v>
      </c>
      <c r="AH320" s="46">
        <f>IF(Y320="No",0,IFERROR(ROUNDDOWN(INDEX('90% of ACR'!K:K,MATCH(H:H,'90% of ACR'!A:A,0))*IF(I320&gt;0,IF(O320&gt;0,$R$4*MAX(O320-V320,0),0),0)/I320,2),0))</f>
        <v>0.45</v>
      </c>
      <c r="AI320" s="80">
        <f>IF(Y320="No",0,IFERROR(ROUNDDOWN(INDEX('90% of ACR'!R:R,MATCH(H:H,'90% of ACR'!A:A,0))*IF(J320&gt;0,IF(P320&gt;0,$R$4*MAX(P320-W320,0),0),0)/J320,2),0))</f>
        <v>0.66</v>
      </c>
      <c r="AJ320" s="44">
        <f t="shared" si="87"/>
        <v>31448387.519347757</v>
      </c>
      <c r="AK320" s="44">
        <f t="shared" si="87"/>
        <v>17708573.294760495</v>
      </c>
      <c r="AL320" s="46">
        <f t="shared" si="88"/>
        <v>0.74</v>
      </c>
      <c r="AM320" s="46">
        <f t="shared" si="88"/>
        <v>1.1499999999999999</v>
      </c>
      <c r="AN320" s="81">
        <f>IFERROR(INDEX(FeeCalc!P:P,MATCH(C320,FeeCalc!F:F,0)),0)</f>
        <v>82570973.550464645</v>
      </c>
      <c r="AO320" s="81">
        <f>IFERROR(INDEX(FeeCalc!S:S,MATCH(C320,FeeCalc!F:F,0)),0)</f>
        <v>5038112.395752823</v>
      </c>
      <c r="AP320" s="81">
        <f t="shared" si="89"/>
        <v>87609085.946217462</v>
      </c>
      <c r="AQ320" s="68">
        <f t="shared" si="90"/>
        <v>34478730.992305778</v>
      </c>
      <c r="AR320" s="68">
        <f>INDEX('IGT Commitment Suggestions'!H:H,MATCH(G320,'IGT Commitment Suggestions'!A:A,0))*AQ320</f>
        <v>15892909.459454391</v>
      </c>
    </row>
    <row r="321" spans="1:44">
      <c r="A321" s="103" t="s">
        <v>596</v>
      </c>
      <c r="B321" s="123" t="s">
        <v>596</v>
      </c>
      <c r="C321" s="30" t="s">
        <v>597</v>
      </c>
      <c r="D321" s="124" t="s">
        <v>597</v>
      </c>
      <c r="E321" s="119" t="s">
        <v>2920</v>
      </c>
      <c r="F321" s="99" t="s">
        <v>2295</v>
      </c>
      <c r="G321" s="99" t="s">
        <v>310</v>
      </c>
      <c r="H321" s="42" t="str">
        <f t="shared" si="76"/>
        <v>Rural MRSA Northeast</v>
      </c>
      <c r="I321" s="44">
        <f>INDEX(FeeCalc!M:M,MATCH(C:C,FeeCalc!F:F,0))</f>
        <v>3329674.4182285145</v>
      </c>
      <c r="J321" s="44">
        <f>INDEX(FeeCalc!L:L,MATCH(C:C,FeeCalc!F:F,0))</f>
        <v>2615626.1111463774</v>
      </c>
      <c r="K321" s="44">
        <f t="shared" si="77"/>
        <v>5945300.5293748919</v>
      </c>
      <c r="L321" s="44">
        <v>-176381.33</v>
      </c>
      <c r="M321" s="44">
        <v>559372.82999999996</v>
      </c>
      <c r="N321" s="44">
        <f t="shared" si="78"/>
        <v>382991.5</v>
      </c>
      <c r="O321" s="44">
        <v>2824175.5380978077</v>
      </c>
      <c r="P321" s="44">
        <v>2017967.8276866262</v>
      </c>
      <c r="Q321" s="44">
        <f t="shared" si="79"/>
        <v>4842143.3657844337</v>
      </c>
      <c r="R321" s="44" t="str">
        <f t="shared" si="80"/>
        <v>Yes</v>
      </c>
      <c r="S321" s="45" t="str">
        <f t="shared" si="80"/>
        <v>Yes</v>
      </c>
      <c r="T321" s="46">
        <f>ROUND(INDEX(Summary!H:H,MATCH(H:H,Summary!A:A,0)),2)</f>
        <v>0</v>
      </c>
      <c r="U321" s="46">
        <f>ROUND(INDEX(Summary!I:I,MATCH(H:H,Summary!A:A,0)),2)</f>
        <v>0.32</v>
      </c>
      <c r="V321" s="79">
        <f t="shared" si="81"/>
        <v>0</v>
      </c>
      <c r="W321" s="79">
        <f t="shared" si="81"/>
        <v>837000.35556684074</v>
      </c>
      <c r="X321" s="44">
        <f t="shared" si="82"/>
        <v>837000.35556684074</v>
      </c>
      <c r="Y321" s="44" t="s">
        <v>2765</v>
      </c>
      <c r="Z321" s="44" t="str">
        <f t="shared" si="83"/>
        <v>Yes</v>
      </c>
      <c r="AA321" s="44" t="str">
        <f t="shared" si="83"/>
        <v>Yes</v>
      </c>
      <c r="AB321" s="44" t="str">
        <f t="shared" si="84"/>
        <v>Yes</v>
      </c>
      <c r="AC321" s="80">
        <f t="shared" si="91"/>
        <v>0.59</v>
      </c>
      <c r="AD321" s="80">
        <f t="shared" si="92"/>
        <v>0.31</v>
      </c>
      <c r="AE321" s="44">
        <f t="shared" si="85"/>
        <v>1964507.9067548234</v>
      </c>
      <c r="AF321" s="44">
        <f t="shared" si="85"/>
        <v>810844.09445537697</v>
      </c>
      <c r="AG321" s="44">
        <f t="shared" si="86"/>
        <v>2775352.0012102006</v>
      </c>
      <c r="AH321" s="46">
        <f>IF(Y321="No",0,IFERROR(ROUNDDOWN(INDEX('90% of ACR'!K:K,MATCH(H:H,'90% of ACR'!A:A,0))*IF(I321&gt;0,IF(O321&gt;0,$R$4*MAX(O321-V321,0),0),0)/I321,2),0))</f>
        <v>0.4</v>
      </c>
      <c r="AI321" s="80">
        <f>IF(Y321="No",0,IFERROR(ROUNDDOWN(INDEX('90% of ACR'!R:R,MATCH(H:H,'90% of ACR'!A:A,0))*IF(J321&gt;0,IF(P321&gt;0,$R$4*MAX(P321-W321,0),0),0)/J321,2),0))</f>
        <v>0.31</v>
      </c>
      <c r="AJ321" s="44">
        <f t="shared" si="87"/>
        <v>1331869.7672914059</v>
      </c>
      <c r="AK321" s="44">
        <f t="shared" si="87"/>
        <v>810844.09445537697</v>
      </c>
      <c r="AL321" s="46">
        <f t="shared" si="88"/>
        <v>0.4</v>
      </c>
      <c r="AM321" s="46">
        <f t="shared" si="88"/>
        <v>0.63</v>
      </c>
      <c r="AN321" s="81">
        <f>IFERROR(INDEX(FeeCalc!P:P,MATCH(C321,FeeCalc!F:F,0)),0)</f>
        <v>2979714.217313624</v>
      </c>
      <c r="AO321" s="81">
        <f>IFERROR(INDEX(FeeCalc!S:S,MATCH(C321,FeeCalc!F:F,0)),0)</f>
        <v>183582.85963498492</v>
      </c>
      <c r="AP321" s="81">
        <f t="shared" si="89"/>
        <v>3163297.0769486087</v>
      </c>
      <c r="AQ321" s="68">
        <f t="shared" si="90"/>
        <v>1244921.8912272791</v>
      </c>
      <c r="AR321" s="68">
        <f>INDEX('IGT Commitment Suggestions'!H:H,MATCH(G321,'IGT Commitment Suggestions'!A:A,0))*AQ321</f>
        <v>570182.21998085431</v>
      </c>
    </row>
    <row r="322" spans="1:44">
      <c r="A322" s="103" t="s">
        <v>288</v>
      </c>
      <c r="B322" s="123" t="s">
        <v>288</v>
      </c>
      <c r="C322" s="30" t="s">
        <v>289</v>
      </c>
      <c r="D322" s="124" t="s">
        <v>289</v>
      </c>
      <c r="E322" s="119" t="s">
        <v>2921</v>
      </c>
      <c r="F322" s="99" t="s">
        <v>2295</v>
      </c>
      <c r="G322" s="99" t="s">
        <v>310</v>
      </c>
      <c r="H322" s="42" t="str">
        <f t="shared" si="76"/>
        <v>Rural MRSA Northeast</v>
      </c>
      <c r="I322" s="44">
        <f>INDEX(FeeCalc!M:M,MATCH(C:C,FeeCalc!F:F,0))</f>
        <v>491679.21428633016</v>
      </c>
      <c r="J322" s="44">
        <f>INDEX(FeeCalc!L:L,MATCH(C:C,FeeCalc!F:F,0))</f>
        <v>1371280.9844196464</v>
      </c>
      <c r="K322" s="44">
        <f t="shared" si="77"/>
        <v>1862960.1987059766</v>
      </c>
      <c r="L322" s="44">
        <v>1412.77</v>
      </c>
      <c r="M322" s="44">
        <v>-617703.16</v>
      </c>
      <c r="N322" s="44">
        <f t="shared" si="78"/>
        <v>-616290.39</v>
      </c>
      <c r="O322" s="44">
        <v>4627.0285129379899</v>
      </c>
      <c r="P322" s="44">
        <v>1025829.9881393221</v>
      </c>
      <c r="Q322" s="44">
        <f t="shared" si="79"/>
        <v>1030457.0166522601</v>
      </c>
      <c r="R322" s="44" t="str">
        <f t="shared" si="80"/>
        <v>Yes</v>
      </c>
      <c r="S322" s="45" t="str">
        <f t="shared" si="80"/>
        <v>Yes</v>
      </c>
      <c r="T322" s="46">
        <f>ROUND(INDEX(Summary!H:H,MATCH(H:H,Summary!A:A,0)),2)</f>
        <v>0</v>
      </c>
      <c r="U322" s="46">
        <f>ROUND(INDEX(Summary!I:I,MATCH(H:H,Summary!A:A,0)),2)</f>
        <v>0.32</v>
      </c>
      <c r="V322" s="79">
        <f t="shared" si="81"/>
        <v>0</v>
      </c>
      <c r="W322" s="79">
        <f t="shared" si="81"/>
        <v>438809.91501428687</v>
      </c>
      <c r="X322" s="44">
        <f t="shared" si="82"/>
        <v>438809.91501428687</v>
      </c>
      <c r="Y322" s="44" t="s">
        <v>2765</v>
      </c>
      <c r="Z322" s="44" t="str">
        <f t="shared" si="83"/>
        <v>No</v>
      </c>
      <c r="AA322" s="44" t="str">
        <f t="shared" si="83"/>
        <v>Yes</v>
      </c>
      <c r="AB322" s="44" t="str">
        <f t="shared" si="84"/>
        <v>Yes</v>
      </c>
      <c r="AC322" s="80">
        <f t="shared" si="91"/>
        <v>0.01</v>
      </c>
      <c r="AD322" s="80">
        <f t="shared" si="92"/>
        <v>0.3</v>
      </c>
      <c r="AE322" s="44">
        <f t="shared" si="85"/>
        <v>4916.7921428633017</v>
      </c>
      <c r="AF322" s="44">
        <f t="shared" si="85"/>
        <v>411384.29532589391</v>
      </c>
      <c r="AG322" s="44">
        <f t="shared" si="86"/>
        <v>416301.08746875724</v>
      </c>
      <c r="AH322" s="46">
        <f>IF(Y322="No",0,IFERROR(ROUNDDOWN(INDEX('90% of ACR'!K:K,MATCH(H:H,'90% of ACR'!A:A,0))*IF(I322&gt;0,IF(O322&gt;0,$R$4*MAX(O322-V322,0),0),0)/I322,2),0))</f>
        <v>0</v>
      </c>
      <c r="AI322" s="80">
        <f>IF(Y322="No",0,IFERROR(ROUNDDOWN(INDEX('90% of ACR'!R:R,MATCH(H:H,'90% of ACR'!A:A,0))*IF(J322&gt;0,IF(P322&gt;0,$R$4*MAX(P322-W322,0),0),0)/J322,2),0))</f>
        <v>0.28999999999999998</v>
      </c>
      <c r="AJ322" s="44">
        <f t="shared" si="87"/>
        <v>0</v>
      </c>
      <c r="AK322" s="44">
        <f t="shared" si="87"/>
        <v>397671.48548169743</v>
      </c>
      <c r="AL322" s="46">
        <f t="shared" si="88"/>
        <v>0</v>
      </c>
      <c r="AM322" s="46">
        <f t="shared" si="88"/>
        <v>0.61</v>
      </c>
      <c r="AN322" s="81">
        <f>IFERROR(INDEX(FeeCalc!P:P,MATCH(C322,FeeCalc!F:F,0)),0)</f>
        <v>836481.40049598436</v>
      </c>
      <c r="AO322" s="81">
        <f>IFERROR(INDEX(FeeCalc!S:S,MATCH(C322,FeeCalc!F:F,0)),0)</f>
        <v>51515.7999729359</v>
      </c>
      <c r="AP322" s="81">
        <f t="shared" si="89"/>
        <v>887997.20046892029</v>
      </c>
      <c r="AQ322" s="68">
        <f t="shared" si="90"/>
        <v>349473.07423894451</v>
      </c>
      <c r="AR322" s="68">
        <f>INDEX('IGT Commitment Suggestions'!H:H,MATCH(G322,'IGT Commitment Suggestions'!A:A,0))*AQ322</f>
        <v>160060.91201164105</v>
      </c>
    </row>
    <row r="323" spans="1:44">
      <c r="A323" s="103" t="s">
        <v>901</v>
      </c>
      <c r="B323" s="123" t="s">
        <v>901</v>
      </c>
      <c r="C323" s="30" t="s">
        <v>902</v>
      </c>
      <c r="D323" s="124" t="s">
        <v>902</v>
      </c>
      <c r="E323" s="119" t="s">
        <v>2922</v>
      </c>
      <c r="F323" s="99" t="s">
        <v>2295</v>
      </c>
      <c r="G323" s="99" t="s">
        <v>310</v>
      </c>
      <c r="H323" s="42" t="str">
        <f t="shared" si="76"/>
        <v>Rural MRSA Northeast</v>
      </c>
      <c r="I323" s="44">
        <f>INDEX(FeeCalc!M:M,MATCH(C:C,FeeCalc!F:F,0))</f>
        <v>21533.781948554002</v>
      </c>
      <c r="J323" s="44">
        <f>INDEX(FeeCalc!L:L,MATCH(C:C,FeeCalc!F:F,0))</f>
        <v>497720.08056078659</v>
      </c>
      <c r="K323" s="44">
        <f t="shared" si="77"/>
        <v>519253.86250934057</v>
      </c>
      <c r="L323" s="44">
        <v>0</v>
      </c>
      <c r="M323" s="44">
        <v>-173711.95</v>
      </c>
      <c r="N323" s="44">
        <f t="shared" si="78"/>
        <v>-173711.95</v>
      </c>
      <c r="O323" s="44">
        <v>0</v>
      </c>
      <c r="P323" s="44">
        <v>377663.32988290838</v>
      </c>
      <c r="Q323" s="44">
        <f t="shared" si="79"/>
        <v>377663.32988290838</v>
      </c>
      <c r="R323" s="44" t="str">
        <f t="shared" si="80"/>
        <v>No</v>
      </c>
      <c r="S323" s="45" t="str">
        <f t="shared" si="80"/>
        <v>Yes</v>
      </c>
      <c r="T323" s="46">
        <f>ROUND(INDEX(Summary!H:H,MATCH(H:H,Summary!A:A,0)),2)</f>
        <v>0</v>
      </c>
      <c r="U323" s="46">
        <f>ROUND(INDEX(Summary!I:I,MATCH(H:H,Summary!A:A,0)),2)</f>
        <v>0.32</v>
      </c>
      <c r="V323" s="79">
        <f t="shared" si="81"/>
        <v>0</v>
      </c>
      <c r="W323" s="79">
        <f t="shared" si="81"/>
        <v>159270.4257794517</v>
      </c>
      <c r="X323" s="44">
        <f t="shared" si="82"/>
        <v>159270.4257794517</v>
      </c>
      <c r="Y323" s="44" t="s">
        <v>2765</v>
      </c>
      <c r="Z323" s="44" t="str">
        <f t="shared" si="83"/>
        <v>No</v>
      </c>
      <c r="AA323" s="44" t="str">
        <f t="shared" si="83"/>
        <v>Yes</v>
      </c>
      <c r="AB323" s="44" t="str">
        <f t="shared" si="84"/>
        <v>Yes</v>
      </c>
      <c r="AC323" s="80">
        <f t="shared" si="91"/>
        <v>0</v>
      </c>
      <c r="AD323" s="80">
        <f t="shared" si="92"/>
        <v>0.31</v>
      </c>
      <c r="AE323" s="44">
        <f t="shared" si="85"/>
        <v>0</v>
      </c>
      <c r="AF323" s="44">
        <f t="shared" si="85"/>
        <v>154293.22497384384</v>
      </c>
      <c r="AG323" s="44">
        <f t="shared" si="86"/>
        <v>154293.22497384384</v>
      </c>
      <c r="AH323" s="46">
        <f>IF(Y323="No",0,IFERROR(ROUNDDOWN(INDEX('90% of ACR'!K:K,MATCH(H:H,'90% of ACR'!A:A,0))*IF(I323&gt;0,IF(O323&gt;0,$R$4*MAX(O323-V323,0),0),0)/I323,2),0))</f>
        <v>0</v>
      </c>
      <c r="AI323" s="80">
        <f>IF(Y323="No",0,IFERROR(ROUNDDOWN(INDEX('90% of ACR'!R:R,MATCH(H:H,'90% of ACR'!A:A,0))*IF(J323&gt;0,IF(P323&gt;0,$R$4*MAX(P323-W323,0),0),0)/J323,2),0))</f>
        <v>0.3</v>
      </c>
      <c r="AJ323" s="44">
        <f t="shared" si="87"/>
        <v>0</v>
      </c>
      <c r="AK323" s="44">
        <f t="shared" si="87"/>
        <v>149316.02416823598</v>
      </c>
      <c r="AL323" s="46">
        <f t="shared" si="88"/>
        <v>0</v>
      </c>
      <c r="AM323" s="46">
        <f t="shared" si="88"/>
        <v>0.62</v>
      </c>
      <c r="AN323" s="81">
        <f>IFERROR(INDEX(FeeCalc!P:P,MATCH(C323,FeeCalc!F:F,0)),0)</f>
        <v>308586.44994768768</v>
      </c>
      <c r="AO323" s="81">
        <f>IFERROR(INDEX(FeeCalc!S:S,MATCH(C323,FeeCalc!F:F,0)),0)</f>
        <v>18964.428383297814</v>
      </c>
      <c r="AP323" s="81">
        <f t="shared" si="89"/>
        <v>327550.87833098549</v>
      </c>
      <c r="AQ323" s="68">
        <f t="shared" si="90"/>
        <v>128908.30326891602</v>
      </c>
      <c r="AR323" s="68">
        <f>INDEX('IGT Commitment Suggestions'!H:H,MATCH(G323,'IGT Commitment Suggestions'!A:A,0))*AQ323</f>
        <v>59040.830633459394</v>
      </c>
    </row>
    <row r="324" spans="1:44">
      <c r="A324" s="103" t="s">
        <v>898</v>
      </c>
      <c r="B324" s="123" t="s">
        <v>898</v>
      </c>
      <c r="C324" s="30" t="s">
        <v>899</v>
      </c>
      <c r="D324" s="124" t="s">
        <v>899</v>
      </c>
      <c r="E324" s="119" t="s">
        <v>2923</v>
      </c>
      <c r="F324" s="99" t="s">
        <v>2283</v>
      </c>
      <c r="G324" s="99" t="s">
        <v>310</v>
      </c>
      <c r="H324" s="42" t="str">
        <f t="shared" ref="H324:H387" si="93">CONCATENATE(F324," ",G324)</f>
        <v>Urban MRSA Northeast</v>
      </c>
      <c r="I324" s="44">
        <f>INDEX(FeeCalc!M:M,MATCH(C:C,FeeCalc!F:F,0))</f>
        <v>14690845.020349493</v>
      </c>
      <c r="J324" s="44">
        <f>INDEX(FeeCalc!L:L,MATCH(C:C,FeeCalc!F:F,0))</f>
        <v>6489704.3248286042</v>
      </c>
      <c r="K324" s="44">
        <f t="shared" ref="K324:K387" si="94">I324+J324</f>
        <v>21180549.345178097</v>
      </c>
      <c r="L324" s="44">
        <v>7311065.75</v>
      </c>
      <c r="M324" s="44">
        <v>7585930.3200000003</v>
      </c>
      <c r="N324" s="44">
        <f t="shared" ref="N324:N387" si="95">+L324+M324</f>
        <v>14896996.07</v>
      </c>
      <c r="O324" s="44">
        <v>23604682.451280992</v>
      </c>
      <c r="P324" s="44">
        <v>10255778.737560494</v>
      </c>
      <c r="Q324" s="44">
        <f t="shared" ref="Q324:Q387" si="96">O324+P324</f>
        <v>33860461.188841484</v>
      </c>
      <c r="R324" s="44" t="str">
        <f t="shared" ref="R324:S387" si="97">IF(O324&gt;0,"Yes","No")</f>
        <v>Yes</v>
      </c>
      <c r="S324" s="45" t="str">
        <f t="shared" si="97"/>
        <v>Yes</v>
      </c>
      <c r="T324" s="46">
        <f>ROUND(INDEX(Summary!H:H,MATCH(H:H,Summary!A:A,0)),2)</f>
        <v>0.68</v>
      </c>
      <c r="U324" s="46">
        <f>ROUND(INDEX(Summary!I:I,MATCH(H:H,Summary!A:A,0)),2)</f>
        <v>1.06</v>
      </c>
      <c r="V324" s="79">
        <f t="shared" ref="V324:W387" si="98">+T324*I324</f>
        <v>9989774.6138376556</v>
      </c>
      <c r="W324" s="79">
        <f t="shared" si="98"/>
        <v>6879086.5843183212</v>
      </c>
      <c r="X324" s="44">
        <f t="shared" ref="X324:X387" si="99">+V324+W324</f>
        <v>16868861.198155977</v>
      </c>
      <c r="Y324" s="44" t="s">
        <v>2765</v>
      </c>
      <c r="Z324" s="44" t="str">
        <f t="shared" ref="Z324:AA387" si="100">IF(AJ324&gt;0,"Yes","No")</f>
        <v>Yes</v>
      </c>
      <c r="AA324" s="44" t="str">
        <f t="shared" si="100"/>
        <v>Yes</v>
      </c>
      <c r="AB324" s="44" t="str">
        <f t="shared" ref="AB324:AB387" si="101">IF(AG324&gt;0,"Yes","No")</f>
        <v>Yes</v>
      </c>
      <c r="AC324" s="80">
        <f t="shared" si="91"/>
        <v>0.65</v>
      </c>
      <c r="AD324" s="80">
        <f t="shared" si="92"/>
        <v>0.36</v>
      </c>
      <c r="AE324" s="44">
        <f t="shared" ref="AE324:AF387" si="102">AC324*I324</f>
        <v>9549049.2632271703</v>
      </c>
      <c r="AF324" s="44">
        <f t="shared" si="102"/>
        <v>2336293.5569382976</v>
      </c>
      <c r="AG324" s="44">
        <f t="shared" ref="AG324:AG387" si="103">AE324+AF324</f>
        <v>11885342.820165468</v>
      </c>
      <c r="AH324" s="46">
        <f>IF(Y324="No",0,IFERROR(ROUNDDOWN(INDEX('90% of ACR'!K:K,MATCH(H:H,'90% of ACR'!A:A,0))*IF(I324&gt;0,IF(O324&gt;0,$R$4*MAX(O324-V324,0),0),0)/I324,2),0))</f>
        <v>0.64</v>
      </c>
      <c r="AI324" s="80">
        <f>IF(Y324="No",0,IFERROR(ROUNDDOWN(INDEX('90% of ACR'!R:R,MATCH(H:H,'90% of ACR'!A:A,0))*IF(J324&gt;0,IF(P324&gt;0,$R$4*MAX(P324-W324,0),0),0)/J324,2),0))</f>
        <v>0.36</v>
      </c>
      <c r="AJ324" s="44">
        <f t="shared" ref="AJ324:AK387" si="104">I324*AH324</f>
        <v>9402140.8130236752</v>
      </c>
      <c r="AK324" s="44">
        <f t="shared" si="104"/>
        <v>2336293.5569382976</v>
      </c>
      <c r="AL324" s="46">
        <f t="shared" ref="AL324:AM387" si="105">T324+AH324</f>
        <v>1.32</v>
      </c>
      <c r="AM324" s="46">
        <f t="shared" si="105"/>
        <v>1.42</v>
      </c>
      <c r="AN324" s="81">
        <f>IFERROR(INDEX(FeeCalc!P:P,MATCH(C324,FeeCalc!F:F,0)),0)</f>
        <v>28607295.568117946</v>
      </c>
      <c r="AO324" s="81">
        <f>IFERROR(INDEX(FeeCalc!S:S,MATCH(C324,FeeCalc!F:F,0)),0)</f>
        <v>1763731.2483280834</v>
      </c>
      <c r="AP324" s="81">
        <f t="shared" ref="AP324:AP387" si="106">AN324+AO324</f>
        <v>30371026.816446029</v>
      </c>
      <c r="AQ324" s="68">
        <f t="shared" ref="AQ324:AQ387" si="107">$AQ$3*AP324*1.08</f>
        <v>11952578.345665969</v>
      </c>
      <c r="AR324" s="68">
        <f>INDEX('IGT Commitment Suggestions'!H:H,MATCH(G324,'IGT Commitment Suggestions'!A:A,0))*AQ324</f>
        <v>5474357.6313115871</v>
      </c>
    </row>
    <row r="325" spans="1:44">
      <c r="A325" s="103" t="s">
        <v>67</v>
      </c>
      <c r="B325" s="123" t="s">
        <v>67</v>
      </c>
      <c r="C325" s="30" t="s">
        <v>68</v>
      </c>
      <c r="D325" s="124" t="s">
        <v>68</v>
      </c>
      <c r="E325" s="119" t="s">
        <v>2924</v>
      </c>
      <c r="F325" s="99" t="s">
        <v>2283</v>
      </c>
      <c r="G325" s="99" t="s">
        <v>310</v>
      </c>
      <c r="H325" s="42" t="str">
        <f t="shared" si="93"/>
        <v>Urban MRSA Northeast</v>
      </c>
      <c r="I325" s="44">
        <f>INDEX(FeeCalc!M:M,MATCH(C:C,FeeCalc!F:F,0))</f>
        <v>3466045.7081308854</v>
      </c>
      <c r="J325" s="44">
        <f>INDEX(FeeCalc!L:L,MATCH(C:C,FeeCalc!F:F,0))</f>
        <v>2532666.6949065411</v>
      </c>
      <c r="K325" s="44">
        <f t="shared" si="94"/>
        <v>5998712.403037427</v>
      </c>
      <c r="L325" s="44">
        <v>3703620.81</v>
      </c>
      <c r="M325" s="44">
        <v>3042689.85</v>
      </c>
      <c r="N325" s="44">
        <f t="shared" si="95"/>
        <v>6746310.6600000001</v>
      </c>
      <c r="O325" s="44">
        <v>10881528.217438761</v>
      </c>
      <c r="P325" s="44">
        <v>8158671.5086706076</v>
      </c>
      <c r="Q325" s="44">
        <f t="shared" si="96"/>
        <v>19040199.726109371</v>
      </c>
      <c r="R325" s="44" t="str">
        <f t="shared" si="97"/>
        <v>Yes</v>
      </c>
      <c r="S325" s="45" t="str">
        <f t="shared" si="97"/>
        <v>Yes</v>
      </c>
      <c r="T325" s="46">
        <f>ROUND(INDEX(Summary!H:H,MATCH(H:H,Summary!A:A,0)),2)</f>
        <v>0.68</v>
      </c>
      <c r="U325" s="46">
        <f>ROUND(INDEX(Summary!I:I,MATCH(H:H,Summary!A:A,0)),2)</f>
        <v>1.06</v>
      </c>
      <c r="V325" s="79">
        <f t="shared" si="98"/>
        <v>2356911.0815290022</v>
      </c>
      <c r="W325" s="79">
        <f t="shared" si="98"/>
        <v>2684626.6966009336</v>
      </c>
      <c r="X325" s="44">
        <f t="shared" si="99"/>
        <v>5041537.7781299353</v>
      </c>
      <c r="Y325" s="44" t="s">
        <v>2765</v>
      </c>
      <c r="Z325" s="44" t="str">
        <f t="shared" si="100"/>
        <v>Yes</v>
      </c>
      <c r="AA325" s="44" t="str">
        <f t="shared" si="100"/>
        <v>Yes</v>
      </c>
      <c r="AB325" s="44" t="str">
        <f t="shared" si="101"/>
        <v>Yes</v>
      </c>
      <c r="AC325" s="80">
        <f t="shared" si="91"/>
        <v>1.71</v>
      </c>
      <c r="AD325" s="80">
        <f t="shared" si="92"/>
        <v>1.51</v>
      </c>
      <c r="AE325" s="44">
        <f t="shared" si="102"/>
        <v>5926938.1609038142</v>
      </c>
      <c r="AF325" s="44">
        <f t="shared" si="102"/>
        <v>3824326.7093088771</v>
      </c>
      <c r="AG325" s="44">
        <f t="shared" si="103"/>
        <v>9751264.8702126909</v>
      </c>
      <c r="AH325" s="46">
        <f>IF(Y325="No",0,IFERROR(ROUNDDOWN(INDEX('90% of ACR'!K:K,MATCH(H:H,'90% of ACR'!A:A,0))*IF(I325&gt;0,IF(O325&gt;0,$R$4*MAX(O325-V325,0),0),0)/I325,2),0))</f>
        <v>1.71</v>
      </c>
      <c r="AI325" s="80">
        <f>IF(Y325="No",0,IFERROR(ROUNDDOWN(INDEX('90% of ACR'!R:R,MATCH(H:H,'90% of ACR'!A:A,0))*IF(J325&gt;0,IF(P325&gt;0,$R$4*MAX(P325-W325,0),0),0)/J325,2),0))</f>
        <v>1.5</v>
      </c>
      <c r="AJ325" s="44">
        <f t="shared" si="104"/>
        <v>5926938.1609038142</v>
      </c>
      <c r="AK325" s="44">
        <f t="shared" si="104"/>
        <v>3799000.0423598117</v>
      </c>
      <c r="AL325" s="46">
        <f t="shared" si="105"/>
        <v>2.39</v>
      </c>
      <c r="AM325" s="46">
        <f t="shared" si="105"/>
        <v>2.56</v>
      </c>
      <c r="AN325" s="81">
        <f>IFERROR(INDEX(FeeCalc!P:P,MATCH(C325,FeeCalc!F:F,0)),0)</f>
        <v>14767475.981393563</v>
      </c>
      <c r="AO325" s="81">
        <f>IFERROR(INDEX(FeeCalc!S:S,MATCH(C325,FeeCalc!F:F,0)),0)</f>
        <v>913174.52658701385</v>
      </c>
      <c r="AP325" s="81">
        <f t="shared" si="106"/>
        <v>15680650.507980576</v>
      </c>
      <c r="AQ325" s="68">
        <f t="shared" si="107"/>
        <v>6171151.3687167717</v>
      </c>
      <c r="AR325" s="68">
        <f>INDEX('IGT Commitment Suggestions'!H:H,MATCH(G325,'IGT Commitment Suggestions'!A:A,0))*AQ325</f>
        <v>2826426.9526050356</v>
      </c>
    </row>
    <row r="326" spans="1:44">
      <c r="A326" s="103" t="s">
        <v>1381</v>
      </c>
      <c r="B326" s="123" t="s">
        <v>1381</v>
      </c>
      <c r="C326" s="30" t="s">
        <v>1382</v>
      </c>
      <c r="D326" s="124" t="s">
        <v>1382</v>
      </c>
      <c r="E326" s="119" t="s">
        <v>2925</v>
      </c>
      <c r="F326" s="99" t="s">
        <v>2283</v>
      </c>
      <c r="G326" s="99" t="s">
        <v>310</v>
      </c>
      <c r="H326" s="42" t="str">
        <f t="shared" si="93"/>
        <v>Urban MRSA Northeast</v>
      </c>
      <c r="I326" s="44">
        <f>INDEX(FeeCalc!M:M,MATCH(C:C,FeeCalc!F:F,0))</f>
        <v>1780.8800841138291</v>
      </c>
      <c r="J326" s="44">
        <f>INDEX(FeeCalc!L:L,MATCH(C:C,FeeCalc!F:F,0))</f>
        <v>97170.01709711802</v>
      </c>
      <c r="K326" s="44">
        <f t="shared" si="94"/>
        <v>98950.897181231849</v>
      </c>
      <c r="L326" s="44">
        <v>9422.8700000000008</v>
      </c>
      <c r="M326" s="44">
        <v>0</v>
      </c>
      <c r="N326" s="44">
        <f t="shared" si="95"/>
        <v>9422.8700000000008</v>
      </c>
      <c r="O326" s="44">
        <v>10073.303430571794</v>
      </c>
      <c r="P326" s="44">
        <v>0</v>
      </c>
      <c r="Q326" s="44">
        <f t="shared" si="96"/>
        <v>10073.303430571794</v>
      </c>
      <c r="R326" s="44" t="str">
        <f t="shared" si="97"/>
        <v>Yes</v>
      </c>
      <c r="S326" s="45" t="str">
        <f t="shared" si="97"/>
        <v>No</v>
      </c>
      <c r="T326" s="46">
        <f>ROUND(INDEX(Summary!H:H,MATCH(H:H,Summary!A:A,0)),2)</f>
        <v>0.68</v>
      </c>
      <c r="U326" s="46">
        <f>ROUND(INDEX(Summary!I:I,MATCH(H:H,Summary!A:A,0)),2)</f>
        <v>1.06</v>
      </c>
      <c r="V326" s="79">
        <f t="shared" si="98"/>
        <v>1210.9984571974039</v>
      </c>
      <c r="W326" s="79">
        <f t="shared" si="98"/>
        <v>103000.21812294511</v>
      </c>
      <c r="X326" s="44">
        <f t="shared" si="99"/>
        <v>104211.21658014251</v>
      </c>
      <c r="Y326" s="44" t="s">
        <v>2765</v>
      </c>
      <c r="Z326" s="44" t="str">
        <f t="shared" si="100"/>
        <v>Yes</v>
      </c>
      <c r="AA326" s="44" t="str">
        <f t="shared" si="100"/>
        <v>No</v>
      </c>
      <c r="AB326" s="44" t="str">
        <f t="shared" si="101"/>
        <v>Yes</v>
      </c>
      <c r="AC326" s="80">
        <f t="shared" ref="AC326:AC389" si="108">IF(Y326="No",0,IFERROR(ROUND(IF(I326&gt;0,IF(O326&gt;0,$R$4*MAX(O326-V326,0),0),0)/I326,2),0))</f>
        <v>3.47</v>
      </c>
      <c r="AD326" s="80">
        <f t="shared" ref="AD326:AD389" si="109">IF(Y326="No",0,IFERROR(ROUND(IF(J326&gt;0,IF(P326&gt;0,$R$4*MAX(P326-W326,0),0),0)/J326,2),0))</f>
        <v>0</v>
      </c>
      <c r="AE326" s="44">
        <f t="shared" si="102"/>
        <v>6179.6538918749875</v>
      </c>
      <c r="AF326" s="44">
        <f t="shared" si="102"/>
        <v>0</v>
      </c>
      <c r="AG326" s="44">
        <f t="shared" si="103"/>
        <v>6179.6538918749875</v>
      </c>
      <c r="AH326" s="46">
        <f>IF(Y326="No",0,IFERROR(ROUNDDOWN(INDEX('90% of ACR'!K:K,MATCH(H:H,'90% of ACR'!A:A,0))*IF(I326&gt;0,IF(O326&gt;0,$R$4*MAX(O326-V326,0),0),0)/I326,2),0))</f>
        <v>3.46</v>
      </c>
      <c r="AI326" s="80">
        <f>IF(Y326="No",0,IFERROR(ROUNDDOWN(INDEX('90% of ACR'!R:R,MATCH(H:H,'90% of ACR'!A:A,0))*IF(J326&gt;0,IF(P326&gt;0,$R$4*MAX(P326-W326,0),0),0)/J326,2),0))</f>
        <v>0</v>
      </c>
      <c r="AJ326" s="44">
        <f t="shared" si="104"/>
        <v>6161.8450910338488</v>
      </c>
      <c r="AK326" s="44">
        <f t="shared" si="104"/>
        <v>0</v>
      </c>
      <c r="AL326" s="46">
        <f t="shared" si="105"/>
        <v>4.1399999999999997</v>
      </c>
      <c r="AM326" s="46">
        <f t="shared" si="105"/>
        <v>1.06</v>
      </c>
      <c r="AN326" s="81">
        <f>IFERROR(INDEX(FeeCalc!P:P,MATCH(C326,FeeCalc!F:F,0)),0)</f>
        <v>110373.06167117636</v>
      </c>
      <c r="AO326" s="81">
        <f>IFERROR(INDEX(FeeCalc!S:S,MATCH(C326,FeeCalc!F:F,0)),0)</f>
        <v>6917.4486591473415</v>
      </c>
      <c r="AP326" s="81">
        <f t="shared" si="106"/>
        <v>117290.5103303237</v>
      </c>
      <c r="AQ326" s="68">
        <f t="shared" si="107"/>
        <v>46159.91492151955</v>
      </c>
      <c r="AR326" s="68">
        <f>INDEX('IGT Commitment Suggestions'!H:H,MATCH(G326,'IGT Commitment Suggestions'!A:A,0))*AQ326</f>
        <v>21141.537432627851</v>
      </c>
    </row>
    <row r="327" spans="1:44">
      <c r="A327" s="103" t="s">
        <v>64</v>
      </c>
      <c r="B327" s="123" t="s">
        <v>64</v>
      </c>
      <c r="C327" s="30" t="s">
        <v>65</v>
      </c>
      <c r="D327" s="124" t="s">
        <v>65</v>
      </c>
      <c r="E327" s="119" t="s">
        <v>2926</v>
      </c>
      <c r="F327" s="99" t="s">
        <v>2283</v>
      </c>
      <c r="G327" s="99" t="s">
        <v>310</v>
      </c>
      <c r="H327" s="42" t="str">
        <f t="shared" si="93"/>
        <v>Urban MRSA Northeast</v>
      </c>
      <c r="I327" s="44">
        <f>INDEX(FeeCalc!M:M,MATCH(C:C,FeeCalc!F:F,0))</f>
        <v>8124033.9705133718</v>
      </c>
      <c r="J327" s="44">
        <f>INDEX(FeeCalc!L:L,MATCH(C:C,FeeCalc!F:F,0))</f>
        <v>8346303.3116442543</v>
      </c>
      <c r="K327" s="44">
        <f t="shared" si="94"/>
        <v>16470337.282157626</v>
      </c>
      <c r="L327" s="44">
        <v>12013146.08</v>
      </c>
      <c r="M327" s="44">
        <v>10909881.189999999</v>
      </c>
      <c r="N327" s="44">
        <f t="shared" si="95"/>
        <v>22923027.27</v>
      </c>
      <c r="O327" s="44">
        <v>19876461.421834223</v>
      </c>
      <c r="P327" s="44">
        <v>29916005.116911985</v>
      </c>
      <c r="Q327" s="44">
        <f t="shared" si="96"/>
        <v>49792466.538746208</v>
      </c>
      <c r="R327" s="44" t="str">
        <f t="shared" si="97"/>
        <v>Yes</v>
      </c>
      <c r="S327" s="45" t="str">
        <f t="shared" si="97"/>
        <v>Yes</v>
      </c>
      <c r="T327" s="46">
        <f>ROUND(INDEX(Summary!H:H,MATCH(H:H,Summary!A:A,0)),2)</f>
        <v>0.68</v>
      </c>
      <c r="U327" s="46">
        <f>ROUND(INDEX(Summary!I:I,MATCH(H:H,Summary!A:A,0)),2)</f>
        <v>1.06</v>
      </c>
      <c r="V327" s="79">
        <f t="shared" si="98"/>
        <v>5524343.0999490935</v>
      </c>
      <c r="W327" s="79">
        <f t="shared" si="98"/>
        <v>8847081.510342909</v>
      </c>
      <c r="X327" s="44">
        <f t="shared" si="99"/>
        <v>14371424.610292003</v>
      </c>
      <c r="Y327" s="44" t="s">
        <v>2765</v>
      </c>
      <c r="Z327" s="44" t="str">
        <f t="shared" si="100"/>
        <v>Yes</v>
      </c>
      <c r="AA327" s="44" t="str">
        <f t="shared" si="100"/>
        <v>Yes</v>
      </c>
      <c r="AB327" s="44" t="str">
        <f t="shared" si="101"/>
        <v>Yes</v>
      </c>
      <c r="AC327" s="80">
        <f t="shared" si="108"/>
        <v>1.23</v>
      </c>
      <c r="AD327" s="80">
        <f t="shared" si="109"/>
        <v>1.76</v>
      </c>
      <c r="AE327" s="44">
        <f t="shared" si="102"/>
        <v>9992561.7837314475</v>
      </c>
      <c r="AF327" s="44">
        <f t="shared" si="102"/>
        <v>14689493.828493888</v>
      </c>
      <c r="AG327" s="44">
        <f t="shared" si="103"/>
        <v>24682055.612225335</v>
      </c>
      <c r="AH327" s="46">
        <f>IF(Y327="No",0,IFERROR(ROUNDDOWN(INDEX('90% of ACR'!K:K,MATCH(H:H,'90% of ACR'!A:A,0))*IF(I327&gt;0,IF(O327&gt;0,$R$4*MAX(O327-V327,0),0),0)/I327,2),0))</f>
        <v>1.23</v>
      </c>
      <c r="AI327" s="80">
        <f>IF(Y327="No",0,IFERROR(ROUNDDOWN(INDEX('90% of ACR'!R:R,MATCH(H:H,'90% of ACR'!A:A,0))*IF(J327&gt;0,IF(P327&gt;0,$R$4*MAX(P327-W327,0),0),0)/J327,2),0))</f>
        <v>1.75</v>
      </c>
      <c r="AJ327" s="44">
        <f t="shared" si="104"/>
        <v>9992561.7837314475</v>
      </c>
      <c r="AK327" s="44">
        <f t="shared" si="104"/>
        <v>14606030.795377444</v>
      </c>
      <c r="AL327" s="46">
        <f t="shared" si="105"/>
        <v>1.9100000000000001</v>
      </c>
      <c r="AM327" s="46">
        <f t="shared" si="105"/>
        <v>2.81</v>
      </c>
      <c r="AN327" s="81">
        <f>IFERROR(INDEX(FeeCalc!P:P,MATCH(C327,FeeCalc!F:F,0)),0)</f>
        <v>38970017.189400896</v>
      </c>
      <c r="AO327" s="81">
        <f>IFERROR(INDEX(FeeCalc!S:S,MATCH(C327,FeeCalc!F:F,0)),0)</f>
        <v>2415853.5867395862</v>
      </c>
      <c r="AP327" s="81">
        <f t="shared" si="106"/>
        <v>41385870.776140481</v>
      </c>
      <c r="AQ327" s="68">
        <f t="shared" si="107"/>
        <v>16287492.215691641</v>
      </c>
      <c r="AR327" s="68">
        <f>INDEX('IGT Commitment Suggestions'!H:H,MATCH(G327,'IGT Commitment Suggestions'!A:A,0))*AQ327</f>
        <v>7459776.0188060598</v>
      </c>
    </row>
    <row r="328" spans="1:44">
      <c r="A328" s="103" t="s">
        <v>599</v>
      </c>
      <c r="B328" s="123" t="s">
        <v>599</v>
      </c>
      <c r="C328" s="30" t="s">
        <v>600</v>
      </c>
      <c r="D328" s="124" t="s">
        <v>600</v>
      </c>
      <c r="E328" s="119" t="s">
        <v>2927</v>
      </c>
      <c r="F328" s="99" t="s">
        <v>2295</v>
      </c>
      <c r="G328" s="99" t="s">
        <v>1550</v>
      </c>
      <c r="H328" s="42" t="str">
        <f t="shared" si="93"/>
        <v>Rural Jefferson</v>
      </c>
      <c r="I328" s="44">
        <f>INDEX(FeeCalc!M:M,MATCH(C:C,FeeCalc!F:F,0))</f>
        <v>653945.29425991967</v>
      </c>
      <c r="J328" s="44">
        <f>INDEX(FeeCalc!L:L,MATCH(C:C,FeeCalc!F:F,0))</f>
        <v>2212038.7575642504</v>
      </c>
      <c r="K328" s="44">
        <f t="shared" si="94"/>
        <v>2865984.0518241702</v>
      </c>
      <c r="L328" s="44">
        <v>105971.42</v>
      </c>
      <c r="M328" s="44">
        <v>258582.63</v>
      </c>
      <c r="N328" s="44">
        <f t="shared" si="95"/>
        <v>364554.05</v>
      </c>
      <c r="O328" s="44">
        <v>60580.324117814191</v>
      </c>
      <c r="P328" s="44">
        <v>1333558.8244138551</v>
      </c>
      <c r="Q328" s="44">
        <f t="shared" si="96"/>
        <v>1394139.1485316693</v>
      </c>
      <c r="R328" s="44" t="str">
        <f t="shared" si="97"/>
        <v>Yes</v>
      </c>
      <c r="S328" s="45" t="str">
        <f t="shared" si="97"/>
        <v>Yes</v>
      </c>
      <c r="T328" s="46">
        <f>ROUND(INDEX(Summary!H:H,MATCH(H:H,Summary!A:A,0)),2)</f>
        <v>0</v>
      </c>
      <c r="U328" s="46">
        <f>ROUND(INDEX(Summary!I:I,MATCH(H:H,Summary!A:A,0)),2)</f>
        <v>0.23</v>
      </c>
      <c r="V328" s="79">
        <f t="shared" si="98"/>
        <v>0</v>
      </c>
      <c r="W328" s="79">
        <f t="shared" si="98"/>
        <v>508768.9142397776</v>
      </c>
      <c r="X328" s="44">
        <f t="shared" si="99"/>
        <v>508768.9142397776</v>
      </c>
      <c r="Y328" s="44" t="s">
        <v>2765</v>
      </c>
      <c r="Z328" s="44" t="str">
        <f t="shared" si="100"/>
        <v>No</v>
      </c>
      <c r="AA328" s="44" t="str">
        <f t="shared" si="100"/>
        <v>Yes</v>
      </c>
      <c r="AB328" s="44" t="str">
        <f t="shared" si="101"/>
        <v>Yes</v>
      </c>
      <c r="AC328" s="80">
        <f t="shared" si="108"/>
        <v>0.06</v>
      </c>
      <c r="AD328" s="80">
        <f t="shared" si="109"/>
        <v>0.26</v>
      </c>
      <c r="AE328" s="44">
        <f t="shared" si="102"/>
        <v>39236.717655595181</v>
      </c>
      <c r="AF328" s="44">
        <f t="shared" si="102"/>
        <v>575130.07696670515</v>
      </c>
      <c r="AG328" s="44">
        <f t="shared" si="103"/>
        <v>614366.79462230031</v>
      </c>
      <c r="AH328" s="46">
        <f>IF(Y328="No",0,IFERROR(ROUNDDOWN(INDEX('90% of ACR'!K:K,MATCH(H:H,'90% of ACR'!A:A,0))*IF(I328&gt;0,IF(O328&gt;0,$R$4*MAX(O328-V328,0),0),0)/I328,2),0))</f>
        <v>0</v>
      </c>
      <c r="AI328" s="80">
        <f>IF(Y328="No",0,IFERROR(ROUNDDOWN(INDEX('90% of ACR'!R:R,MATCH(H:H,'90% of ACR'!A:A,0))*IF(J328&gt;0,IF(P328&gt;0,$R$4*MAX(P328-W328,0),0),0)/J328,2),0))</f>
        <v>0.25</v>
      </c>
      <c r="AJ328" s="44">
        <f t="shared" si="104"/>
        <v>0</v>
      </c>
      <c r="AK328" s="44">
        <f t="shared" si="104"/>
        <v>553009.68939106259</v>
      </c>
      <c r="AL328" s="46">
        <f t="shared" si="105"/>
        <v>0</v>
      </c>
      <c r="AM328" s="46">
        <f t="shared" si="105"/>
        <v>0.48</v>
      </c>
      <c r="AN328" s="81">
        <f>IFERROR(INDEX(FeeCalc!P:P,MATCH(C328,FeeCalc!F:F,0)),0)</f>
        <v>1061778.6036308401</v>
      </c>
      <c r="AO328" s="81">
        <f>IFERROR(INDEX(FeeCalc!S:S,MATCH(C328,FeeCalc!F:F,0)),0)</f>
        <v>65712.749066651741</v>
      </c>
      <c r="AP328" s="81">
        <f t="shared" si="106"/>
        <v>1127491.3526974919</v>
      </c>
      <c r="AQ328" s="68">
        <f t="shared" si="107"/>
        <v>443726.47683680337</v>
      </c>
      <c r="AR328" s="68">
        <f>INDEX('IGT Commitment Suggestions'!H:H,MATCH(G328,'IGT Commitment Suggestions'!A:A,0))*AQ328</f>
        <v>203067.52459650682</v>
      </c>
    </row>
    <row r="329" spans="1:44">
      <c r="A329" s="103" t="s">
        <v>593</v>
      </c>
      <c r="B329" s="123" t="s">
        <v>593</v>
      </c>
      <c r="C329" s="30" t="s">
        <v>594</v>
      </c>
      <c r="D329" s="124" t="s">
        <v>594</v>
      </c>
      <c r="E329" s="119" t="s">
        <v>2928</v>
      </c>
      <c r="F329" s="99" t="s">
        <v>2283</v>
      </c>
      <c r="G329" s="99" t="s">
        <v>1550</v>
      </c>
      <c r="H329" s="42" t="str">
        <f t="shared" si="93"/>
        <v>Urban Jefferson</v>
      </c>
      <c r="I329" s="44">
        <f>INDEX(FeeCalc!M:M,MATCH(C:C,FeeCalc!F:F,0))</f>
        <v>10655583.007221602</v>
      </c>
      <c r="J329" s="44">
        <f>INDEX(FeeCalc!L:L,MATCH(C:C,FeeCalc!F:F,0))</f>
        <v>7233001.2743444946</v>
      </c>
      <c r="K329" s="44">
        <f t="shared" si="94"/>
        <v>17888584.281566098</v>
      </c>
      <c r="L329" s="44">
        <v>8862972.9399999995</v>
      </c>
      <c r="M329" s="44">
        <v>5143193.6500000004</v>
      </c>
      <c r="N329" s="44">
        <f t="shared" si="95"/>
        <v>14006166.59</v>
      </c>
      <c r="O329" s="44">
        <v>21082251.380105998</v>
      </c>
      <c r="P329" s="44">
        <v>9741095.7207007073</v>
      </c>
      <c r="Q329" s="44">
        <f t="shared" si="96"/>
        <v>30823347.100806706</v>
      </c>
      <c r="R329" s="44" t="str">
        <f t="shared" si="97"/>
        <v>Yes</v>
      </c>
      <c r="S329" s="45" t="str">
        <f t="shared" si="97"/>
        <v>Yes</v>
      </c>
      <c r="T329" s="46">
        <f>ROUND(INDEX(Summary!H:H,MATCH(H:H,Summary!A:A,0)),2)</f>
        <v>0.84</v>
      </c>
      <c r="U329" s="46">
        <f>ROUND(INDEX(Summary!I:I,MATCH(H:H,Summary!A:A,0)),2)</f>
        <v>0.93</v>
      </c>
      <c r="V329" s="79">
        <f t="shared" si="98"/>
        <v>8950689.726066146</v>
      </c>
      <c r="W329" s="79">
        <f t="shared" si="98"/>
        <v>6726691.1851403806</v>
      </c>
      <c r="X329" s="44">
        <f t="shared" si="99"/>
        <v>15677380.911206527</v>
      </c>
      <c r="Y329" s="44" t="s">
        <v>2765</v>
      </c>
      <c r="Z329" s="44" t="str">
        <f t="shared" si="100"/>
        <v>Yes</v>
      </c>
      <c r="AA329" s="44" t="str">
        <f t="shared" si="100"/>
        <v>Yes</v>
      </c>
      <c r="AB329" s="44" t="str">
        <f t="shared" si="101"/>
        <v>Yes</v>
      </c>
      <c r="AC329" s="80">
        <f t="shared" si="108"/>
        <v>0.79</v>
      </c>
      <c r="AD329" s="80">
        <f t="shared" si="109"/>
        <v>0.28999999999999998</v>
      </c>
      <c r="AE329" s="44">
        <f t="shared" si="102"/>
        <v>8417910.5757050663</v>
      </c>
      <c r="AF329" s="44">
        <f t="shared" si="102"/>
        <v>2097570.3695599032</v>
      </c>
      <c r="AG329" s="44">
        <f t="shared" si="103"/>
        <v>10515480.945264969</v>
      </c>
      <c r="AH329" s="46">
        <f>IF(Y329="No",0,IFERROR(ROUNDDOWN(INDEX('90% of ACR'!K:K,MATCH(H:H,'90% of ACR'!A:A,0))*IF(I329&gt;0,IF(O329&gt;0,$R$4*MAX(O329-V329,0),0),0)/I329,2),0))</f>
        <v>0.79</v>
      </c>
      <c r="AI329" s="80">
        <f>IF(Y329="No",0,IFERROR(ROUNDDOWN(INDEX('90% of ACR'!R:R,MATCH(H:H,'90% of ACR'!A:A,0))*IF(J329&gt;0,IF(P329&gt;0,$R$4*MAX(P329-W329,0),0),0)/J329,2),0))</f>
        <v>0.24</v>
      </c>
      <c r="AJ329" s="44">
        <f t="shared" si="104"/>
        <v>8417910.5757050663</v>
      </c>
      <c r="AK329" s="44">
        <f t="shared" si="104"/>
        <v>1735920.3058426785</v>
      </c>
      <c r="AL329" s="46">
        <f t="shared" si="105"/>
        <v>1.63</v>
      </c>
      <c r="AM329" s="46">
        <f t="shared" si="105"/>
        <v>1.17</v>
      </c>
      <c r="AN329" s="81">
        <f>IFERROR(INDEX(FeeCalc!P:P,MATCH(C329,FeeCalc!F:F,0)),0)</f>
        <v>25831211.792754266</v>
      </c>
      <c r="AO329" s="81">
        <f>IFERROR(INDEX(FeeCalc!S:S,MATCH(C329,FeeCalc!F:F,0)),0)</f>
        <v>1602546.7221241258</v>
      </c>
      <c r="AP329" s="81">
        <f t="shared" si="106"/>
        <v>27433758.514878392</v>
      </c>
      <c r="AQ329" s="68">
        <f t="shared" si="107"/>
        <v>10796610.531047421</v>
      </c>
      <c r="AR329" s="68">
        <f>INDEX('IGT Commitment Suggestions'!H:H,MATCH(G329,'IGT Commitment Suggestions'!A:A,0))*AQ329</f>
        <v>4940973.9761342369</v>
      </c>
    </row>
    <row r="330" spans="1:44">
      <c r="A330" s="103" t="s">
        <v>1225</v>
      </c>
      <c r="B330" s="123" t="s">
        <v>1225</v>
      </c>
      <c r="C330" s="30" t="s">
        <v>1226</v>
      </c>
      <c r="D330" s="124" t="s">
        <v>1226</v>
      </c>
      <c r="E330" s="119" t="s">
        <v>2929</v>
      </c>
      <c r="F330" s="99" t="s">
        <v>2283</v>
      </c>
      <c r="G330" s="99" t="s">
        <v>487</v>
      </c>
      <c r="H330" s="42" t="str">
        <f t="shared" si="93"/>
        <v>Urban Bexar</v>
      </c>
      <c r="I330" s="44">
        <f>INDEX(FeeCalc!M:M,MATCH(C:C,FeeCalc!F:F,0))</f>
        <v>10589154.577666709</v>
      </c>
      <c r="J330" s="44">
        <f>INDEX(FeeCalc!L:L,MATCH(C:C,FeeCalc!F:F,0))</f>
        <v>3079163.8763502105</v>
      </c>
      <c r="K330" s="44">
        <f t="shared" si="94"/>
        <v>13668318.45401692</v>
      </c>
      <c r="L330" s="44">
        <v>9736326.4100000001</v>
      </c>
      <c r="M330" s="44">
        <v>2938568.4</v>
      </c>
      <c r="N330" s="44">
        <f t="shared" si="95"/>
        <v>12674894.810000001</v>
      </c>
      <c r="O330" s="44">
        <v>15361764.687989559</v>
      </c>
      <c r="P330" s="44">
        <v>4685564.6912559438</v>
      </c>
      <c r="Q330" s="44">
        <f t="shared" si="96"/>
        <v>20047329.379245505</v>
      </c>
      <c r="R330" s="44" t="str">
        <f t="shared" si="97"/>
        <v>Yes</v>
      </c>
      <c r="S330" s="45" t="str">
        <f t="shared" si="97"/>
        <v>Yes</v>
      </c>
      <c r="T330" s="46">
        <f>ROUND(INDEX(Summary!H:H,MATCH(H:H,Summary!A:A,0)),2)</f>
        <v>0.44</v>
      </c>
      <c r="U330" s="46">
        <f>ROUND(INDEX(Summary!I:I,MATCH(H:H,Summary!A:A,0)),2)</f>
        <v>0.49</v>
      </c>
      <c r="V330" s="79">
        <f t="shared" si="98"/>
        <v>4659228.0141733522</v>
      </c>
      <c r="W330" s="79">
        <f t="shared" si="98"/>
        <v>1508790.299411603</v>
      </c>
      <c r="X330" s="44">
        <f t="shared" si="99"/>
        <v>6168018.3135849554</v>
      </c>
      <c r="Y330" s="44" t="s">
        <v>2765</v>
      </c>
      <c r="Z330" s="44" t="str">
        <f t="shared" si="100"/>
        <v>Yes</v>
      </c>
      <c r="AA330" s="44" t="str">
        <f t="shared" si="100"/>
        <v>Yes</v>
      </c>
      <c r="AB330" s="44" t="str">
        <f t="shared" si="101"/>
        <v>Yes</v>
      </c>
      <c r="AC330" s="80">
        <f t="shared" si="108"/>
        <v>0.7</v>
      </c>
      <c r="AD330" s="80">
        <f t="shared" si="109"/>
        <v>0.72</v>
      </c>
      <c r="AE330" s="44">
        <f t="shared" si="102"/>
        <v>7412408.2043666961</v>
      </c>
      <c r="AF330" s="44">
        <f t="shared" si="102"/>
        <v>2216997.9909721515</v>
      </c>
      <c r="AG330" s="44">
        <f t="shared" si="103"/>
        <v>9629406.1953388471</v>
      </c>
      <c r="AH330" s="46">
        <f>IF(Y330="No",0,IFERROR(ROUNDDOWN(INDEX('90% of ACR'!K:K,MATCH(H:H,'90% of ACR'!A:A,0))*IF(I330&gt;0,IF(O330&gt;0,$R$4*MAX(O330-V330,0),0),0)/I330,2),0))</f>
        <v>0.62</v>
      </c>
      <c r="AI330" s="80">
        <f>IF(Y330="No",0,IFERROR(ROUNDDOWN(INDEX('90% of ACR'!R:R,MATCH(H:H,'90% of ACR'!A:A,0))*IF(J330&gt;0,IF(P330&gt;0,$R$4*MAX(P330-W330,0),0),0)/J330,2),0))</f>
        <v>0.47</v>
      </c>
      <c r="AJ330" s="44">
        <f t="shared" si="104"/>
        <v>6565275.8381533595</v>
      </c>
      <c r="AK330" s="44">
        <f t="shared" si="104"/>
        <v>1447207.0218845988</v>
      </c>
      <c r="AL330" s="46">
        <f t="shared" si="105"/>
        <v>1.06</v>
      </c>
      <c r="AM330" s="46">
        <f t="shared" si="105"/>
        <v>0.96</v>
      </c>
      <c r="AN330" s="81">
        <f>IFERROR(INDEX(FeeCalc!P:P,MATCH(C330,FeeCalc!F:F,0)),0)</f>
        <v>14180501.173622914</v>
      </c>
      <c r="AO330" s="81">
        <f>IFERROR(INDEX(FeeCalc!S:S,MATCH(C330,FeeCalc!F:F,0)),0)</f>
        <v>879612.2290097574</v>
      </c>
      <c r="AP330" s="81">
        <f t="shared" si="106"/>
        <v>15060113.40263267</v>
      </c>
      <c r="AQ330" s="68">
        <f t="shared" si="107"/>
        <v>5926937.7498328928</v>
      </c>
      <c r="AR330" s="68">
        <f>INDEX('IGT Commitment Suggestions'!H:H,MATCH(G330,'IGT Commitment Suggestions'!A:A,0))*AQ330</f>
        <v>2732011.368136989</v>
      </c>
    </row>
    <row r="331" spans="1:44">
      <c r="A331" s="103" t="s">
        <v>2542</v>
      </c>
      <c r="B331" s="123" t="s">
        <v>2542</v>
      </c>
      <c r="C331" s="30" t="s">
        <v>2679</v>
      </c>
      <c r="D331" s="124" t="s">
        <v>2679</v>
      </c>
      <c r="E331" s="119" t="s">
        <v>2930</v>
      </c>
      <c r="F331" s="99" t="s">
        <v>2283</v>
      </c>
      <c r="G331" s="99" t="s">
        <v>1202</v>
      </c>
      <c r="H331" s="42" t="str">
        <f t="shared" si="93"/>
        <v>Urban Travis</v>
      </c>
      <c r="I331" s="44">
        <f>INDEX(FeeCalc!M:M,MATCH(C:C,FeeCalc!F:F,0))</f>
        <v>175792.96344407613</v>
      </c>
      <c r="J331" s="44">
        <f>INDEX(FeeCalc!L:L,MATCH(C:C,FeeCalc!F:F,0))</f>
        <v>551397.16535782441</v>
      </c>
      <c r="K331" s="44">
        <f t="shared" si="94"/>
        <v>727190.12880190054</v>
      </c>
      <c r="L331" s="44">
        <v>1388212.18</v>
      </c>
      <c r="M331" s="44">
        <v>924447.75</v>
      </c>
      <c r="N331" s="44">
        <f t="shared" si="95"/>
        <v>2312659.9299999997</v>
      </c>
      <c r="O331" s="44">
        <v>2706808.6804947653</v>
      </c>
      <c r="P331" s="44">
        <v>1533968.7900550482</v>
      </c>
      <c r="Q331" s="44">
        <f t="shared" si="96"/>
        <v>4240777.4705498135</v>
      </c>
      <c r="R331" s="44" t="str">
        <f t="shared" si="97"/>
        <v>Yes</v>
      </c>
      <c r="S331" s="45" t="str">
        <f t="shared" si="97"/>
        <v>Yes</v>
      </c>
      <c r="T331" s="46">
        <f>ROUND(INDEX(Summary!H:H,MATCH(H:H,Summary!A:A,0)),2)</f>
        <v>0.4</v>
      </c>
      <c r="U331" s="46">
        <f>ROUND(INDEX(Summary!I:I,MATCH(H:H,Summary!A:A,0)),2)</f>
        <v>1.03</v>
      </c>
      <c r="V331" s="79">
        <f t="shared" si="98"/>
        <v>70317.185377630449</v>
      </c>
      <c r="W331" s="79">
        <f t="shared" si="98"/>
        <v>567939.08031855919</v>
      </c>
      <c r="X331" s="44">
        <f t="shared" si="99"/>
        <v>638256.2656961896</v>
      </c>
      <c r="Y331" s="44" t="s">
        <v>2765</v>
      </c>
      <c r="Z331" s="44" t="str">
        <f t="shared" si="100"/>
        <v>Yes</v>
      </c>
      <c r="AA331" s="44" t="str">
        <f t="shared" si="100"/>
        <v>Yes</v>
      </c>
      <c r="AB331" s="44" t="str">
        <f t="shared" si="101"/>
        <v>Yes</v>
      </c>
      <c r="AC331" s="80">
        <f t="shared" si="108"/>
        <v>10.45</v>
      </c>
      <c r="AD331" s="80">
        <f t="shared" si="109"/>
        <v>1.22</v>
      </c>
      <c r="AE331" s="44">
        <f t="shared" si="102"/>
        <v>1837036.4679905954</v>
      </c>
      <c r="AF331" s="44">
        <f t="shared" si="102"/>
        <v>672704.54173654574</v>
      </c>
      <c r="AG331" s="44">
        <f t="shared" si="103"/>
        <v>2509741.0097271409</v>
      </c>
      <c r="AH331" s="46">
        <f>IF(Y331="No",0,IFERROR(ROUNDDOWN(INDEX('90% of ACR'!K:K,MATCH(H:H,'90% of ACR'!A:A,0))*IF(I331&gt;0,IF(O331&gt;0,$R$4*MAX(O331-V331,0),0),0)/I331,2),0))</f>
        <v>10.44</v>
      </c>
      <c r="AI331" s="80">
        <f>IF(Y331="No",0,IFERROR(ROUNDDOWN(INDEX('90% of ACR'!R:R,MATCH(H:H,'90% of ACR'!A:A,0))*IF(J331&gt;0,IF(P331&gt;0,$R$4*MAX(P331-W331,0),0),0)/J331,2),0))</f>
        <v>0.54</v>
      </c>
      <c r="AJ331" s="44">
        <f t="shared" si="104"/>
        <v>1835278.5383561547</v>
      </c>
      <c r="AK331" s="44">
        <f t="shared" si="104"/>
        <v>297754.46929322521</v>
      </c>
      <c r="AL331" s="46">
        <f t="shared" si="105"/>
        <v>10.84</v>
      </c>
      <c r="AM331" s="46">
        <f t="shared" si="105"/>
        <v>1.57</v>
      </c>
      <c r="AN331" s="81">
        <f>IFERROR(INDEX(FeeCalc!P:P,MATCH(C331,FeeCalc!F:F,0)),0)</f>
        <v>2771289.2733455696</v>
      </c>
      <c r="AO331" s="81">
        <f>IFERROR(INDEX(FeeCalc!S:S,MATCH(C331,FeeCalc!F:F,0)),0)</f>
        <v>176866.75693392628</v>
      </c>
      <c r="AP331" s="81">
        <f t="shared" si="106"/>
        <v>2948156.0302794958</v>
      </c>
      <c r="AQ331" s="68">
        <f t="shared" si="107"/>
        <v>1160252.7020285563</v>
      </c>
      <c r="AR331" s="68">
        <f>INDEX('IGT Commitment Suggestions'!H:H,MATCH(G331,'IGT Commitment Suggestions'!A:A,0))*AQ331</f>
        <v>533106.07985698746</v>
      </c>
    </row>
    <row r="332" spans="1:44">
      <c r="A332" s="103" t="s">
        <v>1614</v>
      </c>
      <c r="B332" s="123" t="s">
        <v>1614</v>
      </c>
      <c r="C332" s="30" t="s">
        <v>1615</v>
      </c>
      <c r="D332" s="124" t="s">
        <v>1615</v>
      </c>
      <c r="E332" s="119" t="s">
        <v>2122</v>
      </c>
      <c r="F332" s="99" t="s">
        <v>2283</v>
      </c>
      <c r="G332" s="99" t="s">
        <v>300</v>
      </c>
      <c r="H332" s="42" t="str">
        <f t="shared" si="93"/>
        <v>Urban Harris</v>
      </c>
      <c r="I332" s="44">
        <f>INDEX(FeeCalc!M:M,MATCH(C:C,FeeCalc!F:F,0))</f>
        <v>19190804.319648135</v>
      </c>
      <c r="J332" s="44">
        <f>INDEX(FeeCalc!L:L,MATCH(C:C,FeeCalc!F:F,0))</f>
        <v>4461185.697048747</v>
      </c>
      <c r="K332" s="44">
        <f t="shared" si="94"/>
        <v>23651990.016696882</v>
      </c>
      <c r="L332" s="44">
        <v>25188239.969999999</v>
      </c>
      <c r="M332" s="44">
        <v>2733963.38</v>
      </c>
      <c r="N332" s="44">
        <f t="shared" si="95"/>
        <v>27922203.349999998</v>
      </c>
      <c r="O332" s="44">
        <v>28994440.092509769</v>
      </c>
      <c r="P332" s="44">
        <v>3489970.9012322668</v>
      </c>
      <c r="Q332" s="44">
        <f t="shared" si="96"/>
        <v>32484410.993742034</v>
      </c>
      <c r="R332" s="44" t="str">
        <f t="shared" si="97"/>
        <v>Yes</v>
      </c>
      <c r="S332" s="45" t="str">
        <f t="shared" si="97"/>
        <v>Yes</v>
      </c>
      <c r="T332" s="46">
        <f>ROUND(INDEX(Summary!H:H,MATCH(H:H,Summary!A:A,0)),2)</f>
        <v>1.74</v>
      </c>
      <c r="U332" s="46">
        <f>ROUND(INDEX(Summary!I:I,MATCH(H:H,Summary!A:A,0)),2)</f>
        <v>0.33</v>
      </c>
      <c r="V332" s="79">
        <f t="shared" si="98"/>
        <v>33391999.516187757</v>
      </c>
      <c r="W332" s="79">
        <f t="shared" si="98"/>
        <v>1472191.2800260866</v>
      </c>
      <c r="X332" s="44">
        <f t="shared" si="99"/>
        <v>34864190.796213843</v>
      </c>
      <c r="Y332" s="44" t="s">
        <v>2765</v>
      </c>
      <c r="Z332" s="44" t="str">
        <f t="shared" si="100"/>
        <v>No</v>
      </c>
      <c r="AA332" s="44" t="str">
        <f t="shared" si="100"/>
        <v>Yes</v>
      </c>
      <c r="AB332" s="44" t="str">
        <f t="shared" si="101"/>
        <v>Yes</v>
      </c>
      <c r="AC332" s="80">
        <f t="shared" si="108"/>
        <v>0</v>
      </c>
      <c r="AD332" s="80">
        <f t="shared" si="109"/>
        <v>0.32</v>
      </c>
      <c r="AE332" s="44">
        <f t="shared" si="102"/>
        <v>0</v>
      </c>
      <c r="AF332" s="44">
        <f t="shared" si="102"/>
        <v>1427579.423055599</v>
      </c>
      <c r="AG332" s="44">
        <f t="shared" si="103"/>
        <v>1427579.423055599</v>
      </c>
      <c r="AH332" s="46">
        <f>IF(Y332="No",0,IFERROR(ROUNDDOWN(INDEX('90% of ACR'!K:K,MATCH(H:H,'90% of ACR'!A:A,0))*IF(I332&gt;0,IF(O332&gt;0,$R$4*MAX(O332-V332,0),0),0)/I332,2),0))</f>
        <v>0</v>
      </c>
      <c r="AI332" s="80">
        <f>IF(Y332="No",0,IFERROR(ROUNDDOWN(INDEX('90% of ACR'!R:R,MATCH(H:H,'90% of ACR'!A:A,0))*IF(J332&gt;0,IF(P332&gt;0,$R$4*MAX(P332-W332,0),0),0)/J332,2),0))</f>
        <v>0.28999999999999998</v>
      </c>
      <c r="AJ332" s="44">
        <f t="shared" si="104"/>
        <v>0</v>
      </c>
      <c r="AK332" s="44">
        <f t="shared" si="104"/>
        <v>1293743.8521441366</v>
      </c>
      <c r="AL332" s="46">
        <f t="shared" si="105"/>
        <v>1.74</v>
      </c>
      <c r="AM332" s="46">
        <f t="shared" si="105"/>
        <v>0.62</v>
      </c>
      <c r="AN332" s="81">
        <f>IFERROR(INDEX(FeeCalc!P:P,MATCH(C332,FeeCalc!F:F,0)),0)</f>
        <v>36157934.64835798</v>
      </c>
      <c r="AO332" s="81">
        <f>IFERROR(INDEX(FeeCalc!S:S,MATCH(C332,FeeCalc!F:F,0)),0)</f>
        <v>2241100.4006793434</v>
      </c>
      <c r="AP332" s="81">
        <f t="shared" si="106"/>
        <v>38399035.049037322</v>
      </c>
      <c r="AQ332" s="68">
        <f t="shared" si="107"/>
        <v>15112017.041618738</v>
      </c>
      <c r="AR332" s="68">
        <f>INDEX('IGT Commitment Suggestions'!H:H,MATCH(G332,'IGT Commitment Suggestions'!A:A,0))*AQ332</f>
        <v>6933300.1533397874</v>
      </c>
    </row>
    <row r="333" spans="1:44">
      <c r="A333" s="103" t="s">
        <v>892</v>
      </c>
      <c r="B333" s="123" t="s">
        <v>892</v>
      </c>
      <c r="C333" s="30" t="s">
        <v>893</v>
      </c>
      <c r="D333" s="124" t="s">
        <v>893</v>
      </c>
      <c r="E333" s="119" t="s">
        <v>2471</v>
      </c>
      <c r="F333" s="99" t="s">
        <v>2295</v>
      </c>
      <c r="G333" s="99" t="s">
        <v>227</v>
      </c>
      <c r="H333" s="42" t="str">
        <f t="shared" si="93"/>
        <v>Rural MRSA West</v>
      </c>
      <c r="I333" s="44">
        <f>INDEX(FeeCalc!M:M,MATCH(C:C,FeeCalc!F:F,0))</f>
        <v>394851.1816232694</v>
      </c>
      <c r="J333" s="44">
        <f>INDEX(FeeCalc!L:L,MATCH(C:C,FeeCalc!F:F,0))</f>
        <v>82309.463204558328</v>
      </c>
      <c r="K333" s="44">
        <f t="shared" si="94"/>
        <v>477160.64482782769</v>
      </c>
      <c r="L333" s="44">
        <v>523.07000000000005</v>
      </c>
      <c r="M333" s="44">
        <v>23938.62</v>
      </c>
      <c r="N333" s="44">
        <f t="shared" si="95"/>
        <v>24461.69</v>
      </c>
      <c r="O333" s="44">
        <v>-5081.7125589902207</v>
      </c>
      <c r="P333" s="44">
        <v>31519.646901557629</v>
      </c>
      <c r="Q333" s="44">
        <f t="shared" si="96"/>
        <v>26437.934342567409</v>
      </c>
      <c r="R333" s="44" t="str">
        <f t="shared" si="97"/>
        <v>No</v>
      </c>
      <c r="S333" s="45" t="str">
        <f t="shared" si="97"/>
        <v>Yes</v>
      </c>
      <c r="T333" s="46">
        <f>ROUND(INDEX(Summary!H:H,MATCH(H:H,Summary!A:A,0)),2)</f>
        <v>0</v>
      </c>
      <c r="U333" s="46">
        <f>ROUND(INDEX(Summary!I:I,MATCH(H:H,Summary!A:A,0)),2)</f>
        <v>0.18</v>
      </c>
      <c r="V333" s="79">
        <f t="shared" si="98"/>
        <v>0</v>
      </c>
      <c r="W333" s="79">
        <f t="shared" si="98"/>
        <v>14815.703376820498</v>
      </c>
      <c r="X333" s="44">
        <f t="shared" si="99"/>
        <v>14815.703376820498</v>
      </c>
      <c r="Y333" s="44" t="s">
        <v>2765</v>
      </c>
      <c r="Z333" s="44" t="str">
        <f t="shared" si="100"/>
        <v>No</v>
      </c>
      <c r="AA333" s="44" t="str">
        <f t="shared" si="100"/>
        <v>Yes</v>
      </c>
      <c r="AB333" s="44" t="str">
        <f t="shared" si="101"/>
        <v>Yes</v>
      </c>
      <c r="AC333" s="80">
        <f t="shared" si="108"/>
        <v>0</v>
      </c>
      <c r="AD333" s="80">
        <f t="shared" si="109"/>
        <v>0.14000000000000001</v>
      </c>
      <c r="AE333" s="44">
        <f t="shared" si="102"/>
        <v>0</v>
      </c>
      <c r="AF333" s="44">
        <f t="shared" si="102"/>
        <v>11523.324848638167</v>
      </c>
      <c r="AG333" s="44">
        <f t="shared" si="103"/>
        <v>11523.324848638167</v>
      </c>
      <c r="AH333" s="46">
        <f>IF(Y333="No",0,IFERROR(ROUNDDOWN(INDEX('90% of ACR'!K:K,MATCH(H:H,'90% of ACR'!A:A,0))*IF(I333&gt;0,IF(O333&gt;0,$R$4*MAX(O333-V333,0),0),0)/I333,2),0))</f>
        <v>0</v>
      </c>
      <c r="AI333" s="80">
        <f>IF(Y333="No",0,IFERROR(ROUNDDOWN(INDEX('90% of ACR'!R:R,MATCH(H:H,'90% of ACR'!A:A,0))*IF(J333&gt;0,IF(P333&gt;0,$R$4*MAX(P333-W333,0),0),0)/J333,2),0))</f>
        <v>0.13</v>
      </c>
      <c r="AJ333" s="44">
        <f t="shared" si="104"/>
        <v>0</v>
      </c>
      <c r="AK333" s="44">
        <f t="shared" si="104"/>
        <v>10700.230216592583</v>
      </c>
      <c r="AL333" s="46">
        <f t="shared" si="105"/>
        <v>0</v>
      </c>
      <c r="AM333" s="46">
        <f t="shared" si="105"/>
        <v>0.31</v>
      </c>
      <c r="AN333" s="81">
        <f>IFERROR(INDEX(FeeCalc!P:P,MATCH(C333,FeeCalc!F:F,0)),0)</f>
        <v>25515.933593413083</v>
      </c>
      <c r="AO333" s="81">
        <f>IFERROR(INDEX(FeeCalc!S:S,MATCH(C333,FeeCalc!F:F,0)),0)</f>
        <v>1586.6231671192952</v>
      </c>
      <c r="AP333" s="81">
        <f t="shared" si="106"/>
        <v>27102.556760532378</v>
      </c>
      <c r="AQ333" s="68">
        <f t="shared" si="107"/>
        <v>10666.265418221041</v>
      </c>
      <c r="AR333" s="68">
        <f>INDEX('IGT Commitment Suggestions'!H:H,MATCH(G333,'IGT Commitment Suggestions'!A:A,0))*AQ333</f>
        <v>5227.1489702022327</v>
      </c>
    </row>
    <row r="334" spans="1:44">
      <c r="A334" s="103" t="s">
        <v>614</v>
      </c>
      <c r="B334" s="123" t="s">
        <v>614</v>
      </c>
      <c r="C334" s="30" t="s">
        <v>615</v>
      </c>
      <c r="D334" s="124" t="s">
        <v>615</v>
      </c>
      <c r="E334" s="119" t="s">
        <v>1711</v>
      </c>
      <c r="F334" s="99" t="s">
        <v>2295</v>
      </c>
      <c r="G334" s="99" t="s">
        <v>227</v>
      </c>
      <c r="H334" s="42" t="str">
        <f t="shared" si="93"/>
        <v>Rural MRSA West</v>
      </c>
      <c r="I334" s="44">
        <f>INDEX(FeeCalc!M:M,MATCH(C:C,FeeCalc!F:F,0))</f>
        <v>20372.722572025821</v>
      </c>
      <c r="J334" s="44">
        <f>INDEX(FeeCalc!L:L,MATCH(C:C,FeeCalc!F:F,0))</f>
        <v>178963.99520682119</v>
      </c>
      <c r="K334" s="44">
        <f t="shared" si="94"/>
        <v>199336.717778847</v>
      </c>
      <c r="L334" s="44">
        <v>31699.38</v>
      </c>
      <c r="M334" s="44">
        <v>-15051.63</v>
      </c>
      <c r="N334" s="44">
        <f t="shared" si="95"/>
        <v>16647.75</v>
      </c>
      <c r="O334" s="44">
        <v>-5341.7999681916972</v>
      </c>
      <c r="P334" s="44">
        <v>118641.52553395202</v>
      </c>
      <c r="Q334" s="44">
        <f t="shared" si="96"/>
        <v>113299.72556576032</v>
      </c>
      <c r="R334" s="44" t="str">
        <f t="shared" si="97"/>
        <v>No</v>
      </c>
      <c r="S334" s="45" t="str">
        <f t="shared" si="97"/>
        <v>Yes</v>
      </c>
      <c r="T334" s="46">
        <f>ROUND(INDEX(Summary!H:H,MATCH(H:H,Summary!A:A,0)),2)</f>
        <v>0</v>
      </c>
      <c r="U334" s="46">
        <f>ROUND(INDEX(Summary!I:I,MATCH(H:H,Summary!A:A,0)),2)</f>
        <v>0.18</v>
      </c>
      <c r="V334" s="79">
        <f t="shared" si="98"/>
        <v>0</v>
      </c>
      <c r="W334" s="79">
        <f t="shared" si="98"/>
        <v>32213.519137227813</v>
      </c>
      <c r="X334" s="44">
        <f t="shared" si="99"/>
        <v>32213.519137227813</v>
      </c>
      <c r="Y334" s="44" t="s">
        <v>2765</v>
      </c>
      <c r="Z334" s="44" t="str">
        <f t="shared" si="100"/>
        <v>No</v>
      </c>
      <c r="AA334" s="44" t="str">
        <f t="shared" si="100"/>
        <v>Yes</v>
      </c>
      <c r="AB334" s="44" t="str">
        <f t="shared" si="101"/>
        <v>Yes</v>
      </c>
      <c r="AC334" s="80">
        <f t="shared" si="108"/>
        <v>0</v>
      </c>
      <c r="AD334" s="80">
        <f t="shared" si="109"/>
        <v>0.34</v>
      </c>
      <c r="AE334" s="44">
        <f t="shared" si="102"/>
        <v>0</v>
      </c>
      <c r="AF334" s="44">
        <f t="shared" si="102"/>
        <v>60847.758370319207</v>
      </c>
      <c r="AG334" s="44">
        <f t="shared" si="103"/>
        <v>60847.758370319207</v>
      </c>
      <c r="AH334" s="46">
        <f>IF(Y334="No",0,IFERROR(ROUNDDOWN(INDEX('90% of ACR'!K:K,MATCH(H:H,'90% of ACR'!A:A,0))*IF(I334&gt;0,IF(O334&gt;0,$R$4*MAX(O334-V334,0),0),0)/I334,2),0))</f>
        <v>0</v>
      </c>
      <c r="AI334" s="80">
        <f>IF(Y334="No",0,IFERROR(ROUNDDOWN(INDEX('90% of ACR'!R:R,MATCH(H:H,'90% of ACR'!A:A,0))*IF(J334&gt;0,IF(P334&gt;0,$R$4*MAX(P334-W334,0),0),0)/J334,2),0))</f>
        <v>0.32</v>
      </c>
      <c r="AJ334" s="44">
        <f t="shared" si="104"/>
        <v>0</v>
      </c>
      <c r="AK334" s="44">
        <f t="shared" si="104"/>
        <v>57268.47846618278</v>
      </c>
      <c r="AL334" s="46">
        <f t="shared" si="105"/>
        <v>0</v>
      </c>
      <c r="AM334" s="46">
        <f t="shared" si="105"/>
        <v>0.5</v>
      </c>
      <c r="AN334" s="81">
        <f>IFERROR(INDEX(FeeCalc!P:P,MATCH(C334,FeeCalc!F:F,0)),0)</f>
        <v>89481.997603410593</v>
      </c>
      <c r="AO334" s="81">
        <f>IFERROR(INDEX(FeeCalc!S:S,MATCH(C334,FeeCalc!F:F,0)),0)</f>
        <v>5511.4289379712163</v>
      </c>
      <c r="AP334" s="81">
        <f t="shared" si="106"/>
        <v>94993.426541381807</v>
      </c>
      <c r="AQ334" s="68">
        <f t="shared" si="107"/>
        <v>37384.853002213895</v>
      </c>
      <c r="AR334" s="68">
        <f>INDEX('IGT Commitment Suggestions'!H:H,MATCH(G334,'IGT Commitment Suggestions'!A:A,0))*AQ334</f>
        <v>18320.957543195698</v>
      </c>
    </row>
    <row r="335" spans="1:44">
      <c r="A335" s="103" t="s">
        <v>986</v>
      </c>
      <c r="B335" s="123" t="s">
        <v>986</v>
      </c>
      <c r="C335" s="30" t="s">
        <v>987</v>
      </c>
      <c r="D335" s="124" t="s">
        <v>987</v>
      </c>
      <c r="E335" s="119" t="s">
        <v>1905</v>
      </c>
      <c r="F335" s="99" t="s">
        <v>2295</v>
      </c>
      <c r="G335" s="99" t="s">
        <v>227</v>
      </c>
      <c r="H335" s="42" t="str">
        <f t="shared" si="93"/>
        <v>Rural MRSA West</v>
      </c>
      <c r="I335" s="44">
        <f>INDEX(FeeCalc!M:M,MATCH(C:C,FeeCalc!F:F,0))</f>
        <v>4685.8045877645973</v>
      </c>
      <c r="J335" s="44">
        <f>INDEX(FeeCalc!L:L,MATCH(C:C,FeeCalc!F:F,0))</f>
        <v>107547.16927771243</v>
      </c>
      <c r="K335" s="44">
        <f t="shared" si="94"/>
        <v>112232.97386547702</v>
      </c>
      <c r="L335" s="44">
        <v>0</v>
      </c>
      <c r="M335" s="44">
        <v>16471.18</v>
      </c>
      <c r="N335" s="44">
        <f t="shared" si="95"/>
        <v>16471.18</v>
      </c>
      <c r="O335" s="44">
        <v>0</v>
      </c>
      <c r="P335" s="44">
        <v>-6688.6970564302683</v>
      </c>
      <c r="Q335" s="44">
        <f t="shared" si="96"/>
        <v>-6688.6970564302683</v>
      </c>
      <c r="R335" s="44" t="str">
        <f t="shared" si="97"/>
        <v>No</v>
      </c>
      <c r="S335" s="45" t="str">
        <f t="shared" si="97"/>
        <v>No</v>
      </c>
      <c r="T335" s="46">
        <f>ROUND(INDEX(Summary!H:H,MATCH(H:H,Summary!A:A,0)),2)</f>
        <v>0</v>
      </c>
      <c r="U335" s="46">
        <f>ROUND(INDEX(Summary!I:I,MATCH(H:H,Summary!A:A,0)),2)</f>
        <v>0.18</v>
      </c>
      <c r="V335" s="79">
        <f t="shared" si="98"/>
        <v>0</v>
      </c>
      <c r="W335" s="79">
        <f t="shared" si="98"/>
        <v>19358.490469988235</v>
      </c>
      <c r="X335" s="44">
        <f t="shared" si="99"/>
        <v>19358.490469988235</v>
      </c>
      <c r="Y335" s="44" t="s">
        <v>2765</v>
      </c>
      <c r="Z335" s="44" t="str">
        <f t="shared" si="100"/>
        <v>No</v>
      </c>
      <c r="AA335" s="44" t="str">
        <f t="shared" si="100"/>
        <v>No</v>
      </c>
      <c r="AB335" s="44" t="str">
        <f t="shared" si="101"/>
        <v>No</v>
      </c>
      <c r="AC335" s="80">
        <f t="shared" si="108"/>
        <v>0</v>
      </c>
      <c r="AD335" s="80">
        <f t="shared" si="109"/>
        <v>0</v>
      </c>
      <c r="AE335" s="44">
        <f t="shared" si="102"/>
        <v>0</v>
      </c>
      <c r="AF335" s="44">
        <f t="shared" si="102"/>
        <v>0</v>
      </c>
      <c r="AG335" s="44">
        <f t="shared" si="103"/>
        <v>0</v>
      </c>
      <c r="AH335" s="46">
        <f>IF(Y335="No",0,IFERROR(ROUNDDOWN(INDEX('90% of ACR'!K:K,MATCH(H:H,'90% of ACR'!A:A,0))*IF(I335&gt;0,IF(O335&gt;0,$R$4*MAX(O335-V335,0),0),0)/I335,2),0))</f>
        <v>0</v>
      </c>
      <c r="AI335" s="80">
        <f>IF(Y335="No",0,IFERROR(ROUNDDOWN(INDEX('90% of ACR'!R:R,MATCH(H:H,'90% of ACR'!A:A,0))*IF(J335&gt;0,IF(P335&gt;0,$R$4*MAX(P335-W335,0),0),0)/J335,2),0))</f>
        <v>0</v>
      </c>
      <c r="AJ335" s="44">
        <f t="shared" si="104"/>
        <v>0</v>
      </c>
      <c r="AK335" s="44">
        <f t="shared" si="104"/>
        <v>0</v>
      </c>
      <c r="AL335" s="46">
        <f t="shared" si="105"/>
        <v>0</v>
      </c>
      <c r="AM335" s="46">
        <f t="shared" si="105"/>
        <v>0.18</v>
      </c>
      <c r="AN335" s="81">
        <f>IFERROR(INDEX(FeeCalc!P:P,MATCH(C335,FeeCalc!F:F,0)),0)</f>
        <v>19358.490469988235</v>
      </c>
      <c r="AO335" s="81">
        <f>IFERROR(INDEX(FeeCalc!S:S,MATCH(C335,FeeCalc!F:F,0)),0)</f>
        <v>1184.1960582513348</v>
      </c>
      <c r="AP335" s="81">
        <f t="shared" si="106"/>
        <v>20542.68652823957</v>
      </c>
      <c r="AQ335" s="68">
        <f t="shared" si="107"/>
        <v>8084.6153685617401</v>
      </c>
      <c r="AR335" s="68">
        <f>INDEX('IGT Commitment Suggestions'!H:H,MATCH(G335,'IGT Commitment Suggestions'!A:A,0))*AQ335</f>
        <v>3961.9761220330515</v>
      </c>
    </row>
    <row r="336" spans="1:44" ht="25.5">
      <c r="A336" s="103" t="s">
        <v>1265</v>
      </c>
      <c r="B336" s="123" t="s">
        <v>1265</v>
      </c>
      <c r="C336" s="30" t="s">
        <v>1266</v>
      </c>
      <c r="D336" s="124" t="s">
        <v>1266</v>
      </c>
      <c r="E336" s="119" t="s">
        <v>2931</v>
      </c>
      <c r="F336" s="99" t="s">
        <v>2544</v>
      </c>
      <c r="G336" s="99" t="s">
        <v>300</v>
      </c>
      <c r="H336" s="42" t="str">
        <f t="shared" si="93"/>
        <v>Non-state-owned IMD Harris</v>
      </c>
      <c r="I336" s="44">
        <f>INDEX(FeeCalc!M:M,MATCH(C:C,FeeCalc!F:F,0))</f>
        <v>3580813.9404187733</v>
      </c>
      <c r="J336" s="44">
        <f>INDEX(FeeCalc!L:L,MATCH(C:C,FeeCalc!F:F,0))</f>
        <v>0</v>
      </c>
      <c r="K336" s="44">
        <f t="shared" si="94"/>
        <v>3580813.9404187733</v>
      </c>
      <c r="L336" s="44">
        <v>974932.86</v>
      </c>
      <c r="M336" s="44">
        <v>0</v>
      </c>
      <c r="N336" s="44">
        <f t="shared" si="95"/>
        <v>974932.86</v>
      </c>
      <c r="O336" s="44">
        <v>838342.57013351307</v>
      </c>
      <c r="P336" s="44">
        <v>0</v>
      </c>
      <c r="Q336" s="44">
        <f t="shared" si="96"/>
        <v>838342.57013351307</v>
      </c>
      <c r="R336" s="44" t="str">
        <f t="shared" si="97"/>
        <v>Yes</v>
      </c>
      <c r="S336" s="45" t="str">
        <f t="shared" si="97"/>
        <v>No</v>
      </c>
      <c r="T336" s="46">
        <f>ROUND(INDEX(Summary!H:H,MATCH(H:H,Summary!A:A,0)),2)</f>
        <v>0.24</v>
      </c>
      <c r="U336" s="46">
        <f>ROUND(INDEX(Summary!I:I,MATCH(H:H,Summary!A:A,0)),2)</f>
        <v>0</v>
      </c>
      <c r="V336" s="79">
        <f t="shared" si="98"/>
        <v>859395.34570050554</v>
      </c>
      <c r="W336" s="79">
        <f t="shared" si="98"/>
        <v>0</v>
      </c>
      <c r="X336" s="44">
        <f t="shared" si="99"/>
        <v>859395.34570050554</v>
      </c>
      <c r="Y336" s="44" t="s">
        <v>2765</v>
      </c>
      <c r="Z336" s="44" t="str">
        <f t="shared" si="100"/>
        <v>No</v>
      </c>
      <c r="AA336" s="44" t="str">
        <f t="shared" si="100"/>
        <v>No</v>
      </c>
      <c r="AB336" s="44" t="str">
        <f t="shared" si="101"/>
        <v>No</v>
      </c>
      <c r="AC336" s="80">
        <f t="shared" si="108"/>
        <v>0</v>
      </c>
      <c r="AD336" s="80">
        <f t="shared" si="109"/>
        <v>0</v>
      </c>
      <c r="AE336" s="44">
        <f t="shared" si="102"/>
        <v>0</v>
      </c>
      <c r="AF336" s="44">
        <f t="shared" si="102"/>
        <v>0</v>
      </c>
      <c r="AG336" s="44">
        <f t="shared" si="103"/>
        <v>0</v>
      </c>
      <c r="AH336" s="46">
        <f>IF(Y336="No",0,IFERROR(ROUNDDOWN(INDEX('90% of ACR'!K:K,MATCH(H:H,'90% of ACR'!A:A,0))*IF(I336&gt;0,IF(O336&gt;0,$R$4*MAX(O336-V336,0),0),0)/I336,2),0))</f>
        <v>0</v>
      </c>
      <c r="AI336" s="80">
        <f>IF(Y336="No",0,IFERROR(ROUNDDOWN(INDEX('90% of ACR'!R:R,MATCH(H:H,'90% of ACR'!A:A,0))*IF(J336&gt;0,IF(P336&gt;0,$R$4*MAX(P336-W336,0),0),0)/J336,2),0))</f>
        <v>0</v>
      </c>
      <c r="AJ336" s="44">
        <f t="shared" si="104"/>
        <v>0</v>
      </c>
      <c r="AK336" s="44">
        <f t="shared" si="104"/>
        <v>0</v>
      </c>
      <c r="AL336" s="46">
        <f t="shared" si="105"/>
        <v>0.24</v>
      </c>
      <c r="AM336" s="46">
        <f t="shared" si="105"/>
        <v>0</v>
      </c>
      <c r="AN336" s="81">
        <f>IFERROR(INDEX(FeeCalc!P:P,MATCH(C336,FeeCalc!F:F,0)),0)</f>
        <v>859395.34570050554</v>
      </c>
      <c r="AO336" s="81">
        <f>IFERROR(INDEX(FeeCalc!S:S,MATCH(C336,FeeCalc!F:F,0)),0)</f>
        <v>52429.954777484425</v>
      </c>
      <c r="AP336" s="81">
        <f t="shared" si="106"/>
        <v>911825.30047798995</v>
      </c>
      <c r="AQ336" s="68">
        <f t="shared" si="107"/>
        <v>358850.67065371393</v>
      </c>
      <c r="AR336" s="68">
        <f>INDEX('IGT Commitment Suggestions'!H:H,MATCH(G336,'IGT Commitment Suggestions'!A:A,0))*AQ336</f>
        <v>164638.47301240033</v>
      </c>
    </row>
    <row r="337" spans="1:44">
      <c r="A337" s="103" t="s">
        <v>1101</v>
      </c>
      <c r="B337" s="123" t="s">
        <v>1101</v>
      </c>
      <c r="C337" s="30" t="s">
        <v>1102</v>
      </c>
      <c r="D337" s="124" t="s">
        <v>1102</v>
      </c>
      <c r="E337" s="119" t="s">
        <v>2621</v>
      </c>
      <c r="F337" s="99" t="s">
        <v>2283</v>
      </c>
      <c r="G337" s="99" t="s">
        <v>1365</v>
      </c>
      <c r="H337" s="42" t="str">
        <f t="shared" si="93"/>
        <v>Urban Tarrant</v>
      </c>
      <c r="I337" s="44">
        <f>INDEX(FeeCalc!M:M,MATCH(C:C,FeeCalc!F:F,0))</f>
        <v>29691144.72235468</v>
      </c>
      <c r="J337" s="44">
        <f>INDEX(FeeCalc!L:L,MATCH(C:C,FeeCalc!F:F,0))</f>
        <v>11514671.190663876</v>
      </c>
      <c r="K337" s="44">
        <f t="shared" si="94"/>
        <v>41205815.913018554</v>
      </c>
      <c r="L337" s="44">
        <v>13394790.99</v>
      </c>
      <c r="M337" s="44">
        <v>3219004.63</v>
      </c>
      <c r="N337" s="44">
        <f t="shared" si="95"/>
        <v>16613795.620000001</v>
      </c>
      <c r="O337" s="44">
        <v>86358841.534700751</v>
      </c>
      <c r="P337" s="44">
        <v>11258140.23493604</v>
      </c>
      <c r="Q337" s="44">
        <f t="shared" si="96"/>
        <v>97616981.769636795</v>
      </c>
      <c r="R337" s="44" t="str">
        <f t="shared" si="97"/>
        <v>Yes</v>
      </c>
      <c r="S337" s="45" t="str">
        <f t="shared" si="97"/>
        <v>Yes</v>
      </c>
      <c r="T337" s="46">
        <f>ROUND(INDEX(Summary!H:H,MATCH(H:H,Summary!A:A,0)),2)</f>
        <v>0.84</v>
      </c>
      <c r="U337" s="46">
        <f>ROUND(INDEX(Summary!I:I,MATCH(H:H,Summary!A:A,0)),2)</f>
        <v>0.55000000000000004</v>
      </c>
      <c r="V337" s="79">
        <f t="shared" si="98"/>
        <v>24940561.56677793</v>
      </c>
      <c r="W337" s="79">
        <f t="shared" si="98"/>
        <v>6333069.1548651326</v>
      </c>
      <c r="X337" s="44">
        <f t="shared" si="99"/>
        <v>31273630.72164306</v>
      </c>
      <c r="Y337" s="44" t="s">
        <v>2765</v>
      </c>
      <c r="Z337" s="44" t="str">
        <f t="shared" si="100"/>
        <v>Yes</v>
      </c>
      <c r="AA337" s="44" t="str">
        <f t="shared" si="100"/>
        <v>Yes</v>
      </c>
      <c r="AB337" s="44" t="str">
        <f t="shared" si="101"/>
        <v>Yes</v>
      </c>
      <c r="AC337" s="80">
        <f t="shared" si="108"/>
        <v>1.44</v>
      </c>
      <c r="AD337" s="80">
        <f t="shared" si="109"/>
        <v>0.3</v>
      </c>
      <c r="AE337" s="44">
        <f t="shared" si="102"/>
        <v>42755248.400190741</v>
      </c>
      <c r="AF337" s="44">
        <f t="shared" si="102"/>
        <v>3454401.3571991627</v>
      </c>
      <c r="AG337" s="44">
        <f t="shared" si="103"/>
        <v>46209649.757389903</v>
      </c>
      <c r="AH337" s="46">
        <f>IF(Y337="No",0,IFERROR(ROUNDDOWN(INDEX('90% of ACR'!K:K,MATCH(H:H,'90% of ACR'!A:A,0))*IF(I337&gt;0,IF(O337&gt;0,$R$4*MAX(O337-V337,0),0),0)/I337,2),0))</f>
        <v>1.44</v>
      </c>
      <c r="AI337" s="80">
        <f>IF(Y337="No",0,IFERROR(ROUNDDOWN(INDEX('90% of ACR'!R:R,MATCH(H:H,'90% of ACR'!A:A,0))*IF(J337&gt;0,IF(P337&gt;0,$R$4*MAX(P337-W337,0),0),0)/J337,2),0))</f>
        <v>0.28000000000000003</v>
      </c>
      <c r="AJ337" s="44">
        <f t="shared" si="104"/>
        <v>42755248.400190741</v>
      </c>
      <c r="AK337" s="44">
        <f t="shared" si="104"/>
        <v>3224107.9333858858</v>
      </c>
      <c r="AL337" s="46">
        <f t="shared" si="105"/>
        <v>2.2799999999999998</v>
      </c>
      <c r="AM337" s="46">
        <f t="shared" si="105"/>
        <v>0.83000000000000007</v>
      </c>
      <c r="AN337" s="81">
        <f>IFERROR(INDEX(FeeCalc!P:P,MATCH(C337,FeeCalc!F:F,0)),0)</f>
        <v>77252987.05521968</v>
      </c>
      <c r="AO337" s="81">
        <f>IFERROR(INDEX(FeeCalc!S:S,MATCH(C337,FeeCalc!F:F,0)),0)</f>
        <v>4810522.0651887991</v>
      </c>
      <c r="AP337" s="81">
        <f t="shared" si="106"/>
        <v>82063509.120408475</v>
      </c>
      <c r="AQ337" s="68">
        <f t="shared" si="107"/>
        <v>32296258.141355</v>
      </c>
      <c r="AR337" s="68">
        <f>INDEX('IGT Commitment Suggestions'!H:H,MATCH(G337,'IGT Commitment Suggestions'!A:A,0))*AQ337</f>
        <v>14730016.003771286</v>
      </c>
    </row>
    <row r="338" spans="1:44">
      <c r="A338" s="103" t="s">
        <v>437</v>
      </c>
      <c r="B338" s="123" t="s">
        <v>437</v>
      </c>
      <c r="C338" s="30" t="s">
        <v>438</v>
      </c>
      <c r="D338" s="124" t="s">
        <v>438</v>
      </c>
      <c r="E338" s="119" t="s">
        <v>2932</v>
      </c>
      <c r="F338" s="99" t="s">
        <v>1547</v>
      </c>
      <c r="G338" s="99" t="s">
        <v>223</v>
      </c>
      <c r="H338" s="42" t="str">
        <f t="shared" si="93"/>
        <v>Children's Dallas</v>
      </c>
      <c r="I338" s="44">
        <f>INDEX(FeeCalc!M:M,MATCH(C:C,FeeCalc!F:F,0))</f>
        <v>5192895.95063054</v>
      </c>
      <c r="J338" s="44">
        <f>INDEX(FeeCalc!L:L,MATCH(C:C,FeeCalc!F:F,0))</f>
        <v>2507337.8723887866</v>
      </c>
      <c r="K338" s="44">
        <f t="shared" si="94"/>
        <v>7700233.8230193267</v>
      </c>
      <c r="L338" s="44">
        <v>-1615705.21</v>
      </c>
      <c r="M338" s="44">
        <v>321017.96000000002</v>
      </c>
      <c r="N338" s="44">
        <f t="shared" si="95"/>
        <v>-1294687.25</v>
      </c>
      <c r="O338" s="44">
        <v>124900.26783476816</v>
      </c>
      <c r="P338" s="44">
        <v>1173379.4444868104</v>
      </c>
      <c r="Q338" s="44">
        <f t="shared" si="96"/>
        <v>1298279.7123215785</v>
      </c>
      <c r="R338" s="44" t="str">
        <f t="shared" si="97"/>
        <v>Yes</v>
      </c>
      <c r="S338" s="45" t="str">
        <f t="shared" si="97"/>
        <v>Yes</v>
      </c>
      <c r="T338" s="46">
        <f>ROUND(INDEX(Summary!H:H,MATCH(H:H,Summary!A:A,0)),2)</f>
        <v>0.71</v>
      </c>
      <c r="U338" s="46">
        <f>ROUND(INDEX(Summary!I:I,MATCH(H:H,Summary!A:A,0)),2)</f>
        <v>0</v>
      </c>
      <c r="V338" s="79">
        <f t="shared" si="98"/>
        <v>3686956.1249476834</v>
      </c>
      <c r="W338" s="79">
        <f t="shared" si="98"/>
        <v>0</v>
      </c>
      <c r="X338" s="44">
        <f t="shared" si="99"/>
        <v>3686956.1249476834</v>
      </c>
      <c r="Y338" s="44" t="s">
        <v>2765</v>
      </c>
      <c r="Z338" s="44" t="str">
        <f t="shared" si="100"/>
        <v>No</v>
      </c>
      <c r="AA338" s="44" t="str">
        <f t="shared" si="100"/>
        <v>Yes</v>
      </c>
      <c r="AB338" s="44" t="str">
        <f t="shared" si="101"/>
        <v>Yes</v>
      </c>
      <c r="AC338" s="80">
        <f t="shared" si="108"/>
        <v>0</v>
      </c>
      <c r="AD338" s="80">
        <f t="shared" si="109"/>
        <v>0.33</v>
      </c>
      <c r="AE338" s="44">
        <f t="shared" si="102"/>
        <v>0</v>
      </c>
      <c r="AF338" s="44">
        <f t="shared" si="102"/>
        <v>827421.49788829964</v>
      </c>
      <c r="AG338" s="44">
        <f t="shared" si="103"/>
        <v>827421.49788829964</v>
      </c>
      <c r="AH338" s="46">
        <f>IF(Y338="No",0,IFERROR(ROUNDDOWN(INDEX('90% of ACR'!K:K,MATCH(H:H,'90% of ACR'!A:A,0))*IF(I338&gt;0,IF(O338&gt;0,$R$4*MAX(O338-V338,0),0),0)/I338,2),0))</f>
        <v>0</v>
      </c>
      <c r="AI338" s="80">
        <f>IF(Y338="No",0,IFERROR(ROUNDDOWN(INDEX('90% of ACR'!R:R,MATCH(H:H,'90% of ACR'!A:A,0))*IF(J338&gt;0,IF(P338&gt;0,$R$4*MAX(P338-W338,0),0),0)/J338,2),0))</f>
        <v>0.32</v>
      </c>
      <c r="AJ338" s="44">
        <f t="shared" si="104"/>
        <v>0</v>
      </c>
      <c r="AK338" s="44">
        <f t="shared" si="104"/>
        <v>802348.11916441179</v>
      </c>
      <c r="AL338" s="46">
        <f t="shared" si="105"/>
        <v>0.71</v>
      </c>
      <c r="AM338" s="46">
        <f t="shared" si="105"/>
        <v>0.32</v>
      </c>
      <c r="AN338" s="81">
        <f>IFERROR(INDEX(FeeCalc!P:P,MATCH(C338,FeeCalc!F:F,0)),0)</f>
        <v>4489304.2441120949</v>
      </c>
      <c r="AO338" s="81">
        <f>IFERROR(INDEX(FeeCalc!S:S,MATCH(C338,FeeCalc!F:F,0)),0)</f>
        <v>273884.35126124433</v>
      </c>
      <c r="AP338" s="81">
        <f t="shared" si="106"/>
        <v>4763188.595373339</v>
      </c>
      <c r="AQ338" s="68">
        <f t="shared" si="107"/>
        <v>1874562.3980863686</v>
      </c>
      <c r="AR338" s="68">
        <f>INDEX('IGT Commitment Suggestions'!H:H,MATCH(G338,'IGT Commitment Suggestions'!A:A,0))*AQ338</f>
        <v>857300.61843883083</v>
      </c>
    </row>
    <row r="339" spans="1:44">
      <c r="A339" s="103" t="s">
        <v>1104</v>
      </c>
      <c r="B339" s="123" t="s">
        <v>1104</v>
      </c>
      <c r="C339" s="30" t="s">
        <v>1105</v>
      </c>
      <c r="D339" s="124" t="s">
        <v>1105</v>
      </c>
      <c r="E339" s="119" t="s">
        <v>2623</v>
      </c>
      <c r="F339" s="99" t="s">
        <v>2283</v>
      </c>
      <c r="G339" s="99" t="s">
        <v>1365</v>
      </c>
      <c r="H339" s="42" t="str">
        <f t="shared" si="93"/>
        <v>Urban Tarrant</v>
      </c>
      <c r="I339" s="44">
        <f>INDEX(FeeCalc!M:M,MATCH(C:C,FeeCalc!F:F,0))</f>
        <v>8616676.8017857186</v>
      </c>
      <c r="J339" s="44">
        <f>INDEX(FeeCalc!L:L,MATCH(C:C,FeeCalc!F:F,0))</f>
        <v>3545008.8022147464</v>
      </c>
      <c r="K339" s="44">
        <f t="shared" si="94"/>
        <v>12161685.604000464</v>
      </c>
      <c r="L339" s="44">
        <v>4132426.06</v>
      </c>
      <c r="M339" s="44">
        <v>1593375.16</v>
      </c>
      <c r="N339" s="44">
        <f t="shared" si="95"/>
        <v>5725801.2199999997</v>
      </c>
      <c r="O339" s="44">
        <v>24349046.196645908</v>
      </c>
      <c r="P339" s="44">
        <v>4396403.7506961394</v>
      </c>
      <c r="Q339" s="44">
        <f t="shared" si="96"/>
        <v>28745449.947342046</v>
      </c>
      <c r="R339" s="44" t="str">
        <f t="shared" si="97"/>
        <v>Yes</v>
      </c>
      <c r="S339" s="45" t="str">
        <f t="shared" si="97"/>
        <v>Yes</v>
      </c>
      <c r="T339" s="46">
        <f>ROUND(INDEX(Summary!H:H,MATCH(H:H,Summary!A:A,0)),2)</f>
        <v>0.84</v>
      </c>
      <c r="U339" s="46">
        <f>ROUND(INDEX(Summary!I:I,MATCH(H:H,Summary!A:A,0)),2)</f>
        <v>0.55000000000000004</v>
      </c>
      <c r="V339" s="79">
        <f t="shared" si="98"/>
        <v>7238008.5135000031</v>
      </c>
      <c r="W339" s="79">
        <f t="shared" si="98"/>
        <v>1949754.8412181106</v>
      </c>
      <c r="X339" s="44">
        <f t="shared" si="99"/>
        <v>9187763.3547181133</v>
      </c>
      <c r="Y339" s="44" t="s">
        <v>2765</v>
      </c>
      <c r="Z339" s="44" t="str">
        <f t="shared" si="100"/>
        <v>Yes</v>
      </c>
      <c r="AA339" s="44" t="str">
        <f t="shared" si="100"/>
        <v>Yes</v>
      </c>
      <c r="AB339" s="44" t="str">
        <f t="shared" si="101"/>
        <v>Yes</v>
      </c>
      <c r="AC339" s="80">
        <f t="shared" si="108"/>
        <v>1.38</v>
      </c>
      <c r="AD339" s="80">
        <f t="shared" si="109"/>
        <v>0.48</v>
      </c>
      <c r="AE339" s="44">
        <f t="shared" si="102"/>
        <v>11891013.98646429</v>
      </c>
      <c r="AF339" s="44">
        <f t="shared" si="102"/>
        <v>1701604.2250630781</v>
      </c>
      <c r="AG339" s="44">
        <f t="shared" si="103"/>
        <v>13592618.211527368</v>
      </c>
      <c r="AH339" s="46">
        <f>IF(Y339="No",0,IFERROR(ROUNDDOWN(INDEX('90% of ACR'!K:K,MATCH(H:H,'90% of ACR'!A:A,0))*IF(I339&gt;0,IF(O339&gt;0,$R$4*MAX(O339-V339,0),0),0)/I339,2),0))</f>
        <v>1.38</v>
      </c>
      <c r="AI339" s="80">
        <f>IF(Y339="No",0,IFERROR(ROUNDDOWN(INDEX('90% of ACR'!R:R,MATCH(H:H,'90% of ACR'!A:A,0))*IF(J339&gt;0,IF(P339&gt;0,$R$4*MAX(P339-W339,0),0),0)/J339,2),0))</f>
        <v>0.46</v>
      </c>
      <c r="AJ339" s="44">
        <f t="shared" si="104"/>
        <v>11891013.98646429</v>
      </c>
      <c r="AK339" s="44">
        <f t="shared" si="104"/>
        <v>1630704.0490187835</v>
      </c>
      <c r="AL339" s="46">
        <f t="shared" si="105"/>
        <v>2.2199999999999998</v>
      </c>
      <c r="AM339" s="46">
        <f t="shared" si="105"/>
        <v>1.01</v>
      </c>
      <c r="AN339" s="81">
        <f>IFERROR(INDEX(FeeCalc!P:P,MATCH(C339,FeeCalc!F:F,0)),0)</f>
        <v>22709481.390201189</v>
      </c>
      <c r="AO339" s="81">
        <f>IFERROR(INDEX(FeeCalc!S:S,MATCH(C339,FeeCalc!F:F,0)),0)</f>
        <v>1399273.82193906</v>
      </c>
      <c r="AP339" s="81">
        <f t="shared" si="106"/>
        <v>24108755.212140247</v>
      </c>
      <c r="AQ339" s="68">
        <f t="shared" si="107"/>
        <v>9488048.8312482182</v>
      </c>
      <c r="AR339" s="68">
        <f>INDEX('IGT Commitment Suggestions'!H:H,MATCH(G339,'IGT Commitment Suggestions'!A:A,0))*AQ339</f>
        <v>4327408.7826877292</v>
      </c>
    </row>
    <row r="340" spans="1:44">
      <c r="A340" s="103" t="s">
        <v>314</v>
      </c>
      <c r="B340" s="123" t="s">
        <v>314</v>
      </c>
      <c r="C340" s="30" t="s">
        <v>315</v>
      </c>
      <c r="D340" s="124" t="s">
        <v>315</v>
      </c>
      <c r="E340" s="119" t="s">
        <v>1637</v>
      </c>
      <c r="F340" s="99" t="s">
        <v>2295</v>
      </c>
      <c r="G340" s="99" t="s">
        <v>227</v>
      </c>
      <c r="H340" s="42" t="str">
        <f t="shared" si="93"/>
        <v>Rural MRSA West</v>
      </c>
      <c r="I340" s="44">
        <f>INDEX(FeeCalc!M:M,MATCH(C:C,FeeCalc!F:F,0))</f>
        <v>921413.44471426366</v>
      </c>
      <c r="J340" s="44">
        <f>INDEX(FeeCalc!L:L,MATCH(C:C,FeeCalc!F:F,0))</f>
        <v>631840.7662079013</v>
      </c>
      <c r="K340" s="44">
        <f t="shared" si="94"/>
        <v>1553254.2109221648</v>
      </c>
      <c r="L340" s="44">
        <v>385329.38</v>
      </c>
      <c r="M340" s="44">
        <v>30133.439999999999</v>
      </c>
      <c r="N340" s="44">
        <f t="shared" si="95"/>
        <v>415462.82</v>
      </c>
      <c r="O340" s="44">
        <v>347585.32944561937</v>
      </c>
      <c r="P340" s="44">
        <v>514164.29947764613</v>
      </c>
      <c r="Q340" s="44">
        <f t="shared" si="96"/>
        <v>861749.6289232655</v>
      </c>
      <c r="R340" s="44" t="str">
        <f t="shared" si="97"/>
        <v>Yes</v>
      </c>
      <c r="S340" s="45" t="str">
        <f t="shared" si="97"/>
        <v>Yes</v>
      </c>
      <c r="T340" s="46">
        <f>ROUND(INDEX(Summary!H:H,MATCH(H:H,Summary!A:A,0)),2)</f>
        <v>0</v>
      </c>
      <c r="U340" s="46">
        <f>ROUND(INDEX(Summary!I:I,MATCH(H:H,Summary!A:A,0)),2)</f>
        <v>0.18</v>
      </c>
      <c r="V340" s="79">
        <f t="shared" si="98"/>
        <v>0</v>
      </c>
      <c r="W340" s="79">
        <f t="shared" si="98"/>
        <v>113731.33791742224</v>
      </c>
      <c r="X340" s="44">
        <f t="shared" si="99"/>
        <v>113731.33791742224</v>
      </c>
      <c r="Y340" s="44" t="s">
        <v>2765</v>
      </c>
      <c r="Z340" s="44" t="str">
        <f t="shared" si="100"/>
        <v>No</v>
      </c>
      <c r="AA340" s="44" t="str">
        <f t="shared" si="100"/>
        <v>Yes</v>
      </c>
      <c r="AB340" s="44" t="str">
        <f t="shared" si="101"/>
        <v>Yes</v>
      </c>
      <c r="AC340" s="80">
        <f t="shared" si="108"/>
        <v>0.26</v>
      </c>
      <c r="AD340" s="80">
        <f t="shared" si="109"/>
        <v>0.44</v>
      </c>
      <c r="AE340" s="44">
        <f t="shared" si="102"/>
        <v>239567.49562570857</v>
      </c>
      <c r="AF340" s="44">
        <f t="shared" si="102"/>
        <v>278009.93713147659</v>
      </c>
      <c r="AG340" s="44">
        <f t="shared" si="103"/>
        <v>517577.43275718519</v>
      </c>
      <c r="AH340" s="46">
        <f>IF(Y340="No",0,IFERROR(ROUNDDOWN(INDEX('90% of ACR'!K:K,MATCH(H:H,'90% of ACR'!A:A,0))*IF(I340&gt;0,IF(O340&gt;0,$R$4*MAX(O340-V340,0),0),0)/I340,2),0))</f>
        <v>0</v>
      </c>
      <c r="AI340" s="80">
        <f>IF(Y340="No",0,IFERROR(ROUNDDOWN(INDEX('90% of ACR'!R:R,MATCH(H:H,'90% of ACR'!A:A,0))*IF(J340&gt;0,IF(P340&gt;0,$R$4*MAX(P340-W340,0),0),0)/J340,2),0))</f>
        <v>0.43</v>
      </c>
      <c r="AJ340" s="44">
        <f t="shared" si="104"/>
        <v>0</v>
      </c>
      <c r="AK340" s="44">
        <f t="shared" si="104"/>
        <v>271691.52946939756</v>
      </c>
      <c r="AL340" s="46">
        <f t="shared" si="105"/>
        <v>0</v>
      </c>
      <c r="AM340" s="46">
        <f t="shared" si="105"/>
        <v>0.61</v>
      </c>
      <c r="AN340" s="81">
        <f>IFERROR(INDEX(FeeCalc!P:P,MATCH(C340,FeeCalc!F:F,0)),0)</f>
        <v>385422.86738681979</v>
      </c>
      <c r="AO340" s="81">
        <f>IFERROR(INDEX(FeeCalc!S:S,MATCH(C340,FeeCalc!F:F,0)),0)</f>
        <v>23658.557958268091</v>
      </c>
      <c r="AP340" s="81">
        <f t="shared" si="106"/>
        <v>409081.42534508789</v>
      </c>
      <c r="AQ340" s="68">
        <f t="shared" si="107"/>
        <v>160994.81310741004</v>
      </c>
      <c r="AR340" s="68">
        <f>INDEX('IGT Commitment Suggestions'!H:H,MATCH(G340,'IGT Commitment Suggestions'!A:A,0))*AQ340</f>
        <v>78897.70585538786</v>
      </c>
    </row>
    <row r="341" spans="1:44">
      <c r="A341" s="103" t="s">
        <v>1561</v>
      </c>
      <c r="B341" s="123" t="s">
        <v>1561</v>
      </c>
      <c r="C341" s="30" t="s">
        <v>1596</v>
      </c>
      <c r="D341" s="124" t="s">
        <v>1596</v>
      </c>
      <c r="E341" s="119" t="s">
        <v>2624</v>
      </c>
      <c r="F341" s="99" t="s">
        <v>2283</v>
      </c>
      <c r="G341" s="99" t="s">
        <v>1365</v>
      </c>
      <c r="H341" s="42" t="str">
        <f t="shared" si="93"/>
        <v>Urban Tarrant</v>
      </c>
      <c r="I341" s="44">
        <f>INDEX(FeeCalc!M:M,MATCH(C:C,FeeCalc!F:F,0))</f>
        <v>6123003.1922394251</v>
      </c>
      <c r="J341" s="44">
        <f>INDEX(FeeCalc!L:L,MATCH(C:C,FeeCalc!F:F,0))</f>
        <v>2097250.0275938497</v>
      </c>
      <c r="K341" s="44">
        <f t="shared" si="94"/>
        <v>8220253.2198332753</v>
      </c>
      <c r="L341" s="44">
        <v>3482771.65</v>
      </c>
      <c r="M341" s="44">
        <v>925834.23999999999</v>
      </c>
      <c r="N341" s="44">
        <f t="shared" si="95"/>
        <v>4408605.8899999997</v>
      </c>
      <c r="O341" s="44">
        <v>15218845.884591423</v>
      </c>
      <c r="P341" s="44">
        <v>2537342.6154114986</v>
      </c>
      <c r="Q341" s="44">
        <f t="shared" si="96"/>
        <v>17756188.500002921</v>
      </c>
      <c r="R341" s="44" t="str">
        <f t="shared" si="97"/>
        <v>Yes</v>
      </c>
      <c r="S341" s="45" t="str">
        <f t="shared" si="97"/>
        <v>Yes</v>
      </c>
      <c r="T341" s="46">
        <f>ROUND(INDEX(Summary!H:H,MATCH(H:H,Summary!A:A,0)),2)</f>
        <v>0.84</v>
      </c>
      <c r="U341" s="46">
        <f>ROUND(INDEX(Summary!I:I,MATCH(H:H,Summary!A:A,0)),2)</f>
        <v>0.55000000000000004</v>
      </c>
      <c r="V341" s="79">
        <f t="shared" si="98"/>
        <v>5143322.6814811174</v>
      </c>
      <c r="W341" s="79">
        <f t="shared" si="98"/>
        <v>1153487.5151766175</v>
      </c>
      <c r="X341" s="44">
        <f t="shared" si="99"/>
        <v>6296810.1966577349</v>
      </c>
      <c r="Y341" s="44" t="s">
        <v>2765</v>
      </c>
      <c r="Z341" s="44" t="str">
        <f t="shared" si="100"/>
        <v>Yes</v>
      </c>
      <c r="AA341" s="44" t="str">
        <f t="shared" si="100"/>
        <v>Yes</v>
      </c>
      <c r="AB341" s="44" t="str">
        <f t="shared" si="101"/>
        <v>Yes</v>
      </c>
      <c r="AC341" s="80">
        <f t="shared" si="108"/>
        <v>1.1499999999999999</v>
      </c>
      <c r="AD341" s="80">
        <f t="shared" si="109"/>
        <v>0.46</v>
      </c>
      <c r="AE341" s="44">
        <f t="shared" si="102"/>
        <v>7041453.6710753385</v>
      </c>
      <c r="AF341" s="44">
        <f t="shared" si="102"/>
        <v>964735.01269317092</v>
      </c>
      <c r="AG341" s="44">
        <f t="shared" si="103"/>
        <v>8006188.683768509</v>
      </c>
      <c r="AH341" s="46">
        <f>IF(Y341="No",0,IFERROR(ROUNDDOWN(INDEX('90% of ACR'!K:K,MATCH(H:H,'90% of ACR'!A:A,0))*IF(I341&gt;0,IF(O341&gt;0,$R$4*MAX(O341-V341,0),0),0)/I341,2),0))</f>
        <v>1.1399999999999999</v>
      </c>
      <c r="AI341" s="80">
        <f>IF(Y341="No",0,IFERROR(ROUNDDOWN(INDEX('90% of ACR'!R:R,MATCH(H:H,'90% of ACR'!A:A,0))*IF(J341&gt;0,IF(P341&gt;0,$R$4*MAX(P341-W341,0),0),0)/J341,2),0))</f>
        <v>0.44</v>
      </c>
      <c r="AJ341" s="44">
        <f t="shared" si="104"/>
        <v>6980223.6391529441</v>
      </c>
      <c r="AK341" s="44">
        <f t="shared" si="104"/>
        <v>922790.01214129385</v>
      </c>
      <c r="AL341" s="46">
        <f t="shared" si="105"/>
        <v>1.98</v>
      </c>
      <c r="AM341" s="46">
        <f t="shared" si="105"/>
        <v>0.99</v>
      </c>
      <c r="AN341" s="81">
        <f>IFERROR(INDEX(FeeCalc!P:P,MATCH(C341,FeeCalc!F:F,0)),0)</f>
        <v>14199823.847951973</v>
      </c>
      <c r="AO341" s="81">
        <f>IFERROR(INDEX(FeeCalc!S:S,MATCH(C341,FeeCalc!F:F,0)),0)</f>
        <v>873788.66436487203</v>
      </c>
      <c r="AP341" s="81">
        <f t="shared" si="106"/>
        <v>15073612.512316845</v>
      </c>
      <c r="AQ341" s="68">
        <f t="shared" si="107"/>
        <v>5932250.3514473196</v>
      </c>
      <c r="AR341" s="68">
        <f>INDEX('IGT Commitment Suggestions'!H:H,MATCH(G341,'IGT Commitment Suggestions'!A:A,0))*AQ341</f>
        <v>2705642.9333931101</v>
      </c>
    </row>
    <row r="342" spans="1:44">
      <c r="A342" s="103" t="s">
        <v>956</v>
      </c>
      <c r="B342" s="123" t="s">
        <v>956</v>
      </c>
      <c r="C342" s="30" t="s">
        <v>957</v>
      </c>
      <c r="D342" s="124" t="s">
        <v>957</v>
      </c>
      <c r="E342" s="119" t="s">
        <v>2933</v>
      </c>
      <c r="F342" s="99" t="s">
        <v>2295</v>
      </c>
      <c r="G342" s="99" t="s">
        <v>227</v>
      </c>
      <c r="H342" s="42" t="str">
        <f t="shared" si="93"/>
        <v>Rural MRSA West</v>
      </c>
      <c r="I342" s="44">
        <f>INDEX(FeeCalc!M:M,MATCH(C:C,FeeCalc!F:F,0))</f>
        <v>2084295.2996114711</v>
      </c>
      <c r="J342" s="44">
        <f>INDEX(FeeCalc!L:L,MATCH(C:C,FeeCalc!F:F,0))</f>
        <v>1240077.174149313</v>
      </c>
      <c r="K342" s="44">
        <f t="shared" si="94"/>
        <v>3324372.4737607841</v>
      </c>
      <c r="L342" s="44">
        <v>-4676711.75</v>
      </c>
      <c r="M342" s="44">
        <v>846131.81</v>
      </c>
      <c r="N342" s="44">
        <f t="shared" si="95"/>
        <v>-3830579.94</v>
      </c>
      <c r="O342" s="44">
        <v>-5170491.5493706921</v>
      </c>
      <c r="P342" s="44">
        <v>394545.99423097464</v>
      </c>
      <c r="Q342" s="44">
        <f t="shared" si="96"/>
        <v>-4775945.5551397176</v>
      </c>
      <c r="R342" s="44" t="str">
        <f t="shared" si="97"/>
        <v>No</v>
      </c>
      <c r="S342" s="45" t="str">
        <f t="shared" si="97"/>
        <v>Yes</v>
      </c>
      <c r="T342" s="46">
        <f>ROUND(INDEX(Summary!H:H,MATCH(H:H,Summary!A:A,0)),2)</f>
        <v>0</v>
      </c>
      <c r="U342" s="46">
        <f>ROUND(INDEX(Summary!I:I,MATCH(H:H,Summary!A:A,0)),2)</f>
        <v>0.18</v>
      </c>
      <c r="V342" s="79">
        <f t="shared" si="98"/>
        <v>0</v>
      </c>
      <c r="W342" s="79">
        <f t="shared" si="98"/>
        <v>223213.89134687633</v>
      </c>
      <c r="X342" s="44">
        <f t="shared" si="99"/>
        <v>223213.89134687633</v>
      </c>
      <c r="Y342" s="44" t="s">
        <v>2765</v>
      </c>
      <c r="Z342" s="44" t="str">
        <f t="shared" si="100"/>
        <v>No</v>
      </c>
      <c r="AA342" s="44" t="str">
        <f t="shared" si="100"/>
        <v>Yes</v>
      </c>
      <c r="AB342" s="44" t="str">
        <f t="shared" si="101"/>
        <v>Yes</v>
      </c>
      <c r="AC342" s="80">
        <f t="shared" si="108"/>
        <v>0</v>
      </c>
      <c r="AD342" s="80">
        <f t="shared" si="109"/>
        <v>0.1</v>
      </c>
      <c r="AE342" s="44">
        <f t="shared" si="102"/>
        <v>0</v>
      </c>
      <c r="AF342" s="44">
        <f t="shared" si="102"/>
        <v>124007.71741493131</v>
      </c>
      <c r="AG342" s="44">
        <f t="shared" si="103"/>
        <v>124007.71741493131</v>
      </c>
      <c r="AH342" s="46">
        <f>IF(Y342="No",0,IFERROR(ROUNDDOWN(INDEX('90% of ACR'!K:K,MATCH(H:H,'90% of ACR'!A:A,0))*IF(I342&gt;0,IF(O342&gt;0,$R$4*MAX(O342-V342,0),0),0)/I342,2),0))</f>
        <v>0</v>
      </c>
      <c r="AI342" s="80">
        <f>IF(Y342="No",0,IFERROR(ROUNDDOWN(INDEX('90% of ACR'!R:R,MATCH(H:H,'90% of ACR'!A:A,0))*IF(J342&gt;0,IF(P342&gt;0,$R$4*MAX(P342-W342,0),0),0)/J342,2),0))</f>
        <v>0.09</v>
      </c>
      <c r="AJ342" s="44">
        <f t="shared" si="104"/>
        <v>0</v>
      </c>
      <c r="AK342" s="44">
        <f t="shared" si="104"/>
        <v>111606.94567343817</v>
      </c>
      <c r="AL342" s="46">
        <f t="shared" si="105"/>
        <v>0</v>
      </c>
      <c r="AM342" s="46">
        <f t="shared" si="105"/>
        <v>0.27</v>
      </c>
      <c r="AN342" s="81">
        <f>IFERROR(INDEX(FeeCalc!P:P,MATCH(C342,FeeCalc!F:F,0)),0)</f>
        <v>334820.83702031453</v>
      </c>
      <c r="AO342" s="81">
        <f>IFERROR(INDEX(FeeCalc!S:S,MATCH(C342,FeeCalc!F:F,0)),0)</f>
        <v>20635.386515363327</v>
      </c>
      <c r="AP342" s="81">
        <f t="shared" si="106"/>
        <v>355456.22353567788</v>
      </c>
      <c r="AQ342" s="68">
        <f t="shared" si="107"/>
        <v>139890.50768491311</v>
      </c>
      <c r="AR342" s="68">
        <f>INDEX('IGT Commitment Suggestions'!H:H,MATCH(G342,'IGT Commitment Suggestions'!A:A,0))*AQ342</f>
        <v>68555.252894524165</v>
      </c>
    </row>
    <row r="343" spans="1:44">
      <c r="A343" s="103" t="s">
        <v>831</v>
      </c>
      <c r="B343" s="123" t="s">
        <v>831</v>
      </c>
      <c r="C343" s="30" t="s">
        <v>832</v>
      </c>
      <c r="D343" s="124" t="s">
        <v>832</v>
      </c>
      <c r="E343" s="119" t="s">
        <v>2707</v>
      </c>
      <c r="F343" s="99" t="s">
        <v>2295</v>
      </c>
      <c r="G343" s="99" t="s">
        <v>487</v>
      </c>
      <c r="H343" s="42" t="str">
        <f t="shared" si="93"/>
        <v>Rural Bexar</v>
      </c>
      <c r="I343" s="44">
        <f>INDEX(FeeCalc!M:M,MATCH(C:C,FeeCalc!F:F,0))</f>
        <v>466610.84265643609</v>
      </c>
      <c r="J343" s="44">
        <f>INDEX(FeeCalc!L:L,MATCH(C:C,FeeCalc!F:F,0))</f>
        <v>1965751.0552602916</v>
      </c>
      <c r="K343" s="44">
        <f t="shared" si="94"/>
        <v>2432361.8979167277</v>
      </c>
      <c r="L343" s="44">
        <v>481758.63</v>
      </c>
      <c r="M343" s="44">
        <v>-142575.82999999999</v>
      </c>
      <c r="N343" s="44">
        <f t="shared" si="95"/>
        <v>339182.80000000005</v>
      </c>
      <c r="O343" s="44">
        <v>378916.65338579821</v>
      </c>
      <c r="P343" s="44">
        <v>421257.67677803553</v>
      </c>
      <c r="Q343" s="44">
        <f t="shared" si="96"/>
        <v>800174.33016383369</v>
      </c>
      <c r="R343" s="44" t="str">
        <f t="shared" si="97"/>
        <v>Yes</v>
      </c>
      <c r="S343" s="45" t="str">
        <f t="shared" si="97"/>
        <v>Yes</v>
      </c>
      <c r="T343" s="46">
        <f>ROUND(INDEX(Summary!H:H,MATCH(H:H,Summary!A:A,0)),2)</f>
        <v>0.53</v>
      </c>
      <c r="U343" s="46">
        <f>ROUND(INDEX(Summary!I:I,MATCH(H:H,Summary!A:A,0)),2)</f>
        <v>0.1</v>
      </c>
      <c r="V343" s="79">
        <f t="shared" si="98"/>
        <v>247303.74660791113</v>
      </c>
      <c r="W343" s="79">
        <f t="shared" si="98"/>
        <v>196575.10552602916</v>
      </c>
      <c r="X343" s="44">
        <f t="shared" si="99"/>
        <v>443878.85213394032</v>
      </c>
      <c r="Y343" s="44" t="s">
        <v>2765</v>
      </c>
      <c r="Z343" s="44" t="str">
        <f t="shared" si="100"/>
        <v>No</v>
      </c>
      <c r="AA343" s="44" t="str">
        <f t="shared" si="100"/>
        <v>Yes</v>
      </c>
      <c r="AB343" s="44" t="str">
        <f t="shared" si="101"/>
        <v>Yes</v>
      </c>
      <c r="AC343" s="80">
        <f t="shared" si="108"/>
        <v>0.2</v>
      </c>
      <c r="AD343" s="80">
        <f t="shared" si="109"/>
        <v>0.08</v>
      </c>
      <c r="AE343" s="44">
        <f t="shared" si="102"/>
        <v>93322.168531287229</v>
      </c>
      <c r="AF343" s="44">
        <f t="shared" si="102"/>
        <v>157260.08442082332</v>
      </c>
      <c r="AG343" s="44">
        <f t="shared" si="103"/>
        <v>250582.25295211055</v>
      </c>
      <c r="AH343" s="46">
        <f>IF(Y343="No",0,IFERROR(ROUNDDOWN(INDEX('90% of ACR'!K:K,MATCH(H:H,'90% of ACR'!A:A,0))*IF(I343&gt;0,IF(O343&gt;0,$R$4*MAX(O343-V343,0),0),0)/I343,2),0))</f>
        <v>0</v>
      </c>
      <c r="AI343" s="80">
        <f>IF(Y343="No",0,IFERROR(ROUNDDOWN(INDEX('90% of ACR'!R:R,MATCH(H:H,'90% of ACR'!A:A,0))*IF(J343&gt;0,IF(P343&gt;0,$R$4*MAX(P343-W343,0),0),0)/J343,2),0))</f>
        <v>7.0000000000000007E-2</v>
      </c>
      <c r="AJ343" s="44">
        <f t="shared" si="104"/>
        <v>0</v>
      </c>
      <c r="AK343" s="44">
        <f t="shared" si="104"/>
        <v>137602.57386822041</v>
      </c>
      <c r="AL343" s="46">
        <f t="shared" si="105"/>
        <v>0.53</v>
      </c>
      <c r="AM343" s="46">
        <f t="shared" si="105"/>
        <v>0.17</v>
      </c>
      <c r="AN343" s="81">
        <f>IFERROR(INDEX(FeeCalc!P:P,MATCH(C343,FeeCalc!F:F,0)),0)</f>
        <v>581481.42600216065</v>
      </c>
      <c r="AO343" s="81">
        <f>IFERROR(INDEX(FeeCalc!S:S,MATCH(C343,FeeCalc!F:F,0)),0)</f>
        <v>35653.628918977956</v>
      </c>
      <c r="AP343" s="81">
        <f t="shared" si="106"/>
        <v>617135.05492113857</v>
      </c>
      <c r="AQ343" s="68">
        <f t="shared" si="107"/>
        <v>242874.73513432394</v>
      </c>
      <c r="AR343" s="68">
        <f>INDEX('IGT Commitment Suggestions'!H:H,MATCH(G343,'IGT Commitment Suggestions'!A:A,0))*AQ343</f>
        <v>111952.67529829232</v>
      </c>
    </row>
    <row r="344" spans="1:44">
      <c r="A344" s="103" t="s">
        <v>1098</v>
      </c>
      <c r="B344" s="123" t="s">
        <v>1098</v>
      </c>
      <c r="C344" s="30" t="s">
        <v>1099</v>
      </c>
      <c r="D344" s="124" t="s">
        <v>1099</v>
      </c>
      <c r="E344" s="119" t="s">
        <v>2625</v>
      </c>
      <c r="F344" s="99" t="s">
        <v>2283</v>
      </c>
      <c r="G344" s="99" t="s">
        <v>1365</v>
      </c>
      <c r="H344" s="42" t="str">
        <f t="shared" si="93"/>
        <v>Urban Tarrant</v>
      </c>
      <c r="I344" s="44">
        <f>INDEX(FeeCalc!M:M,MATCH(C:C,FeeCalc!F:F,0))</f>
        <v>1614081.0801645536</v>
      </c>
      <c r="J344" s="44">
        <f>INDEX(FeeCalc!L:L,MATCH(C:C,FeeCalc!F:F,0))</f>
        <v>1943525.6931408509</v>
      </c>
      <c r="K344" s="44">
        <f t="shared" si="94"/>
        <v>3557606.7733054045</v>
      </c>
      <c r="L344" s="44">
        <v>1242772.68</v>
      </c>
      <c r="M344" s="44">
        <v>295823.82</v>
      </c>
      <c r="N344" s="44">
        <f t="shared" si="95"/>
        <v>1538596.5</v>
      </c>
      <c r="O344" s="44">
        <v>5253329.0654495088</v>
      </c>
      <c r="P344" s="44">
        <v>2254491.3634493919</v>
      </c>
      <c r="Q344" s="44">
        <f t="shared" si="96"/>
        <v>7507820.4288989007</v>
      </c>
      <c r="R344" s="44" t="str">
        <f t="shared" si="97"/>
        <v>Yes</v>
      </c>
      <c r="S344" s="45" t="str">
        <f t="shared" si="97"/>
        <v>Yes</v>
      </c>
      <c r="T344" s="46">
        <f>ROUND(INDEX(Summary!H:H,MATCH(H:H,Summary!A:A,0)),2)</f>
        <v>0.84</v>
      </c>
      <c r="U344" s="46">
        <f>ROUND(INDEX(Summary!I:I,MATCH(H:H,Summary!A:A,0)),2)</f>
        <v>0.55000000000000004</v>
      </c>
      <c r="V344" s="79">
        <f t="shared" si="98"/>
        <v>1355828.107338225</v>
      </c>
      <c r="W344" s="79">
        <f t="shared" si="98"/>
        <v>1068939.1312274681</v>
      </c>
      <c r="X344" s="44">
        <f t="shared" si="99"/>
        <v>2424767.2385656931</v>
      </c>
      <c r="Y344" s="44" t="s">
        <v>2765</v>
      </c>
      <c r="Z344" s="44" t="str">
        <f t="shared" si="100"/>
        <v>Yes</v>
      </c>
      <c r="AA344" s="44" t="str">
        <f t="shared" si="100"/>
        <v>Yes</v>
      </c>
      <c r="AB344" s="44" t="str">
        <f t="shared" si="101"/>
        <v>Yes</v>
      </c>
      <c r="AC344" s="80">
        <f t="shared" si="108"/>
        <v>1.68</v>
      </c>
      <c r="AD344" s="80">
        <f t="shared" si="109"/>
        <v>0.42</v>
      </c>
      <c r="AE344" s="44">
        <f t="shared" si="102"/>
        <v>2711656.21467645</v>
      </c>
      <c r="AF344" s="44">
        <f t="shared" si="102"/>
        <v>816280.79111915734</v>
      </c>
      <c r="AG344" s="44">
        <f t="shared" si="103"/>
        <v>3527937.0057956073</v>
      </c>
      <c r="AH344" s="46">
        <f>IF(Y344="No",0,IFERROR(ROUNDDOWN(INDEX('90% of ACR'!K:K,MATCH(H:H,'90% of ACR'!A:A,0))*IF(I344&gt;0,IF(O344&gt;0,$R$4*MAX(O344-V344,0),0),0)/I344,2),0))</f>
        <v>1.68</v>
      </c>
      <c r="AI344" s="80">
        <f>IF(Y344="No",0,IFERROR(ROUNDDOWN(INDEX('90% of ACR'!R:R,MATCH(H:H,'90% of ACR'!A:A,0))*IF(J344&gt;0,IF(P344&gt;0,$R$4*MAX(P344-W344,0),0),0)/J344,2),0))</f>
        <v>0.4</v>
      </c>
      <c r="AJ344" s="44">
        <f t="shared" si="104"/>
        <v>2711656.21467645</v>
      </c>
      <c r="AK344" s="44">
        <f t="shared" si="104"/>
        <v>777410.27725634037</v>
      </c>
      <c r="AL344" s="46">
        <f t="shared" si="105"/>
        <v>2.52</v>
      </c>
      <c r="AM344" s="46">
        <f t="shared" si="105"/>
        <v>0.95000000000000007</v>
      </c>
      <c r="AN344" s="81">
        <f>IFERROR(INDEX(FeeCalc!P:P,MATCH(C344,FeeCalc!F:F,0)),0)</f>
        <v>5913833.7304984834</v>
      </c>
      <c r="AO344" s="81">
        <f>IFERROR(INDEX(FeeCalc!S:S,MATCH(C344,FeeCalc!F:F,0)),0)</f>
        <v>366089.66055041942</v>
      </c>
      <c r="AP344" s="81">
        <f t="shared" si="106"/>
        <v>6279923.3910489026</v>
      </c>
      <c r="AQ344" s="68">
        <f t="shared" si="107"/>
        <v>2471476.4103940777</v>
      </c>
      <c r="AR344" s="68">
        <f>INDEX('IGT Commitment Suggestions'!H:H,MATCH(G344,'IGT Commitment Suggestions'!A:A,0))*AQ344</f>
        <v>1127216.8719580527</v>
      </c>
    </row>
    <row r="345" spans="1:44">
      <c r="A345" s="103" t="s">
        <v>795</v>
      </c>
      <c r="B345" s="123" t="s">
        <v>795</v>
      </c>
      <c r="C345" s="30" t="s">
        <v>796</v>
      </c>
      <c r="D345" s="124" t="s">
        <v>796</v>
      </c>
      <c r="E345" s="119" t="s">
        <v>2934</v>
      </c>
      <c r="F345" s="99" t="s">
        <v>2295</v>
      </c>
      <c r="G345" s="99" t="s">
        <v>1486</v>
      </c>
      <c r="H345" s="42" t="str">
        <f t="shared" si="93"/>
        <v>Rural MRSA Central</v>
      </c>
      <c r="I345" s="44">
        <f>INDEX(FeeCalc!M:M,MATCH(C:C,FeeCalc!F:F,0))</f>
        <v>23997.394422929108</v>
      </c>
      <c r="J345" s="44">
        <f>INDEX(FeeCalc!L:L,MATCH(C:C,FeeCalc!F:F,0))</f>
        <v>266260.79190508707</v>
      </c>
      <c r="K345" s="44">
        <f t="shared" si="94"/>
        <v>290258.18632801616</v>
      </c>
      <c r="L345" s="44">
        <v>-485.88</v>
      </c>
      <c r="M345" s="44">
        <v>-13661.7</v>
      </c>
      <c r="N345" s="44">
        <f t="shared" si="95"/>
        <v>-14147.58</v>
      </c>
      <c r="O345" s="44">
        <v>-2154.6359438541331</v>
      </c>
      <c r="P345" s="44">
        <v>24326.547940094155</v>
      </c>
      <c r="Q345" s="44">
        <f t="shared" si="96"/>
        <v>22171.911996240022</v>
      </c>
      <c r="R345" s="44" t="str">
        <f t="shared" si="97"/>
        <v>No</v>
      </c>
      <c r="S345" s="45" t="str">
        <f t="shared" si="97"/>
        <v>Yes</v>
      </c>
      <c r="T345" s="46">
        <f>ROUND(INDEX(Summary!H:H,MATCH(H:H,Summary!A:A,0)),2)</f>
        <v>0.11</v>
      </c>
      <c r="U345" s="46">
        <f>ROUND(INDEX(Summary!I:I,MATCH(H:H,Summary!A:A,0)),2)</f>
        <v>0.09</v>
      </c>
      <c r="V345" s="79">
        <f t="shared" si="98"/>
        <v>2639.7133865222017</v>
      </c>
      <c r="W345" s="79">
        <f t="shared" si="98"/>
        <v>23963.471271457835</v>
      </c>
      <c r="X345" s="44">
        <f t="shared" si="99"/>
        <v>26603.184657980037</v>
      </c>
      <c r="Y345" s="44" t="s">
        <v>2765</v>
      </c>
      <c r="Z345" s="44" t="str">
        <f t="shared" si="100"/>
        <v>No</v>
      </c>
      <c r="AA345" s="44" t="str">
        <f t="shared" si="100"/>
        <v>No</v>
      </c>
      <c r="AB345" s="44" t="str">
        <f t="shared" si="101"/>
        <v>No</v>
      </c>
      <c r="AC345" s="80">
        <f t="shared" si="108"/>
        <v>0</v>
      </c>
      <c r="AD345" s="80">
        <f t="shared" si="109"/>
        <v>0</v>
      </c>
      <c r="AE345" s="44">
        <f t="shared" si="102"/>
        <v>0</v>
      </c>
      <c r="AF345" s="44">
        <f t="shared" si="102"/>
        <v>0</v>
      </c>
      <c r="AG345" s="44">
        <f t="shared" si="103"/>
        <v>0</v>
      </c>
      <c r="AH345" s="46">
        <f>IF(Y345="No",0,IFERROR(ROUNDDOWN(INDEX('90% of ACR'!K:K,MATCH(H:H,'90% of ACR'!A:A,0))*IF(I345&gt;0,IF(O345&gt;0,$R$4*MAX(O345-V345,0),0),0)/I345,2),0))</f>
        <v>0</v>
      </c>
      <c r="AI345" s="80">
        <f>IF(Y345="No",0,IFERROR(ROUNDDOWN(INDEX('90% of ACR'!R:R,MATCH(H:H,'90% of ACR'!A:A,0))*IF(J345&gt;0,IF(P345&gt;0,$R$4*MAX(P345-W345,0),0),0)/J345,2),0))</f>
        <v>0</v>
      </c>
      <c r="AJ345" s="44">
        <f t="shared" si="104"/>
        <v>0</v>
      </c>
      <c r="AK345" s="44">
        <f t="shared" si="104"/>
        <v>0</v>
      </c>
      <c r="AL345" s="46">
        <f t="shared" si="105"/>
        <v>0.11</v>
      </c>
      <c r="AM345" s="46">
        <f t="shared" si="105"/>
        <v>0.09</v>
      </c>
      <c r="AN345" s="81">
        <f>IFERROR(INDEX(FeeCalc!P:P,MATCH(C345,FeeCalc!F:F,0)),0)</f>
        <v>26603.184657980037</v>
      </c>
      <c r="AO345" s="81">
        <f>IFERROR(INDEX(FeeCalc!S:S,MATCH(C345,FeeCalc!F:F,0)),0)</f>
        <v>1637.9442700005525</v>
      </c>
      <c r="AP345" s="81">
        <f t="shared" si="106"/>
        <v>28241.12892798059</v>
      </c>
      <c r="AQ345" s="68">
        <f t="shared" si="107"/>
        <v>11114.352771864616</v>
      </c>
      <c r="AR345" s="68">
        <f>INDEX('IGT Commitment Suggestions'!H:H,MATCH(G345,'IGT Commitment Suggestions'!A:A,0))*AQ345</f>
        <v>5077.447174970187</v>
      </c>
    </row>
    <row r="346" spans="1:44">
      <c r="A346" s="103" t="s">
        <v>425</v>
      </c>
      <c r="B346" s="123" t="s">
        <v>425</v>
      </c>
      <c r="C346" s="30" t="s">
        <v>426</v>
      </c>
      <c r="D346" s="124" t="s">
        <v>426</v>
      </c>
      <c r="E346" s="119" t="s">
        <v>2611</v>
      </c>
      <c r="F346" s="99" t="s">
        <v>1547</v>
      </c>
      <c r="G346" s="99" t="s">
        <v>300</v>
      </c>
      <c r="H346" s="42" t="str">
        <f t="shared" si="93"/>
        <v>Children's Harris</v>
      </c>
      <c r="I346" s="44">
        <f>INDEX(FeeCalc!M:M,MATCH(C:C,FeeCalc!F:F,0))</f>
        <v>319948758.17884511</v>
      </c>
      <c r="J346" s="44">
        <f>INDEX(FeeCalc!L:L,MATCH(C:C,FeeCalc!F:F,0))</f>
        <v>278310207.51139802</v>
      </c>
      <c r="K346" s="44">
        <f t="shared" si="94"/>
        <v>598258965.69024312</v>
      </c>
      <c r="L346" s="44">
        <v>367468117.89999998</v>
      </c>
      <c r="M346" s="44">
        <v>9820612.7699999996</v>
      </c>
      <c r="N346" s="44">
        <f t="shared" si="95"/>
        <v>377288730.66999996</v>
      </c>
      <c r="O346" s="44">
        <v>287093860.6290319</v>
      </c>
      <c r="P346" s="44">
        <v>132011912.56236011</v>
      </c>
      <c r="Q346" s="44">
        <f t="shared" si="96"/>
        <v>419105773.191392</v>
      </c>
      <c r="R346" s="44" t="str">
        <f t="shared" si="97"/>
        <v>Yes</v>
      </c>
      <c r="S346" s="45" t="str">
        <f t="shared" si="97"/>
        <v>Yes</v>
      </c>
      <c r="T346" s="46">
        <f>ROUND(INDEX(Summary!H:H,MATCH(H:H,Summary!A:A,0)),2)</f>
        <v>1.1499999999999999</v>
      </c>
      <c r="U346" s="46">
        <f>ROUND(INDEX(Summary!I:I,MATCH(H:H,Summary!A:A,0)),2)</f>
        <v>0.04</v>
      </c>
      <c r="V346" s="79">
        <f t="shared" si="98"/>
        <v>367941071.90567183</v>
      </c>
      <c r="W346" s="79">
        <f t="shared" si="98"/>
        <v>11132408.30045592</v>
      </c>
      <c r="X346" s="44">
        <f t="shared" si="99"/>
        <v>379073480.20612776</v>
      </c>
      <c r="Y346" s="44" t="s">
        <v>2765</v>
      </c>
      <c r="Z346" s="44" t="str">
        <f t="shared" si="100"/>
        <v>No</v>
      </c>
      <c r="AA346" s="44" t="str">
        <f t="shared" si="100"/>
        <v>Yes</v>
      </c>
      <c r="AB346" s="44" t="str">
        <f t="shared" si="101"/>
        <v>Yes</v>
      </c>
      <c r="AC346" s="80">
        <f t="shared" si="108"/>
        <v>0</v>
      </c>
      <c r="AD346" s="80">
        <f t="shared" si="109"/>
        <v>0.3</v>
      </c>
      <c r="AE346" s="44">
        <f t="shared" si="102"/>
        <v>0</v>
      </c>
      <c r="AF346" s="44">
        <f t="shared" si="102"/>
        <v>83493062.253419399</v>
      </c>
      <c r="AG346" s="44">
        <f t="shared" si="103"/>
        <v>83493062.253419399</v>
      </c>
      <c r="AH346" s="46">
        <f>IF(Y346="No",0,IFERROR(ROUNDDOWN(INDEX('90% of ACR'!K:K,MATCH(H:H,'90% of ACR'!A:A,0))*IF(I346&gt;0,IF(O346&gt;0,$R$4*MAX(O346-V346,0),0),0)/I346,2),0))</f>
        <v>0</v>
      </c>
      <c r="AI346" s="80">
        <f>IF(Y346="No",0,IFERROR(ROUNDDOWN(INDEX('90% of ACR'!R:R,MATCH(H:H,'90% of ACR'!A:A,0))*IF(J346&gt;0,IF(P346&gt;0,$R$4*MAX(P346-W346,0),0),0)/J346,2),0))</f>
        <v>0.3</v>
      </c>
      <c r="AJ346" s="44">
        <f t="shared" si="104"/>
        <v>0</v>
      </c>
      <c r="AK346" s="44">
        <f t="shared" si="104"/>
        <v>83493062.253419399</v>
      </c>
      <c r="AL346" s="46">
        <f t="shared" si="105"/>
        <v>1.1499999999999999</v>
      </c>
      <c r="AM346" s="46">
        <f t="shared" si="105"/>
        <v>0.33999999999999997</v>
      </c>
      <c r="AN346" s="81">
        <f>IFERROR(INDEX(FeeCalc!P:P,MATCH(C346,FeeCalc!F:F,0)),0)</f>
        <v>462566542.45954716</v>
      </c>
      <c r="AO346" s="81">
        <f>IFERROR(INDEX(FeeCalc!S:S,MATCH(C346,FeeCalc!F:F,0)),0)</f>
        <v>28234127.786415428</v>
      </c>
      <c r="AP346" s="81">
        <f t="shared" si="106"/>
        <v>490800670.24596262</v>
      </c>
      <c r="AQ346" s="68">
        <f t="shared" si="107"/>
        <v>193155585.3766391</v>
      </c>
      <c r="AR346" s="68">
        <f>INDEX('IGT Commitment Suggestions'!H:H,MATCH(G346,'IGT Commitment Suggestions'!A:A,0))*AQ346</f>
        <v>88618590.49140127</v>
      </c>
    </row>
    <row r="347" spans="1:44">
      <c r="A347" s="103" t="s">
        <v>710</v>
      </c>
      <c r="B347" s="123" t="s">
        <v>710</v>
      </c>
      <c r="C347" s="30" t="s">
        <v>711</v>
      </c>
      <c r="D347" s="124" t="s">
        <v>711</v>
      </c>
      <c r="E347" s="119" t="s">
        <v>2602</v>
      </c>
      <c r="F347" s="99" t="s">
        <v>2295</v>
      </c>
      <c r="G347" s="99" t="s">
        <v>227</v>
      </c>
      <c r="H347" s="42" t="str">
        <f t="shared" si="93"/>
        <v>Rural MRSA West</v>
      </c>
      <c r="I347" s="44">
        <f>INDEX(FeeCalc!M:M,MATCH(C:C,FeeCalc!F:F,0))</f>
        <v>24401.005408028963</v>
      </c>
      <c r="J347" s="44">
        <f>INDEX(FeeCalc!L:L,MATCH(C:C,FeeCalc!F:F,0))</f>
        <v>163481.60378779453</v>
      </c>
      <c r="K347" s="44">
        <f t="shared" si="94"/>
        <v>187882.60919582349</v>
      </c>
      <c r="L347" s="44">
        <v>14485.65</v>
      </c>
      <c r="M347" s="44">
        <v>7919.68</v>
      </c>
      <c r="N347" s="44">
        <f t="shared" si="95"/>
        <v>22405.33</v>
      </c>
      <c r="O347" s="44">
        <v>713.32168793856545</v>
      </c>
      <c r="P347" s="44">
        <v>47922.996604029293</v>
      </c>
      <c r="Q347" s="44">
        <f t="shared" si="96"/>
        <v>48636.318291967858</v>
      </c>
      <c r="R347" s="44" t="str">
        <f t="shared" si="97"/>
        <v>Yes</v>
      </c>
      <c r="S347" s="45" t="str">
        <f t="shared" si="97"/>
        <v>Yes</v>
      </c>
      <c r="T347" s="46">
        <f>ROUND(INDEX(Summary!H:H,MATCH(H:H,Summary!A:A,0)),2)</f>
        <v>0</v>
      </c>
      <c r="U347" s="46">
        <f>ROUND(INDEX(Summary!I:I,MATCH(H:H,Summary!A:A,0)),2)</f>
        <v>0.18</v>
      </c>
      <c r="V347" s="79">
        <f t="shared" si="98"/>
        <v>0</v>
      </c>
      <c r="W347" s="79">
        <f t="shared" si="98"/>
        <v>29426.688681803014</v>
      </c>
      <c r="X347" s="44">
        <f t="shared" si="99"/>
        <v>29426.688681803014</v>
      </c>
      <c r="Y347" s="44" t="s">
        <v>2765</v>
      </c>
      <c r="Z347" s="44" t="str">
        <f t="shared" si="100"/>
        <v>No</v>
      </c>
      <c r="AA347" s="44" t="str">
        <f t="shared" si="100"/>
        <v>Yes</v>
      </c>
      <c r="AB347" s="44" t="str">
        <f t="shared" si="101"/>
        <v>Yes</v>
      </c>
      <c r="AC347" s="80">
        <f t="shared" si="108"/>
        <v>0.02</v>
      </c>
      <c r="AD347" s="80">
        <f t="shared" si="109"/>
        <v>0.08</v>
      </c>
      <c r="AE347" s="44">
        <f t="shared" si="102"/>
        <v>488.02010816057924</v>
      </c>
      <c r="AF347" s="44">
        <f t="shared" si="102"/>
        <v>13078.528303023562</v>
      </c>
      <c r="AG347" s="44">
        <f t="shared" si="103"/>
        <v>13566.548411184142</v>
      </c>
      <c r="AH347" s="46">
        <f>IF(Y347="No",0,IFERROR(ROUNDDOWN(INDEX('90% of ACR'!K:K,MATCH(H:H,'90% of ACR'!A:A,0))*IF(I347&gt;0,IF(O347&gt;0,$R$4*MAX(O347-V347,0),0),0)/I347,2),0))</f>
        <v>0</v>
      </c>
      <c r="AI347" s="80">
        <f>IF(Y347="No",0,IFERROR(ROUNDDOWN(INDEX('90% of ACR'!R:R,MATCH(H:H,'90% of ACR'!A:A,0))*IF(J347&gt;0,IF(P347&gt;0,$R$4*MAX(P347-W347,0),0),0)/J347,2),0))</f>
        <v>7.0000000000000007E-2</v>
      </c>
      <c r="AJ347" s="44">
        <f t="shared" si="104"/>
        <v>0</v>
      </c>
      <c r="AK347" s="44">
        <f t="shared" si="104"/>
        <v>11443.712265145619</v>
      </c>
      <c r="AL347" s="46">
        <f t="shared" si="105"/>
        <v>0</v>
      </c>
      <c r="AM347" s="46">
        <f t="shared" si="105"/>
        <v>0.25</v>
      </c>
      <c r="AN347" s="81">
        <f>IFERROR(INDEX(FeeCalc!P:P,MATCH(C347,FeeCalc!F:F,0)),0)</f>
        <v>40870.400946948634</v>
      </c>
      <c r="AO347" s="81">
        <f>IFERROR(INDEX(FeeCalc!S:S,MATCH(C347,FeeCalc!F:F,0)),0)</f>
        <v>2520.9745750325856</v>
      </c>
      <c r="AP347" s="81">
        <f t="shared" si="106"/>
        <v>43391.375521981216</v>
      </c>
      <c r="AQ347" s="68">
        <f t="shared" si="107"/>
        <v>17076.762619426754</v>
      </c>
      <c r="AR347" s="68">
        <f>INDEX('IGT Commitment Suggestions'!H:H,MATCH(G347,'IGT Commitment Suggestions'!A:A,0))*AQ347</f>
        <v>8368.7006314354512</v>
      </c>
    </row>
    <row r="348" spans="1:44">
      <c r="A348" s="103" t="s">
        <v>753</v>
      </c>
      <c r="B348" s="123" t="s">
        <v>753</v>
      </c>
      <c r="C348" s="30" t="s">
        <v>754</v>
      </c>
      <c r="D348" s="124" t="s">
        <v>754</v>
      </c>
      <c r="E348" s="119" t="s">
        <v>2935</v>
      </c>
      <c r="F348" s="99" t="s">
        <v>2295</v>
      </c>
      <c r="G348" s="99" t="s">
        <v>1486</v>
      </c>
      <c r="H348" s="42" t="str">
        <f t="shared" si="93"/>
        <v>Rural MRSA Central</v>
      </c>
      <c r="I348" s="44">
        <f>INDEX(FeeCalc!M:M,MATCH(C:C,FeeCalc!F:F,0))</f>
        <v>2006186.8951058986</v>
      </c>
      <c r="J348" s="44">
        <f>INDEX(FeeCalc!L:L,MATCH(C:C,FeeCalc!F:F,0))</f>
        <v>678644.11423262919</v>
      </c>
      <c r="K348" s="44">
        <f t="shared" si="94"/>
        <v>2684831.0093385279</v>
      </c>
      <c r="L348" s="44">
        <v>-358354.42</v>
      </c>
      <c r="M348" s="44">
        <v>224955.19</v>
      </c>
      <c r="N348" s="44">
        <f t="shared" si="95"/>
        <v>-133399.22999999998</v>
      </c>
      <c r="O348" s="44">
        <v>1270041.5085739328</v>
      </c>
      <c r="P348" s="44">
        <v>694022.77286313614</v>
      </c>
      <c r="Q348" s="44">
        <f t="shared" si="96"/>
        <v>1964064.2814370689</v>
      </c>
      <c r="R348" s="44" t="str">
        <f t="shared" si="97"/>
        <v>Yes</v>
      </c>
      <c r="S348" s="45" t="str">
        <f t="shared" si="97"/>
        <v>Yes</v>
      </c>
      <c r="T348" s="46">
        <f>ROUND(INDEX(Summary!H:H,MATCH(H:H,Summary!A:A,0)),2)</f>
        <v>0.11</v>
      </c>
      <c r="U348" s="46">
        <f>ROUND(INDEX(Summary!I:I,MATCH(H:H,Summary!A:A,0)),2)</f>
        <v>0.09</v>
      </c>
      <c r="V348" s="79">
        <f t="shared" si="98"/>
        <v>220680.55846164885</v>
      </c>
      <c r="W348" s="79">
        <f t="shared" si="98"/>
        <v>61077.970280936628</v>
      </c>
      <c r="X348" s="44">
        <f t="shared" si="99"/>
        <v>281758.52874258545</v>
      </c>
      <c r="Y348" s="44" t="s">
        <v>2765</v>
      </c>
      <c r="Z348" s="44" t="str">
        <f t="shared" si="100"/>
        <v>Yes</v>
      </c>
      <c r="AA348" s="44" t="str">
        <f t="shared" si="100"/>
        <v>Yes</v>
      </c>
      <c r="AB348" s="44" t="str">
        <f t="shared" si="101"/>
        <v>Yes</v>
      </c>
      <c r="AC348" s="80">
        <f t="shared" si="108"/>
        <v>0.36</v>
      </c>
      <c r="AD348" s="80">
        <f t="shared" si="109"/>
        <v>0.65</v>
      </c>
      <c r="AE348" s="44">
        <f t="shared" si="102"/>
        <v>722227.28223812347</v>
      </c>
      <c r="AF348" s="44">
        <f t="shared" si="102"/>
        <v>441118.67425120901</v>
      </c>
      <c r="AG348" s="44">
        <f t="shared" si="103"/>
        <v>1163345.9564893325</v>
      </c>
      <c r="AH348" s="46">
        <f>IF(Y348="No",0,IFERROR(ROUNDDOWN(INDEX('90% of ACR'!K:K,MATCH(H:H,'90% of ACR'!A:A,0))*IF(I348&gt;0,IF(O348&gt;0,$R$4*MAX(O348-V348,0),0),0)/I348,2),0))</f>
        <v>0.18</v>
      </c>
      <c r="AI348" s="80">
        <f>IF(Y348="No",0,IFERROR(ROUNDDOWN(INDEX('90% of ACR'!R:R,MATCH(H:H,'90% of ACR'!A:A,0))*IF(J348&gt;0,IF(P348&gt;0,$R$4*MAX(P348-W348,0),0),0)/J348,2),0))</f>
        <v>0.64</v>
      </c>
      <c r="AJ348" s="44">
        <f t="shared" si="104"/>
        <v>361113.64111906174</v>
      </c>
      <c r="AK348" s="44">
        <f t="shared" si="104"/>
        <v>434332.23310888268</v>
      </c>
      <c r="AL348" s="46">
        <f t="shared" si="105"/>
        <v>0.28999999999999998</v>
      </c>
      <c r="AM348" s="46">
        <f t="shared" si="105"/>
        <v>0.73</v>
      </c>
      <c r="AN348" s="81">
        <f>IFERROR(INDEX(FeeCalc!P:P,MATCH(C348,FeeCalc!F:F,0)),0)</f>
        <v>1077204.4029705299</v>
      </c>
      <c r="AO348" s="81">
        <f>IFERROR(INDEX(FeeCalc!S:S,MATCH(C348,FeeCalc!F:F,0)),0)</f>
        <v>66222.540747123508</v>
      </c>
      <c r="AP348" s="81">
        <f t="shared" si="106"/>
        <v>1143426.9437176534</v>
      </c>
      <c r="AQ348" s="68">
        <f t="shared" si="107"/>
        <v>449997.96055396996</v>
      </c>
      <c r="AR348" s="68">
        <f>INDEX('IGT Commitment Suggestions'!H:H,MATCH(G348,'IGT Commitment Suggestions'!A:A,0))*AQ348</f>
        <v>205575.70201847935</v>
      </c>
    </row>
    <row r="349" spans="1:44">
      <c r="A349" s="103" t="s">
        <v>1477</v>
      </c>
      <c r="B349" s="123" t="s">
        <v>2716</v>
      </c>
      <c r="C349" s="30" t="s">
        <v>1478</v>
      </c>
      <c r="D349" s="124" t="s">
        <v>1478</v>
      </c>
      <c r="E349" s="119" t="s">
        <v>2732</v>
      </c>
      <c r="F349" s="99" t="s">
        <v>2295</v>
      </c>
      <c r="G349" s="99" t="s">
        <v>310</v>
      </c>
      <c r="H349" s="42" t="str">
        <f t="shared" si="93"/>
        <v>Rural MRSA Northeast</v>
      </c>
      <c r="I349" s="44">
        <f>INDEX(FeeCalc!M:M,MATCH(C:C,FeeCalc!F:F,0))</f>
        <v>1590668.4812469743</v>
      </c>
      <c r="J349" s="44">
        <f>INDEX(FeeCalc!L:L,MATCH(C:C,FeeCalc!F:F,0))</f>
        <v>316923.40293950419</v>
      </c>
      <c r="K349" s="44">
        <f t="shared" si="94"/>
        <v>1907591.8841864786</v>
      </c>
      <c r="L349" s="44">
        <v>63802.51</v>
      </c>
      <c r="M349" s="44">
        <v>-87558.62</v>
      </c>
      <c r="N349" s="44">
        <f t="shared" si="95"/>
        <v>-23756.109999999993</v>
      </c>
      <c r="O349" s="44">
        <v>124855.12799346921</v>
      </c>
      <c r="P349" s="44">
        <v>-49024.198071766878</v>
      </c>
      <c r="Q349" s="44">
        <f t="shared" si="96"/>
        <v>75830.929921702336</v>
      </c>
      <c r="R349" s="44" t="str">
        <f t="shared" si="97"/>
        <v>Yes</v>
      </c>
      <c r="S349" s="45" t="str">
        <f t="shared" si="97"/>
        <v>No</v>
      </c>
      <c r="T349" s="46">
        <f>ROUND(INDEX(Summary!H:H,MATCH(H:H,Summary!A:A,0)),2)</f>
        <v>0</v>
      </c>
      <c r="U349" s="46">
        <f>ROUND(INDEX(Summary!I:I,MATCH(H:H,Summary!A:A,0)),2)</f>
        <v>0.32</v>
      </c>
      <c r="V349" s="79">
        <f t="shared" si="98"/>
        <v>0</v>
      </c>
      <c r="W349" s="79">
        <f t="shared" si="98"/>
        <v>101415.48894064134</v>
      </c>
      <c r="X349" s="44">
        <f t="shared" si="99"/>
        <v>101415.48894064134</v>
      </c>
      <c r="Y349" s="44" t="s">
        <v>2765</v>
      </c>
      <c r="Z349" s="44" t="str">
        <f t="shared" si="100"/>
        <v>Yes</v>
      </c>
      <c r="AA349" s="44" t="str">
        <f t="shared" si="100"/>
        <v>No</v>
      </c>
      <c r="AB349" s="44" t="str">
        <f t="shared" si="101"/>
        <v>Yes</v>
      </c>
      <c r="AC349" s="80">
        <f t="shared" si="108"/>
        <v>0.05</v>
      </c>
      <c r="AD349" s="80">
        <f t="shared" si="109"/>
        <v>0</v>
      </c>
      <c r="AE349" s="44">
        <f t="shared" si="102"/>
        <v>79533.424062348728</v>
      </c>
      <c r="AF349" s="44">
        <f t="shared" si="102"/>
        <v>0</v>
      </c>
      <c r="AG349" s="44">
        <f t="shared" si="103"/>
        <v>79533.424062348728</v>
      </c>
      <c r="AH349" s="46">
        <f>IF(Y349="No",0,IFERROR(ROUNDDOWN(INDEX('90% of ACR'!K:K,MATCH(H:H,'90% of ACR'!A:A,0))*IF(I349&gt;0,IF(O349&gt;0,$R$4*MAX(O349-V349,0),0),0)/I349,2),0))</f>
        <v>0.03</v>
      </c>
      <c r="AI349" s="80">
        <f>IF(Y349="No",0,IFERROR(ROUNDDOWN(INDEX('90% of ACR'!R:R,MATCH(H:H,'90% of ACR'!A:A,0))*IF(J349&gt;0,IF(P349&gt;0,$R$4*MAX(P349-W349,0),0),0)/J349,2),0))</f>
        <v>0</v>
      </c>
      <c r="AJ349" s="44">
        <f t="shared" si="104"/>
        <v>47720.054437409228</v>
      </c>
      <c r="AK349" s="44">
        <f t="shared" si="104"/>
        <v>0</v>
      </c>
      <c r="AL349" s="46">
        <f t="shared" si="105"/>
        <v>0.03</v>
      </c>
      <c r="AM349" s="46">
        <f t="shared" si="105"/>
        <v>0.32</v>
      </c>
      <c r="AN349" s="81">
        <f>IFERROR(INDEX(FeeCalc!P:P,MATCH(C349,FeeCalc!F:F,0)),0)</f>
        <v>149135.54337805056</v>
      </c>
      <c r="AO349" s="81">
        <f>IFERROR(INDEX(FeeCalc!S:S,MATCH(C349,FeeCalc!F:F,0)),0)</f>
        <v>9148.5788381296479</v>
      </c>
      <c r="AP349" s="81">
        <f t="shared" si="106"/>
        <v>158284.1222161802</v>
      </c>
      <c r="AQ349" s="68">
        <f t="shared" si="107"/>
        <v>62293.032866422152</v>
      </c>
      <c r="AR349" s="68">
        <f>INDEX('IGT Commitment Suggestions'!H:H,MATCH(G349,'IGT Commitment Suggestions'!A:A,0))*AQ349</f>
        <v>28530.609044156081</v>
      </c>
    </row>
    <row r="350" spans="1:44">
      <c r="A350" s="103" t="s">
        <v>801</v>
      </c>
      <c r="B350" s="123" t="s">
        <v>801</v>
      </c>
      <c r="C350" s="30" t="s">
        <v>802</v>
      </c>
      <c r="D350" s="124" t="s">
        <v>802</v>
      </c>
      <c r="E350" s="119" t="s">
        <v>2936</v>
      </c>
      <c r="F350" s="99" t="s">
        <v>2295</v>
      </c>
      <c r="G350" s="99" t="s">
        <v>227</v>
      </c>
      <c r="H350" s="42" t="str">
        <f t="shared" si="93"/>
        <v>Rural MRSA West</v>
      </c>
      <c r="I350" s="44">
        <f>INDEX(FeeCalc!M:M,MATCH(C:C,FeeCalc!F:F,0))</f>
        <v>45810.952889323409</v>
      </c>
      <c r="J350" s="44">
        <f>INDEX(FeeCalc!L:L,MATCH(C:C,FeeCalc!F:F,0))</f>
        <v>151528.24794638623</v>
      </c>
      <c r="K350" s="44">
        <f t="shared" si="94"/>
        <v>197339.20083570963</v>
      </c>
      <c r="L350" s="44">
        <v>36220.230000000003</v>
      </c>
      <c r="M350" s="44">
        <v>-836.38</v>
      </c>
      <c r="N350" s="44">
        <f t="shared" si="95"/>
        <v>35383.850000000006</v>
      </c>
      <c r="O350" s="44">
        <v>9447.2950561193102</v>
      </c>
      <c r="P350" s="44">
        <v>74082.554551043359</v>
      </c>
      <c r="Q350" s="44">
        <f t="shared" si="96"/>
        <v>83529.849607162672</v>
      </c>
      <c r="R350" s="44" t="str">
        <f t="shared" si="97"/>
        <v>Yes</v>
      </c>
      <c r="S350" s="45" t="str">
        <f t="shared" si="97"/>
        <v>Yes</v>
      </c>
      <c r="T350" s="46">
        <f>ROUND(INDEX(Summary!H:H,MATCH(H:H,Summary!A:A,0)),2)</f>
        <v>0</v>
      </c>
      <c r="U350" s="46">
        <f>ROUND(INDEX(Summary!I:I,MATCH(H:H,Summary!A:A,0)),2)</f>
        <v>0.18</v>
      </c>
      <c r="V350" s="79">
        <f t="shared" si="98"/>
        <v>0</v>
      </c>
      <c r="W350" s="79">
        <f t="shared" si="98"/>
        <v>27275.08463034952</v>
      </c>
      <c r="X350" s="44">
        <f t="shared" si="99"/>
        <v>27275.08463034952</v>
      </c>
      <c r="Y350" s="44" t="s">
        <v>2765</v>
      </c>
      <c r="Z350" s="44" t="str">
        <f t="shared" si="100"/>
        <v>No</v>
      </c>
      <c r="AA350" s="44" t="str">
        <f t="shared" si="100"/>
        <v>Yes</v>
      </c>
      <c r="AB350" s="44" t="str">
        <f t="shared" si="101"/>
        <v>Yes</v>
      </c>
      <c r="AC350" s="80">
        <f t="shared" si="108"/>
        <v>0.14000000000000001</v>
      </c>
      <c r="AD350" s="80">
        <f t="shared" si="109"/>
        <v>0.22</v>
      </c>
      <c r="AE350" s="44">
        <f t="shared" si="102"/>
        <v>6413.5334045052778</v>
      </c>
      <c r="AF350" s="44">
        <f t="shared" si="102"/>
        <v>33336.214548204967</v>
      </c>
      <c r="AG350" s="44">
        <f t="shared" si="103"/>
        <v>39749.747952710248</v>
      </c>
      <c r="AH350" s="46">
        <f>IF(Y350="No",0,IFERROR(ROUNDDOWN(INDEX('90% of ACR'!K:K,MATCH(H:H,'90% of ACR'!A:A,0))*IF(I350&gt;0,IF(O350&gt;0,$R$4*MAX(O350-V350,0),0),0)/I350,2),0))</f>
        <v>0</v>
      </c>
      <c r="AI350" s="80">
        <f>IF(Y350="No",0,IFERROR(ROUNDDOWN(INDEX('90% of ACR'!R:R,MATCH(H:H,'90% of ACR'!A:A,0))*IF(J350&gt;0,IF(P350&gt;0,$R$4*MAX(P350-W350,0),0),0)/J350,2),0))</f>
        <v>0.21</v>
      </c>
      <c r="AJ350" s="44">
        <f t="shared" si="104"/>
        <v>0</v>
      </c>
      <c r="AK350" s="44">
        <f t="shared" si="104"/>
        <v>31820.932068741105</v>
      </c>
      <c r="AL350" s="46">
        <f t="shared" si="105"/>
        <v>0</v>
      </c>
      <c r="AM350" s="46">
        <f t="shared" si="105"/>
        <v>0.39</v>
      </c>
      <c r="AN350" s="81">
        <f>IFERROR(INDEX(FeeCalc!P:P,MATCH(C350,FeeCalc!F:F,0)),0)</f>
        <v>59096.016699090629</v>
      </c>
      <c r="AO350" s="81">
        <f>IFERROR(INDEX(FeeCalc!S:S,MATCH(C350,FeeCalc!F:F,0)),0)</f>
        <v>3636.6365545664139</v>
      </c>
      <c r="AP350" s="81">
        <f t="shared" si="106"/>
        <v>62732.653253657045</v>
      </c>
      <c r="AQ350" s="68">
        <f t="shared" si="107"/>
        <v>24688.561153283237</v>
      </c>
      <c r="AR350" s="68">
        <f>INDEX('IGT Commitment Suggestions'!H:H,MATCH(G350,'IGT Commitment Suggestions'!A:A,0))*AQ350</f>
        <v>12098.966409339821</v>
      </c>
    </row>
    <row r="351" spans="1:44">
      <c r="A351" s="103" t="s">
        <v>701</v>
      </c>
      <c r="B351" s="123" t="s">
        <v>701</v>
      </c>
      <c r="C351" s="30" t="s">
        <v>702</v>
      </c>
      <c r="D351" s="124" t="s">
        <v>702</v>
      </c>
      <c r="E351" s="119" t="s">
        <v>2937</v>
      </c>
      <c r="F351" s="99" t="s">
        <v>2283</v>
      </c>
      <c r="G351" s="99" t="s">
        <v>1189</v>
      </c>
      <c r="H351" s="42" t="str">
        <f t="shared" si="93"/>
        <v>Urban El Paso</v>
      </c>
      <c r="I351" s="44">
        <f>INDEX(FeeCalc!M:M,MATCH(C:C,FeeCalc!F:F,0))</f>
        <v>8206930.8010275252</v>
      </c>
      <c r="J351" s="44">
        <f>INDEX(FeeCalc!L:L,MATCH(C:C,FeeCalc!F:F,0))</f>
        <v>9031433.5770350508</v>
      </c>
      <c r="K351" s="44">
        <f t="shared" si="94"/>
        <v>17238364.378062576</v>
      </c>
      <c r="L351" s="44">
        <v>-16067139.58</v>
      </c>
      <c r="M351" s="44">
        <v>3549022.4</v>
      </c>
      <c r="N351" s="44">
        <f t="shared" si="95"/>
        <v>-12518117.18</v>
      </c>
      <c r="O351" s="44">
        <v>-23706666.917293362</v>
      </c>
      <c r="P351" s="44">
        <v>5273105.1888546897</v>
      </c>
      <c r="Q351" s="44">
        <f t="shared" si="96"/>
        <v>-18433561.728438672</v>
      </c>
      <c r="R351" s="44" t="str">
        <f t="shared" si="97"/>
        <v>No</v>
      </c>
      <c r="S351" s="45" t="str">
        <f t="shared" si="97"/>
        <v>Yes</v>
      </c>
      <c r="T351" s="46">
        <f>ROUND(INDEX(Summary!H:H,MATCH(H:H,Summary!A:A,0)),2)</f>
        <v>0.11</v>
      </c>
      <c r="U351" s="46">
        <f>ROUND(INDEX(Summary!I:I,MATCH(H:H,Summary!A:A,0)),2)</f>
        <v>0.49</v>
      </c>
      <c r="V351" s="79">
        <f t="shared" si="98"/>
        <v>902762.38811302779</v>
      </c>
      <c r="W351" s="79">
        <f t="shared" si="98"/>
        <v>4425402.4527471745</v>
      </c>
      <c r="X351" s="44">
        <f t="shared" si="99"/>
        <v>5328164.840860202</v>
      </c>
      <c r="Y351" s="44" t="s">
        <v>2765</v>
      </c>
      <c r="Z351" s="44" t="str">
        <f t="shared" si="100"/>
        <v>No</v>
      </c>
      <c r="AA351" s="44" t="str">
        <f t="shared" si="100"/>
        <v>Yes</v>
      </c>
      <c r="AB351" s="44" t="str">
        <f t="shared" si="101"/>
        <v>Yes</v>
      </c>
      <c r="AC351" s="80">
        <f t="shared" si="108"/>
        <v>0</v>
      </c>
      <c r="AD351" s="80">
        <f t="shared" si="109"/>
        <v>7.0000000000000007E-2</v>
      </c>
      <c r="AE351" s="44">
        <f t="shared" si="102"/>
        <v>0</v>
      </c>
      <c r="AF351" s="44">
        <f t="shared" si="102"/>
        <v>632200.35039245361</v>
      </c>
      <c r="AG351" s="44">
        <f t="shared" si="103"/>
        <v>632200.35039245361</v>
      </c>
      <c r="AH351" s="46">
        <f>IF(Y351="No",0,IFERROR(ROUNDDOWN(INDEX('90% of ACR'!K:K,MATCH(H:H,'90% of ACR'!A:A,0))*IF(I351&gt;0,IF(O351&gt;0,$R$4*MAX(O351-V351,0),0),0)/I351,2),0))</f>
        <v>0</v>
      </c>
      <c r="AI351" s="80">
        <f>IF(Y351="No",0,IFERROR(ROUNDDOWN(INDEX('90% of ACR'!R:R,MATCH(H:H,'90% of ACR'!A:A,0))*IF(J351&gt;0,IF(P351&gt;0,$R$4*MAX(P351-W351,0),0),0)/J351,2),0))</f>
        <v>0.06</v>
      </c>
      <c r="AJ351" s="44">
        <f t="shared" si="104"/>
        <v>0</v>
      </c>
      <c r="AK351" s="44">
        <f t="shared" si="104"/>
        <v>541886.01462210307</v>
      </c>
      <c r="AL351" s="46">
        <f t="shared" si="105"/>
        <v>0.11</v>
      </c>
      <c r="AM351" s="46">
        <f t="shared" si="105"/>
        <v>0.55000000000000004</v>
      </c>
      <c r="AN351" s="81">
        <f>IFERROR(INDEX(FeeCalc!P:P,MATCH(C351,FeeCalc!F:F,0)),0)</f>
        <v>5870050.8554823054</v>
      </c>
      <c r="AO351" s="81">
        <f>IFERROR(INDEX(FeeCalc!S:S,MATCH(C351,FeeCalc!F:F,0)),0)</f>
        <v>366604.99707395025</v>
      </c>
      <c r="AP351" s="81">
        <f t="shared" si="106"/>
        <v>6236655.8525562556</v>
      </c>
      <c r="AQ351" s="68">
        <f t="shared" si="107"/>
        <v>2454448.3840852194</v>
      </c>
      <c r="AR351" s="68">
        <f>INDEX('IGT Commitment Suggestions'!H:H,MATCH(G351,'IGT Commitment Suggestions'!A:A,0))*AQ351</f>
        <v>1129848.7862681118</v>
      </c>
    </row>
    <row r="352" spans="1:44">
      <c r="A352" s="103" t="s">
        <v>674</v>
      </c>
      <c r="B352" s="123" t="s">
        <v>674</v>
      </c>
      <c r="C352" s="30" t="s">
        <v>675</v>
      </c>
      <c r="D352" s="124" t="s">
        <v>675</v>
      </c>
      <c r="E352" s="119" t="s">
        <v>2938</v>
      </c>
      <c r="F352" s="99" t="s">
        <v>2295</v>
      </c>
      <c r="G352" s="99" t="s">
        <v>227</v>
      </c>
      <c r="H352" s="42" t="str">
        <f t="shared" si="93"/>
        <v>Rural MRSA West</v>
      </c>
      <c r="I352" s="44">
        <f>INDEX(FeeCalc!M:M,MATCH(C:C,FeeCalc!F:F,0))</f>
        <v>25447.739910510725</v>
      </c>
      <c r="J352" s="44">
        <f>INDEX(FeeCalc!L:L,MATCH(C:C,FeeCalc!F:F,0))</f>
        <v>252293.33782207858</v>
      </c>
      <c r="K352" s="44">
        <f t="shared" si="94"/>
        <v>277741.07773258933</v>
      </c>
      <c r="L352" s="44">
        <v>14922.33</v>
      </c>
      <c r="M352" s="44">
        <v>-16666.53</v>
      </c>
      <c r="N352" s="44">
        <f t="shared" si="95"/>
        <v>-1744.1999999999989</v>
      </c>
      <c r="O352" s="44">
        <v>-10440.127255192878</v>
      </c>
      <c r="P352" s="44">
        <v>-10831.119543273453</v>
      </c>
      <c r="Q352" s="44">
        <f t="shared" si="96"/>
        <v>-21271.246798466331</v>
      </c>
      <c r="R352" s="44" t="str">
        <f t="shared" si="97"/>
        <v>No</v>
      </c>
      <c r="S352" s="45" t="str">
        <f t="shared" si="97"/>
        <v>No</v>
      </c>
      <c r="T352" s="46">
        <f>ROUND(INDEX(Summary!H:H,MATCH(H:H,Summary!A:A,0)),2)</f>
        <v>0</v>
      </c>
      <c r="U352" s="46">
        <f>ROUND(INDEX(Summary!I:I,MATCH(H:H,Summary!A:A,0)),2)</f>
        <v>0.18</v>
      </c>
      <c r="V352" s="79">
        <f t="shared" si="98"/>
        <v>0</v>
      </c>
      <c r="W352" s="79">
        <f t="shared" si="98"/>
        <v>45412.800807974141</v>
      </c>
      <c r="X352" s="44">
        <f t="shared" si="99"/>
        <v>45412.800807974141</v>
      </c>
      <c r="Y352" s="44" t="s">
        <v>2765</v>
      </c>
      <c r="Z352" s="44" t="str">
        <f t="shared" si="100"/>
        <v>No</v>
      </c>
      <c r="AA352" s="44" t="str">
        <f t="shared" si="100"/>
        <v>No</v>
      </c>
      <c r="AB352" s="44" t="str">
        <f t="shared" si="101"/>
        <v>No</v>
      </c>
      <c r="AC352" s="80">
        <f t="shared" si="108"/>
        <v>0</v>
      </c>
      <c r="AD352" s="80">
        <f t="shared" si="109"/>
        <v>0</v>
      </c>
      <c r="AE352" s="44">
        <f t="shared" si="102"/>
        <v>0</v>
      </c>
      <c r="AF352" s="44">
        <f t="shared" si="102"/>
        <v>0</v>
      </c>
      <c r="AG352" s="44">
        <f t="shared" si="103"/>
        <v>0</v>
      </c>
      <c r="AH352" s="46">
        <f>IF(Y352="No",0,IFERROR(ROUNDDOWN(INDEX('90% of ACR'!K:K,MATCH(H:H,'90% of ACR'!A:A,0))*IF(I352&gt;0,IF(O352&gt;0,$R$4*MAX(O352-V352,0),0),0)/I352,2),0))</f>
        <v>0</v>
      </c>
      <c r="AI352" s="80">
        <f>IF(Y352="No",0,IFERROR(ROUNDDOWN(INDEX('90% of ACR'!R:R,MATCH(H:H,'90% of ACR'!A:A,0))*IF(J352&gt;0,IF(P352&gt;0,$R$4*MAX(P352-W352,0),0),0)/J352,2),0))</f>
        <v>0</v>
      </c>
      <c r="AJ352" s="44">
        <f t="shared" si="104"/>
        <v>0</v>
      </c>
      <c r="AK352" s="44">
        <f t="shared" si="104"/>
        <v>0</v>
      </c>
      <c r="AL352" s="46">
        <f t="shared" si="105"/>
        <v>0</v>
      </c>
      <c r="AM352" s="46">
        <f t="shared" si="105"/>
        <v>0.18</v>
      </c>
      <c r="AN352" s="81">
        <f>IFERROR(INDEX(FeeCalc!P:P,MATCH(C352,FeeCalc!F:F,0)),0)</f>
        <v>45412.800807974141</v>
      </c>
      <c r="AO352" s="81">
        <f>IFERROR(INDEX(FeeCalc!S:S,MATCH(C352,FeeCalc!F:F,0)),0)</f>
        <v>2804.3932179451758</v>
      </c>
      <c r="AP352" s="81">
        <f t="shared" si="106"/>
        <v>48217.194025919314</v>
      </c>
      <c r="AQ352" s="68">
        <f t="shared" si="107"/>
        <v>18975.9731432886</v>
      </c>
      <c r="AR352" s="68">
        <f>INDEX('IGT Commitment Suggestions'!H:H,MATCH(G352,'IGT Commitment Suggestions'!A:A,0))*AQ352</f>
        <v>9299.4346742094804</v>
      </c>
    </row>
    <row r="353" spans="1:44">
      <c r="A353" s="103" t="s">
        <v>1155</v>
      </c>
      <c r="B353" s="123" t="s">
        <v>1155</v>
      </c>
      <c r="C353" s="30" t="s">
        <v>1156</v>
      </c>
      <c r="D353" s="124" t="s">
        <v>1156</v>
      </c>
      <c r="E353" s="119" t="s">
        <v>2939</v>
      </c>
      <c r="F353" s="99" t="s">
        <v>2295</v>
      </c>
      <c r="G353" s="99" t="s">
        <v>227</v>
      </c>
      <c r="H353" s="42" t="str">
        <f t="shared" si="93"/>
        <v>Rural MRSA West</v>
      </c>
      <c r="I353" s="44">
        <f>INDEX(FeeCalc!M:M,MATCH(C:C,FeeCalc!F:F,0))</f>
        <v>3337445.604235597</v>
      </c>
      <c r="J353" s="44">
        <f>INDEX(FeeCalc!L:L,MATCH(C:C,FeeCalc!F:F,0))</f>
        <v>2986317.865959553</v>
      </c>
      <c r="K353" s="44">
        <f t="shared" si="94"/>
        <v>6323763.47019515</v>
      </c>
      <c r="L353" s="44">
        <v>482455.9</v>
      </c>
      <c r="M353" s="44">
        <v>821200.56</v>
      </c>
      <c r="N353" s="44">
        <f t="shared" si="95"/>
        <v>1303656.46</v>
      </c>
      <c r="O353" s="44">
        <v>731695.29389379732</v>
      </c>
      <c r="P353" s="44">
        <v>2370921.7949906755</v>
      </c>
      <c r="Q353" s="44">
        <f t="shared" si="96"/>
        <v>3102617.0888844728</v>
      </c>
      <c r="R353" s="44" t="str">
        <f t="shared" si="97"/>
        <v>Yes</v>
      </c>
      <c r="S353" s="45" t="str">
        <f t="shared" si="97"/>
        <v>Yes</v>
      </c>
      <c r="T353" s="46">
        <f>ROUND(INDEX(Summary!H:H,MATCH(H:H,Summary!A:A,0)),2)</f>
        <v>0</v>
      </c>
      <c r="U353" s="46">
        <f>ROUND(INDEX(Summary!I:I,MATCH(H:H,Summary!A:A,0)),2)</f>
        <v>0.18</v>
      </c>
      <c r="V353" s="79">
        <f t="shared" si="98"/>
        <v>0</v>
      </c>
      <c r="W353" s="79">
        <f t="shared" si="98"/>
        <v>537537.21587271953</v>
      </c>
      <c r="X353" s="44">
        <f t="shared" si="99"/>
        <v>537537.21587271953</v>
      </c>
      <c r="Y353" s="44" t="s">
        <v>2765</v>
      </c>
      <c r="Z353" s="44" t="str">
        <f t="shared" si="100"/>
        <v>No</v>
      </c>
      <c r="AA353" s="44" t="str">
        <f t="shared" si="100"/>
        <v>Yes</v>
      </c>
      <c r="AB353" s="44" t="str">
        <f t="shared" si="101"/>
        <v>Yes</v>
      </c>
      <c r="AC353" s="80">
        <f t="shared" si="108"/>
        <v>0.15</v>
      </c>
      <c r="AD353" s="80">
        <f t="shared" si="109"/>
        <v>0.43</v>
      </c>
      <c r="AE353" s="44">
        <f t="shared" si="102"/>
        <v>500616.8406353395</v>
      </c>
      <c r="AF353" s="44">
        <f t="shared" si="102"/>
        <v>1284116.6823626077</v>
      </c>
      <c r="AG353" s="44">
        <f t="shared" si="103"/>
        <v>1784733.5229979472</v>
      </c>
      <c r="AH353" s="46">
        <f>IF(Y353="No",0,IFERROR(ROUNDDOWN(INDEX('90% of ACR'!K:K,MATCH(H:H,'90% of ACR'!A:A,0))*IF(I353&gt;0,IF(O353&gt;0,$R$4*MAX(O353-V353,0),0),0)/I353,2),0))</f>
        <v>0</v>
      </c>
      <c r="AI353" s="80">
        <f>IF(Y353="No",0,IFERROR(ROUNDDOWN(INDEX('90% of ACR'!R:R,MATCH(H:H,'90% of ACR'!A:A,0))*IF(J353&gt;0,IF(P353&gt;0,$R$4*MAX(P353-W353,0),0),0)/J353,2),0))</f>
        <v>0.41</v>
      </c>
      <c r="AJ353" s="44">
        <f t="shared" si="104"/>
        <v>0</v>
      </c>
      <c r="AK353" s="44">
        <f t="shared" si="104"/>
        <v>1224390.3250434166</v>
      </c>
      <c r="AL353" s="46">
        <f t="shared" si="105"/>
        <v>0</v>
      </c>
      <c r="AM353" s="46">
        <f t="shared" si="105"/>
        <v>0.59</v>
      </c>
      <c r="AN353" s="81">
        <f>IFERROR(INDEX(FeeCalc!P:P,MATCH(C353,FeeCalc!F:F,0)),0)</f>
        <v>1761927.5409161362</v>
      </c>
      <c r="AO353" s="81">
        <f>IFERROR(INDEX(FeeCalc!S:S,MATCH(C353,FeeCalc!F:F,0)),0)</f>
        <v>108130.8713810825</v>
      </c>
      <c r="AP353" s="81">
        <f t="shared" si="106"/>
        <v>1870058.4122972188</v>
      </c>
      <c r="AQ353" s="68">
        <f t="shared" si="107"/>
        <v>735965.22827639512</v>
      </c>
      <c r="AR353" s="68">
        <f>INDEX('IGT Commitment Suggestions'!H:H,MATCH(G353,'IGT Commitment Suggestions'!A:A,0))*AQ353</f>
        <v>360669.80655833206</v>
      </c>
    </row>
    <row r="354" spans="1:44">
      <c r="A354" s="103" t="s">
        <v>886</v>
      </c>
      <c r="B354" s="123" t="s">
        <v>886</v>
      </c>
      <c r="C354" s="30" t="s">
        <v>887</v>
      </c>
      <c r="D354" s="124" t="s">
        <v>887</v>
      </c>
      <c r="E354" s="119" t="s">
        <v>2940</v>
      </c>
      <c r="F354" s="99" t="s">
        <v>2283</v>
      </c>
      <c r="G354" s="99" t="s">
        <v>1486</v>
      </c>
      <c r="H354" s="42" t="str">
        <f t="shared" si="93"/>
        <v>Urban MRSA Central</v>
      </c>
      <c r="I354" s="44">
        <f>INDEX(FeeCalc!M:M,MATCH(C:C,FeeCalc!F:F,0))</f>
        <v>6580404.4331458202</v>
      </c>
      <c r="J354" s="44">
        <f>INDEX(FeeCalc!L:L,MATCH(C:C,FeeCalc!F:F,0))</f>
        <v>3954410.0219876748</v>
      </c>
      <c r="K354" s="44">
        <f t="shared" si="94"/>
        <v>10534814.455133494</v>
      </c>
      <c r="L354" s="44">
        <v>3106798.14</v>
      </c>
      <c r="M354" s="44">
        <v>2788195.25</v>
      </c>
      <c r="N354" s="44">
        <f t="shared" si="95"/>
        <v>5894993.3900000006</v>
      </c>
      <c r="O354" s="44">
        <v>7736016.1647754954</v>
      </c>
      <c r="P354" s="44">
        <v>4810804.854159439</v>
      </c>
      <c r="Q354" s="44">
        <f t="shared" si="96"/>
        <v>12546821.018934935</v>
      </c>
      <c r="R354" s="44" t="str">
        <f t="shared" si="97"/>
        <v>Yes</v>
      </c>
      <c r="S354" s="45" t="str">
        <f t="shared" si="97"/>
        <v>Yes</v>
      </c>
      <c r="T354" s="46">
        <f>ROUND(INDEX(Summary!H:H,MATCH(H:H,Summary!A:A,0)),2)</f>
        <v>0.48</v>
      </c>
      <c r="U354" s="46">
        <f>ROUND(INDEX(Summary!I:I,MATCH(H:H,Summary!A:A,0)),2)</f>
        <v>0.99</v>
      </c>
      <c r="V354" s="79">
        <f t="shared" si="98"/>
        <v>3158594.1279099938</v>
      </c>
      <c r="W354" s="79">
        <f t="shared" si="98"/>
        <v>3914865.9217677978</v>
      </c>
      <c r="X354" s="44">
        <f t="shared" si="99"/>
        <v>7073460.0496777911</v>
      </c>
      <c r="Y354" s="44" t="s">
        <v>2765</v>
      </c>
      <c r="Z354" s="44" t="str">
        <f t="shared" si="100"/>
        <v>Yes</v>
      </c>
      <c r="AA354" s="44" t="str">
        <f t="shared" si="100"/>
        <v>No</v>
      </c>
      <c r="AB354" s="44" t="str">
        <f t="shared" si="101"/>
        <v>Yes</v>
      </c>
      <c r="AC354" s="80">
        <f t="shared" si="108"/>
        <v>0.48</v>
      </c>
      <c r="AD354" s="80">
        <f t="shared" si="109"/>
        <v>0.16</v>
      </c>
      <c r="AE354" s="44">
        <f t="shared" si="102"/>
        <v>3158594.1279099938</v>
      </c>
      <c r="AF354" s="44">
        <f t="shared" si="102"/>
        <v>632705.60351802793</v>
      </c>
      <c r="AG354" s="44">
        <f t="shared" si="103"/>
        <v>3791299.7314280216</v>
      </c>
      <c r="AH354" s="46">
        <f>IF(Y354="No",0,IFERROR(ROUNDDOWN(INDEX('90% of ACR'!K:K,MATCH(H:H,'90% of ACR'!A:A,0))*IF(I354&gt;0,IF(O354&gt;0,$R$4*MAX(O354-V354,0),0),0)/I354,2),0))</f>
        <v>0.48</v>
      </c>
      <c r="AI354" s="80">
        <f>IF(Y354="No",0,IFERROR(ROUNDDOWN(INDEX('90% of ACR'!R:R,MATCH(H:H,'90% of ACR'!A:A,0))*IF(J354&gt;0,IF(P354&gt;0,$R$4*MAX(P354-W354,0),0),0)/J354,2),0))</f>
        <v>0</v>
      </c>
      <c r="AJ354" s="44">
        <f t="shared" si="104"/>
        <v>3158594.1279099938</v>
      </c>
      <c r="AK354" s="44">
        <f t="shared" si="104"/>
        <v>0</v>
      </c>
      <c r="AL354" s="46">
        <f t="shared" si="105"/>
        <v>0.96</v>
      </c>
      <c r="AM354" s="46">
        <f t="shared" si="105"/>
        <v>0.99</v>
      </c>
      <c r="AN354" s="81">
        <f>IFERROR(INDEX(FeeCalc!P:P,MATCH(C354,FeeCalc!F:F,0)),0)</f>
        <v>10232054.177587785</v>
      </c>
      <c r="AO354" s="81">
        <f>IFERROR(INDEX(FeeCalc!S:S,MATCH(C354,FeeCalc!F:F,0)),0)</f>
        <v>631743.32059377211</v>
      </c>
      <c r="AP354" s="81">
        <f t="shared" si="106"/>
        <v>10863797.498181557</v>
      </c>
      <c r="AQ354" s="68">
        <f t="shared" si="107"/>
        <v>4275469.2330043484</v>
      </c>
      <c r="AR354" s="68">
        <f>INDEX('IGT Commitment Suggestions'!H:H,MATCH(G354,'IGT Commitment Suggestions'!A:A,0))*AQ354</f>
        <v>1953192.3832527339</v>
      </c>
    </row>
    <row r="355" spans="1:44">
      <c r="A355" s="103" t="s">
        <v>279</v>
      </c>
      <c r="B355" s="123" t="s">
        <v>279</v>
      </c>
      <c r="C355" s="30" t="s">
        <v>280</v>
      </c>
      <c r="D355" s="124" t="s">
        <v>280</v>
      </c>
      <c r="E355" s="119" t="s">
        <v>2941</v>
      </c>
      <c r="F355" s="99" t="s">
        <v>2295</v>
      </c>
      <c r="G355" s="99" t="s">
        <v>1486</v>
      </c>
      <c r="H355" s="42" t="str">
        <f t="shared" si="93"/>
        <v>Rural MRSA Central</v>
      </c>
      <c r="I355" s="44">
        <f>INDEX(FeeCalc!M:M,MATCH(C:C,FeeCalc!F:F,0))</f>
        <v>39398.86354727349</v>
      </c>
      <c r="J355" s="44">
        <f>INDEX(FeeCalc!L:L,MATCH(C:C,FeeCalc!F:F,0))</f>
        <v>593477.22916622239</v>
      </c>
      <c r="K355" s="44">
        <f t="shared" si="94"/>
        <v>632876.09271349583</v>
      </c>
      <c r="L355" s="44">
        <v>17948.099999999999</v>
      </c>
      <c r="M355" s="44">
        <v>-158405.57999999999</v>
      </c>
      <c r="N355" s="44">
        <f t="shared" si="95"/>
        <v>-140457.47999999998</v>
      </c>
      <c r="O355" s="44">
        <v>7445.3665158222138</v>
      </c>
      <c r="P355" s="44">
        <v>312559.10205727472</v>
      </c>
      <c r="Q355" s="44">
        <f t="shared" si="96"/>
        <v>320004.46857309691</v>
      </c>
      <c r="R355" s="44" t="str">
        <f t="shared" si="97"/>
        <v>Yes</v>
      </c>
      <c r="S355" s="45" t="str">
        <f t="shared" si="97"/>
        <v>Yes</v>
      </c>
      <c r="T355" s="46">
        <f>ROUND(INDEX(Summary!H:H,MATCH(H:H,Summary!A:A,0)),2)</f>
        <v>0.11</v>
      </c>
      <c r="U355" s="46">
        <f>ROUND(INDEX(Summary!I:I,MATCH(H:H,Summary!A:A,0)),2)</f>
        <v>0.09</v>
      </c>
      <c r="V355" s="79">
        <f t="shared" si="98"/>
        <v>4333.8749902000836</v>
      </c>
      <c r="W355" s="79">
        <f t="shared" si="98"/>
        <v>53412.950624960016</v>
      </c>
      <c r="X355" s="44">
        <f t="shared" si="99"/>
        <v>57746.825615160102</v>
      </c>
      <c r="Y355" s="44" t="s">
        <v>2765</v>
      </c>
      <c r="Z355" s="44" t="str">
        <f t="shared" si="100"/>
        <v>Yes</v>
      </c>
      <c r="AA355" s="44" t="str">
        <f t="shared" si="100"/>
        <v>Yes</v>
      </c>
      <c r="AB355" s="44" t="str">
        <f t="shared" si="101"/>
        <v>Yes</v>
      </c>
      <c r="AC355" s="80">
        <f t="shared" si="108"/>
        <v>0.06</v>
      </c>
      <c r="AD355" s="80">
        <f t="shared" si="109"/>
        <v>0.3</v>
      </c>
      <c r="AE355" s="44">
        <f t="shared" si="102"/>
        <v>2363.9318128364093</v>
      </c>
      <c r="AF355" s="44">
        <f t="shared" si="102"/>
        <v>178043.16874986672</v>
      </c>
      <c r="AG355" s="44">
        <f t="shared" si="103"/>
        <v>180407.10056270313</v>
      </c>
      <c r="AH355" s="46">
        <f>IF(Y355="No",0,IFERROR(ROUNDDOWN(INDEX('90% of ACR'!K:K,MATCH(H:H,'90% of ACR'!A:A,0))*IF(I355&gt;0,IF(O355&gt;0,$R$4*MAX(O355-V355,0),0),0)/I355,2),0))</f>
        <v>0.02</v>
      </c>
      <c r="AI355" s="80">
        <f>IF(Y355="No",0,IFERROR(ROUNDDOWN(INDEX('90% of ACR'!R:R,MATCH(H:H,'90% of ACR'!A:A,0))*IF(J355&gt;0,IF(P355&gt;0,$R$4*MAX(P355-W355,0),0),0)/J355,2),0))</f>
        <v>0.3</v>
      </c>
      <c r="AJ355" s="44">
        <f t="shared" si="104"/>
        <v>787.97727094546985</v>
      </c>
      <c r="AK355" s="44">
        <f t="shared" si="104"/>
        <v>178043.16874986672</v>
      </c>
      <c r="AL355" s="46">
        <f t="shared" si="105"/>
        <v>0.13</v>
      </c>
      <c r="AM355" s="46">
        <f t="shared" si="105"/>
        <v>0.39</v>
      </c>
      <c r="AN355" s="81">
        <f>IFERROR(INDEX(FeeCalc!P:P,MATCH(C355,FeeCalc!F:F,0)),0)</f>
        <v>236577.97163597227</v>
      </c>
      <c r="AO355" s="81">
        <f>IFERROR(INDEX(FeeCalc!S:S,MATCH(C355,FeeCalc!F:F,0)),0)</f>
        <v>14552.052372898144</v>
      </c>
      <c r="AP355" s="81">
        <f t="shared" si="106"/>
        <v>251130.02400887042</v>
      </c>
      <c r="AQ355" s="68">
        <f t="shared" si="107"/>
        <v>98832.723208738971</v>
      </c>
      <c r="AR355" s="68">
        <f>INDEX('IGT Commitment Suggestions'!H:H,MATCH(G355,'IGT Commitment Suggestions'!A:A,0))*AQ355</f>
        <v>45150.441195383602</v>
      </c>
    </row>
    <row r="356" spans="1:44">
      <c r="A356" s="103" t="s">
        <v>1110</v>
      </c>
      <c r="B356" s="123" t="s">
        <v>1110</v>
      </c>
      <c r="C356" s="30" t="s">
        <v>1111</v>
      </c>
      <c r="D356" s="124" t="s">
        <v>1111</v>
      </c>
      <c r="E356" s="119" t="s">
        <v>2603</v>
      </c>
      <c r="F356" s="99" t="s">
        <v>2283</v>
      </c>
      <c r="G356" s="99" t="s">
        <v>1365</v>
      </c>
      <c r="H356" s="42" t="str">
        <f t="shared" si="93"/>
        <v>Urban Tarrant</v>
      </c>
      <c r="I356" s="44">
        <f>INDEX(FeeCalc!M:M,MATCH(C:C,FeeCalc!F:F,0))</f>
        <v>6334487.2682288317</v>
      </c>
      <c r="J356" s="44">
        <f>INDEX(FeeCalc!L:L,MATCH(C:C,FeeCalc!F:F,0))</f>
        <v>5693562.6352056637</v>
      </c>
      <c r="K356" s="44">
        <f t="shared" si="94"/>
        <v>12028049.903434496</v>
      </c>
      <c r="L356" s="44">
        <v>3974033.52</v>
      </c>
      <c r="M356" s="44">
        <v>637222.16</v>
      </c>
      <c r="N356" s="44">
        <f t="shared" si="95"/>
        <v>4611255.68</v>
      </c>
      <c r="O356" s="44">
        <v>16807423.948827177</v>
      </c>
      <c r="P356" s="44">
        <v>2823825.4444447551</v>
      </c>
      <c r="Q356" s="44">
        <f t="shared" si="96"/>
        <v>19631249.393271931</v>
      </c>
      <c r="R356" s="44" t="str">
        <f t="shared" si="97"/>
        <v>Yes</v>
      </c>
      <c r="S356" s="45" t="str">
        <f t="shared" si="97"/>
        <v>Yes</v>
      </c>
      <c r="T356" s="46">
        <f>ROUND(INDEX(Summary!H:H,MATCH(H:H,Summary!A:A,0)),2)</f>
        <v>0.84</v>
      </c>
      <c r="U356" s="46">
        <f>ROUND(INDEX(Summary!I:I,MATCH(H:H,Summary!A:A,0)),2)</f>
        <v>0.55000000000000004</v>
      </c>
      <c r="V356" s="79">
        <f t="shared" si="98"/>
        <v>5320969.3053122181</v>
      </c>
      <c r="W356" s="79">
        <f t="shared" si="98"/>
        <v>3131459.4493631152</v>
      </c>
      <c r="X356" s="44">
        <f t="shared" si="99"/>
        <v>8452428.7546753325</v>
      </c>
      <c r="Y356" s="44" t="s">
        <v>2765</v>
      </c>
      <c r="Z356" s="44" t="str">
        <f t="shared" si="100"/>
        <v>Yes</v>
      </c>
      <c r="AA356" s="44" t="str">
        <f t="shared" si="100"/>
        <v>No</v>
      </c>
      <c r="AB356" s="44" t="str">
        <f t="shared" si="101"/>
        <v>Yes</v>
      </c>
      <c r="AC356" s="80">
        <f t="shared" si="108"/>
        <v>1.26</v>
      </c>
      <c r="AD356" s="80">
        <f t="shared" si="109"/>
        <v>0</v>
      </c>
      <c r="AE356" s="44">
        <f t="shared" si="102"/>
        <v>7981453.9579683281</v>
      </c>
      <c r="AF356" s="44">
        <f t="shared" si="102"/>
        <v>0</v>
      </c>
      <c r="AG356" s="44">
        <f t="shared" si="103"/>
        <v>7981453.9579683281</v>
      </c>
      <c r="AH356" s="46">
        <f>IF(Y356="No",0,IFERROR(ROUNDDOWN(INDEX('90% of ACR'!K:K,MATCH(H:H,'90% of ACR'!A:A,0))*IF(I356&gt;0,IF(O356&gt;0,$R$4*MAX(O356-V356,0),0),0)/I356,2),0))</f>
        <v>1.26</v>
      </c>
      <c r="AI356" s="80">
        <f>IF(Y356="No",0,IFERROR(ROUNDDOWN(INDEX('90% of ACR'!R:R,MATCH(H:H,'90% of ACR'!A:A,0))*IF(J356&gt;0,IF(P356&gt;0,$R$4*MAX(P356-W356,0),0),0)/J356,2),0))</f>
        <v>0</v>
      </c>
      <c r="AJ356" s="44">
        <f t="shared" si="104"/>
        <v>7981453.9579683281</v>
      </c>
      <c r="AK356" s="44">
        <f t="shared" si="104"/>
        <v>0</v>
      </c>
      <c r="AL356" s="46">
        <f t="shared" si="105"/>
        <v>2.1</v>
      </c>
      <c r="AM356" s="46">
        <f t="shared" si="105"/>
        <v>0.55000000000000004</v>
      </c>
      <c r="AN356" s="81">
        <f>IFERROR(INDEX(FeeCalc!P:P,MATCH(C356,FeeCalc!F:F,0)),0)</f>
        <v>16433882.712643661</v>
      </c>
      <c r="AO356" s="81">
        <f>IFERROR(INDEX(FeeCalc!S:S,MATCH(C356,FeeCalc!F:F,0)),0)</f>
        <v>1025367.4123627727</v>
      </c>
      <c r="AP356" s="81">
        <f t="shared" si="106"/>
        <v>17459250.125006434</v>
      </c>
      <c r="AQ356" s="68">
        <f t="shared" si="107"/>
        <v>6871122.805196532</v>
      </c>
      <c r="AR356" s="68">
        <f>INDEX('IGT Commitment Suggestions'!H:H,MATCH(G356,'IGT Commitment Suggestions'!A:A,0))*AQ356</f>
        <v>3133853.7251416831</v>
      </c>
    </row>
    <row r="357" spans="1:44">
      <c r="A357" s="103" t="s">
        <v>1069</v>
      </c>
      <c r="B357" s="123" t="s">
        <v>1069</v>
      </c>
      <c r="C357" s="30" t="s">
        <v>1070</v>
      </c>
      <c r="D357" s="124" t="s">
        <v>1070</v>
      </c>
      <c r="E357" s="119" t="s">
        <v>2942</v>
      </c>
      <c r="F357" s="99" t="s">
        <v>2295</v>
      </c>
      <c r="G357" s="99" t="s">
        <v>227</v>
      </c>
      <c r="H357" s="42" t="str">
        <f t="shared" si="93"/>
        <v>Rural MRSA West</v>
      </c>
      <c r="I357" s="44">
        <f>INDEX(FeeCalc!M:M,MATCH(C:C,FeeCalc!F:F,0))</f>
        <v>62206.500913746611</v>
      </c>
      <c r="J357" s="44">
        <f>INDEX(FeeCalc!L:L,MATCH(C:C,FeeCalc!F:F,0))</f>
        <v>121455.69675035981</v>
      </c>
      <c r="K357" s="44">
        <f t="shared" si="94"/>
        <v>183662.19766410644</v>
      </c>
      <c r="L357" s="44">
        <v>19999.75</v>
      </c>
      <c r="M357" s="44">
        <v>-10665.32</v>
      </c>
      <c r="N357" s="44">
        <f t="shared" si="95"/>
        <v>9334.43</v>
      </c>
      <c r="O357" s="44">
        <v>7475.7525549045095</v>
      </c>
      <c r="P357" s="44">
        <v>-5760.1173422356151</v>
      </c>
      <c r="Q357" s="44">
        <f t="shared" si="96"/>
        <v>1715.6352126688944</v>
      </c>
      <c r="R357" s="44" t="str">
        <f t="shared" si="97"/>
        <v>Yes</v>
      </c>
      <c r="S357" s="45" t="str">
        <f t="shared" si="97"/>
        <v>No</v>
      </c>
      <c r="T357" s="46">
        <f>ROUND(INDEX(Summary!H:H,MATCH(H:H,Summary!A:A,0)),2)</f>
        <v>0</v>
      </c>
      <c r="U357" s="46">
        <f>ROUND(INDEX(Summary!I:I,MATCH(H:H,Summary!A:A,0)),2)</f>
        <v>0.18</v>
      </c>
      <c r="V357" s="79">
        <f t="shared" si="98"/>
        <v>0</v>
      </c>
      <c r="W357" s="79">
        <f t="shared" si="98"/>
        <v>21862.025415064767</v>
      </c>
      <c r="X357" s="44">
        <f t="shared" si="99"/>
        <v>21862.025415064767</v>
      </c>
      <c r="Y357" s="44" t="s">
        <v>2765</v>
      </c>
      <c r="Z357" s="44" t="str">
        <f t="shared" si="100"/>
        <v>No</v>
      </c>
      <c r="AA357" s="44" t="str">
        <f t="shared" si="100"/>
        <v>No</v>
      </c>
      <c r="AB357" s="44" t="str">
        <f t="shared" si="101"/>
        <v>Yes</v>
      </c>
      <c r="AC357" s="80">
        <f t="shared" si="108"/>
        <v>0.08</v>
      </c>
      <c r="AD357" s="80">
        <f t="shared" si="109"/>
        <v>0</v>
      </c>
      <c r="AE357" s="44">
        <f t="shared" si="102"/>
        <v>4976.5200730997294</v>
      </c>
      <c r="AF357" s="44">
        <f t="shared" si="102"/>
        <v>0</v>
      </c>
      <c r="AG357" s="44">
        <f t="shared" si="103"/>
        <v>4976.5200730997294</v>
      </c>
      <c r="AH357" s="46">
        <f>IF(Y357="No",0,IFERROR(ROUNDDOWN(INDEX('90% of ACR'!K:K,MATCH(H:H,'90% of ACR'!A:A,0))*IF(I357&gt;0,IF(O357&gt;0,$R$4*MAX(O357-V357,0),0),0)/I357,2),0))</f>
        <v>0</v>
      </c>
      <c r="AI357" s="80">
        <f>IF(Y357="No",0,IFERROR(ROUNDDOWN(INDEX('90% of ACR'!R:R,MATCH(H:H,'90% of ACR'!A:A,0))*IF(J357&gt;0,IF(P357&gt;0,$R$4*MAX(P357-W357,0),0),0)/J357,2),0))</f>
        <v>0</v>
      </c>
      <c r="AJ357" s="44">
        <f t="shared" si="104"/>
        <v>0</v>
      </c>
      <c r="AK357" s="44">
        <f t="shared" si="104"/>
        <v>0</v>
      </c>
      <c r="AL357" s="46">
        <f t="shared" si="105"/>
        <v>0</v>
      </c>
      <c r="AM357" s="46">
        <f t="shared" si="105"/>
        <v>0.18</v>
      </c>
      <c r="AN357" s="81">
        <f>IFERROR(INDEX(FeeCalc!P:P,MATCH(C357,FeeCalc!F:F,0)),0)</f>
        <v>21862.025415064767</v>
      </c>
      <c r="AO357" s="81">
        <f>IFERROR(INDEX(FeeCalc!S:S,MATCH(C357,FeeCalc!F:F,0)),0)</f>
        <v>1341.3203668323058</v>
      </c>
      <c r="AP357" s="81">
        <f t="shared" si="106"/>
        <v>23203.345781897071</v>
      </c>
      <c r="AQ357" s="68">
        <f t="shared" si="107"/>
        <v>9131.7231391571549</v>
      </c>
      <c r="AR357" s="68">
        <f>INDEX('IGT Commitment Suggestions'!H:H,MATCH(G357,'IGT Commitment Suggestions'!A:A,0))*AQ357</f>
        <v>4475.1255787687205</v>
      </c>
    </row>
    <row r="358" spans="1:44">
      <c r="A358" s="103" t="s">
        <v>1107</v>
      </c>
      <c r="B358" s="123" t="s">
        <v>1107</v>
      </c>
      <c r="C358" s="30" t="s">
        <v>1108</v>
      </c>
      <c r="D358" s="124" t="s">
        <v>1108</v>
      </c>
      <c r="E358" s="119" t="s">
        <v>2626</v>
      </c>
      <c r="F358" s="99" t="s">
        <v>2295</v>
      </c>
      <c r="G358" s="99" t="s">
        <v>1486</v>
      </c>
      <c r="H358" s="42" t="str">
        <f t="shared" si="93"/>
        <v>Rural MRSA Central</v>
      </c>
      <c r="I358" s="44">
        <f>INDEX(FeeCalc!M:M,MATCH(C:C,FeeCalc!F:F,0))</f>
        <v>801972.41681536112</v>
      </c>
      <c r="J358" s="44">
        <f>INDEX(FeeCalc!L:L,MATCH(C:C,FeeCalc!F:F,0))</f>
        <v>2025529.8142354542</v>
      </c>
      <c r="K358" s="44">
        <f t="shared" si="94"/>
        <v>2827502.2310508154</v>
      </c>
      <c r="L358" s="44">
        <v>152262.88</v>
      </c>
      <c r="M358" s="44">
        <v>392068.15</v>
      </c>
      <c r="N358" s="44">
        <f t="shared" si="95"/>
        <v>544331.03</v>
      </c>
      <c r="O358" s="44">
        <v>1053310.0165517363</v>
      </c>
      <c r="P358" s="44">
        <v>1236626.0675538965</v>
      </c>
      <c r="Q358" s="44">
        <f t="shared" si="96"/>
        <v>2289936.0841056327</v>
      </c>
      <c r="R358" s="44" t="str">
        <f t="shared" si="97"/>
        <v>Yes</v>
      </c>
      <c r="S358" s="45" t="str">
        <f t="shared" si="97"/>
        <v>Yes</v>
      </c>
      <c r="T358" s="46">
        <f>ROUND(INDEX(Summary!H:H,MATCH(H:H,Summary!A:A,0)),2)</f>
        <v>0.11</v>
      </c>
      <c r="U358" s="46">
        <f>ROUND(INDEX(Summary!I:I,MATCH(H:H,Summary!A:A,0)),2)</f>
        <v>0.09</v>
      </c>
      <c r="V358" s="79">
        <f t="shared" si="98"/>
        <v>88216.965849689717</v>
      </c>
      <c r="W358" s="79">
        <f t="shared" si="98"/>
        <v>182297.68328119087</v>
      </c>
      <c r="X358" s="44">
        <f t="shared" si="99"/>
        <v>270514.6491308806</v>
      </c>
      <c r="Y358" s="44" t="s">
        <v>2765</v>
      </c>
      <c r="Z358" s="44" t="str">
        <f t="shared" si="100"/>
        <v>Yes</v>
      </c>
      <c r="AA358" s="44" t="str">
        <f t="shared" si="100"/>
        <v>Yes</v>
      </c>
      <c r="AB358" s="44" t="str">
        <f t="shared" si="101"/>
        <v>Yes</v>
      </c>
      <c r="AC358" s="80">
        <f t="shared" si="108"/>
        <v>0.84</v>
      </c>
      <c r="AD358" s="80">
        <f t="shared" si="109"/>
        <v>0.36</v>
      </c>
      <c r="AE358" s="44">
        <f t="shared" si="102"/>
        <v>673656.83012490335</v>
      </c>
      <c r="AF358" s="44">
        <f t="shared" si="102"/>
        <v>729190.73312476347</v>
      </c>
      <c r="AG358" s="44">
        <f t="shared" si="103"/>
        <v>1402847.5632496667</v>
      </c>
      <c r="AH358" s="46">
        <f>IF(Y358="No",0,IFERROR(ROUNDDOWN(INDEX('90% of ACR'!K:K,MATCH(H:H,'90% of ACR'!A:A,0))*IF(I358&gt;0,IF(O358&gt;0,$R$4*MAX(O358-V358,0),0),0)/I358,2),0))</f>
        <v>0.43</v>
      </c>
      <c r="AI358" s="80">
        <f>IF(Y358="No",0,IFERROR(ROUNDDOWN(INDEX('90% of ACR'!R:R,MATCH(H:H,'90% of ACR'!A:A,0))*IF(J358&gt;0,IF(P358&gt;0,$R$4*MAX(P358-W358,0),0),0)/J358,2),0))</f>
        <v>0.36</v>
      </c>
      <c r="AJ358" s="44">
        <f t="shared" si="104"/>
        <v>344848.13923060527</v>
      </c>
      <c r="AK358" s="44">
        <f t="shared" si="104"/>
        <v>729190.73312476347</v>
      </c>
      <c r="AL358" s="46">
        <f t="shared" si="105"/>
        <v>0.54</v>
      </c>
      <c r="AM358" s="46">
        <f t="shared" si="105"/>
        <v>0.44999999999999996</v>
      </c>
      <c r="AN358" s="81">
        <f>IFERROR(INDEX(FeeCalc!P:P,MATCH(C358,FeeCalc!F:F,0)),0)</f>
        <v>1344553.5214862493</v>
      </c>
      <c r="AO358" s="81">
        <f>IFERROR(INDEX(FeeCalc!S:S,MATCH(C358,FeeCalc!F:F,0)),0)</f>
        <v>83039.261930473978</v>
      </c>
      <c r="AP358" s="81">
        <f t="shared" si="106"/>
        <v>1427592.7834167234</v>
      </c>
      <c r="AQ358" s="68">
        <f t="shared" si="107"/>
        <v>561831.99509921833</v>
      </c>
      <c r="AR358" s="68">
        <f>INDEX('IGT Commitment Suggestions'!H:H,MATCH(G358,'IGT Commitment Suggestions'!A:A,0))*AQ358</f>
        <v>256665.62281033365</v>
      </c>
    </row>
    <row r="359" spans="1:44">
      <c r="A359" s="103" t="s">
        <v>1113</v>
      </c>
      <c r="B359" s="123" t="s">
        <v>1113</v>
      </c>
      <c r="C359" s="30" t="s">
        <v>1114</v>
      </c>
      <c r="D359" s="124" t="s">
        <v>1114</v>
      </c>
      <c r="E359" s="119" t="s">
        <v>2627</v>
      </c>
      <c r="F359" s="99" t="s">
        <v>2283</v>
      </c>
      <c r="G359" s="99" t="s">
        <v>223</v>
      </c>
      <c r="H359" s="42" t="str">
        <f t="shared" si="93"/>
        <v>Urban Dallas</v>
      </c>
      <c r="I359" s="44">
        <f>INDEX(FeeCalc!M:M,MATCH(C:C,FeeCalc!F:F,0))</f>
        <v>19113162.387113921</v>
      </c>
      <c r="J359" s="44">
        <f>INDEX(FeeCalc!L:L,MATCH(C:C,FeeCalc!F:F,0))</f>
        <v>4585063.7649617288</v>
      </c>
      <c r="K359" s="44">
        <f t="shared" si="94"/>
        <v>23698226.152075648</v>
      </c>
      <c r="L359" s="44">
        <v>6080814.1500000004</v>
      </c>
      <c r="M359" s="44">
        <v>1843083.74</v>
      </c>
      <c r="N359" s="44">
        <f t="shared" si="95"/>
        <v>7923897.8900000006</v>
      </c>
      <c r="O359" s="44">
        <v>41272627.99298691</v>
      </c>
      <c r="P359" s="44">
        <v>4187257.6189224226</v>
      </c>
      <c r="Q359" s="44">
        <f t="shared" si="96"/>
        <v>45459885.61190933</v>
      </c>
      <c r="R359" s="44" t="str">
        <f t="shared" si="97"/>
        <v>Yes</v>
      </c>
      <c r="S359" s="45" t="str">
        <f t="shared" si="97"/>
        <v>Yes</v>
      </c>
      <c r="T359" s="46">
        <f>ROUND(INDEX(Summary!H:H,MATCH(H:H,Summary!A:A,0)),2)</f>
        <v>0.6</v>
      </c>
      <c r="U359" s="46">
        <f>ROUND(INDEX(Summary!I:I,MATCH(H:H,Summary!A:A,0)),2)</f>
        <v>0.3</v>
      </c>
      <c r="V359" s="79">
        <f t="shared" si="98"/>
        <v>11467897.432268353</v>
      </c>
      <c r="W359" s="79">
        <f t="shared" si="98"/>
        <v>1375519.1294885187</v>
      </c>
      <c r="X359" s="44">
        <f t="shared" si="99"/>
        <v>12843416.561756872</v>
      </c>
      <c r="Y359" s="44" t="s">
        <v>2765</v>
      </c>
      <c r="Z359" s="44" t="str">
        <f t="shared" si="100"/>
        <v>Yes</v>
      </c>
      <c r="AA359" s="44" t="str">
        <f t="shared" si="100"/>
        <v>Yes</v>
      </c>
      <c r="AB359" s="44" t="str">
        <f t="shared" si="101"/>
        <v>Yes</v>
      </c>
      <c r="AC359" s="80">
        <f t="shared" si="108"/>
        <v>1.0900000000000001</v>
      </c>
      <c r="AD359" s="80">
        <f t="shared" si="109"/>
        <v>0.43</v>
      </c>
      <c r="AE359" s="44">
        <f t="shared" si="102"/>
        <v>20833347.001954176</v>
      </c>
      <c r="AF359" s="44">
        <f t="shared" si="102"/>
        <v>1971577.4189335434</v>
      </c>
      <c r="AG359" s="44">
        <f t="shared" si="103"/>
        <v>22804924.42088772</v>
      </c>
      <c r="AH359" s="46">
        <f>IF(Y359="No",0,IFERROR(ROUNDDOWN(INDEX('90% of ACR'!K:K,MATCH(H:H,'90% of ACR'!A:A,0))*IF(I359&gt;0,IF(O359&gt;0,$R$4*MAX(O359-V359,0),0),0)/I359,2),0))</f>
        <v>1.08</v>
      </c>
      <c r="AI359" s="80">
        <f>IF(Y359="No",0,IFERROR(ROUNDDOWN(INDEX('90% of ACR'!R:R,MATCH(H:H,'90% of ACR'!A:A,0))*IF(J359&gt;0,IF(P359&gt;0,$R$4*MAX(P359-W359,0),0),0)/J359,2),0))</f>
        <v>0.42</v>
      </c>
      <c r="AJ359" s="44">
        <f t="shared" si="104"/>
        <v>20642215.378083035</v>
      </c>
      <c r="AK359" s="44">
        <f t="shared" si="104"/>
        <v>1925726.781283926</v>
      </c>
      <c r="AL359" s="46">
        <f t="shared" si="105"/>
        <v>1.6800000000000002</v>
      </c>
      <c r="AM359" s="46">
        <f t="shared" si="105"/>
        <v>0.72</v>
      </c>
      <c r="AN359" s="81">
        <f>IFERROR(INDEX(FeeCalc!P:P,MATCH(C359,FeeCalc!F:F,0)),0)</f>
        <v>35411358.721123837</v>
      </c>
      <c r="AO359" s="81">
        <f>IFERROR(INDEX(FeeCalc!S:S,MATCH(C359,FeeCalc!F:F,0)),0)</f>
        <v>2197092.535718157</v>
      </c>
      <c r="AP359" s="81">
        <f t="shared" si="106"/>
        <v>37608451.256841995</v>
      </c>
      <c r="AQ359" s="68">
        <f t="shared" si="107"/>
        <v>14800881.209032681</v>
      </c>
      <c r="AR359" s="68">
        <f>INDEX('IGT Commitment Suggestions'!H:H,MATCH(G359,'IGT Commitment Suggestions'!A:A,0))*AQ359</f>
        <v>6768942.2485464597</v>
      </c>
    </row>
    <row r="360" spans="1:44">
      <c r="A360" s="103" t="s">
        <v>1119</v>
      </c>
      <c r="B360" s="123" t="s">
        <v>1119</v>
      </c>
      <c r="C360" s="30" t="s">
        <v>1120</v>
      </c>
      <c r="D360" s="124" t="s">
        <v>1120</v>
      </c>
      <c r="E360" s="119" t="s">
        <v>2628</v>
      </c>
      <c r="F360" s="99" t="s">
        <v>2283</v>
      </c>
      <c r="G360" s="99" t="s">
        <v>223</v>
      </c>
      <c r="H360" s="42" t="str">
        <f t="shared" si="93"/>
        <v>Urban Dallas</v>
      </c>
      <c r="I360" s="44">
        <f>INDEX(FeeCalc!M:M,MATCH(C:C,FeeCalc!F:F,0))</f>
        <v>128148.45921054165</v>
      </c>
      <c r="J360" s="44">
        <f>INDEX(FeeCalc!L:L,MATCH(C:C,FeeCalc!F:F,0))</f>
        <v>1606036.1960463019</v>
      </c>
      <c r="K360" s="44">
        <f t="shared" si="94"/>
        <v>1734184.6552568434</v>
      </c>
      <c r="L360" s="44">
        <v>216387.12</v>
      </c>
      <c r="M360" s="44">
        <v>113655.73</v>
      </c>
      <c r="N360" s="44">
        <f t="shared" si="95"/>
        <v>330042.84999999998</v>
      </c>
      <c r="O360" s="44">
        <v>563581.56228946149</v>
      </c>
      <c r="P360" s="44">
        <v>1582758.7820774911</v>
      </c>
      <c r="Q360" s="44">
        <f t="shared" si="96"/>
        <v>2146340.3443669528</v>
      </c>
      <c r="R360" s="44" t="str">
        <f t="shared" si="97"/>
        <v>Yes</v>
      </c>
      <c r="S360" s="45" t="str">
        <f t="shared" si="97"/>
        <v>Yes</v>
      </c>
      <c r="T360" s="46">
        <f>ROUND(INDEX(Summary!H:H,MATCH(H:H,Summary!A:A,0)),2)</f>
        <v>0.6</v>
      </c>
      <c r="U360" s="46">
        <f>ROUND(INDEX(Summary!I:I,MATCH(H:H,Summary!A:A,0)),2)</f>
        <v>0.3</v>
      </c>
      <c r="V360" s="79">
        <f t="shared" si="98"/>
        <v>76889.075526324988</v>
      </c>
      <c r="W360" s="79">
        <f t="shared" si="98"/>
        <v>481810.85881389055</v>
      </c>
      <c r="X360" s="44">
        <f t="shared" si="99"/>
        <v>558699.93434021552</v>
      </c>
      <c r="Y360" s="44" t="s">
        <v>2765</v>
      </c>
      <c r="Z360" s="44" t="str">
        <f t="shared" si="100"/>
        <v>Yes</v>
      </c>
      <c r="AA360" s="44" t="str">
        <f t="shared" si="100"/>
        <v>Yes</v>
      </c>
      <c r="AB360" s="44" t="str">
        <f t="shared" si="101"/>
        <v>Yes</v>
      </c>
      <c r="AC360" s="80">
        <f t="shared" si="108"/>
        <v>2.65</v>
      </c>
      <c r="AD360" s="80">
        <f t="shared" si="109"/>
        <v>0.48</v>
      </c>
      <c r="AE360" s="44">
        <f t="shared" si="102"/>
        <v>339593.41690793535</v>
      </c>
      <c r="AF360" s="44">
        <f t="shared" si="102"/>
        <v>770897.37410222483</v>
      </c>
      <c r="AG360" s="44">
        <f t="shared" si="103"/>
        <v>1110490.7910101602</v>
      </c>
      <c r="AH360" s="46">
        <f>IF(Y360="No",0,IFERROR(ROUNDDOWN(INDEX('90% of ACR'!K:K,MATCH(H:H,'90% of ACR'!A:A,0))*IF(I360&gt;0,IF(O360&gt;0,$R$4*MAX(O360-V360,0),0),0)/I360,2),0))</f>
        <v>2.64</v>
      </c>
      <c r="AI360" s="80">
        <f>IF(Y360="No",0,IFERROR(ROUNDDOWN(INDEX('90% of ACR'!R:R,MATCH(H:H,'90% of ACR'!A:A,0))*IF(J360&gt;0,IF(P360&gt;0,$R$4*MAX(P360-W360,0),0),0)/J360,2),0))</f>
        <v>0.47</v>
      </c>
      <c r="AJ360" s="44">
        <f t="shared" si="104"/>
        <v>338311.93231582997</v>
      </c>
      <c r="AK360" s="44">
        <f t="shared" si="104"/>
        <v>754837.01214176184</v>
      </c>
      <c r="AL360" s="46">
        <f t="shared" si="105"/>
        <v>3.24</v>
      </c>
      <c r="AM360" s="46">
        <f t="shared" si="105"/>
        <v>0.77</v>
      </c>
      <c r="AN360" s="81">
        <f>IFERROR(INDEX(FeeCalc!P:P,MATCH(C360,FeeCalc!F:F,0)),0)</f>
        <v>1651848.8787978075</v>
      </c>
      <c r="AO360" s="81">
        <f>IFERROR(INDEX(FeeCalc!S:S,MATCH(C360,FeeCalc!F:F,0)),0)</f>
        <v>102827.72723887119</v>
      </c>
      <c r="AP360" s="81">
        <f t="shared" si="106"/>
        <v>1754676.6060366787</v>
      </c>
      <c r="AQ360" s="68">
        <f t="shared" si="107"/>
        <v>690556.48765894689</v>
      </c>
      <c r="AR360" s="68">
        <f>INDEX('IGT Commitment Suggestions'!H:H,MATCH(G360,'IGT Commitment Suggestions'!A:A,0))*AQ360</f>
        <v>315814.77604656701</v>
      </c>
    </row>
    <row r="361" spans="1:44">
      <c r="A361" s="103" t="s">
        <v>478</v>
      </c>
      <c r="B361" s="123" t="s">
        <v>478</v>
      </c>
      <c r="C361" s="30" t="s">
        <v>479</v>
      </c>
      <c r="D361" s="124" t="s">
        <v>479</v>
      </c>
      <c r="E361" s="119" t="s">
        <v>2629</v>
      </c>
      <c r="F361" s="99" t="s">
        <v>2283</v>
      </c>
      <c r="G361" s="99" t="s">
        <v>223</v>
      </c>
      <c r="H361" s="42" t="str">
        <f t="shared" si="93"/>
        <v>Urban Dallas</v>
      </c>
      <c r="I361" s="44">
        <f>INDEX(FeeCalc!M:M,MATCH(C:C,FeeCalc!F:F,0))</f>
        <v>8725861.0475335643</v>
      </c>
      <c r="J361" s="44">
        <f>INDEX(FeeCalc!L:L,MATCH(C:C,FeeCalc!F:F,0))</f>
        <v>1651627.6445062323</v>
      </c>
      <c r="K361" s="44">
        <f t="shared" si="94"/>
        <v>10377488.692039797</v>
      </c>
      <c r="L361" s="44">
        <v>4101129.92</v>
      </c>
      <c r="M361" s="44">
        <v>508417.81</v>
      </c>
      <c r="N361" s="44">
        <f t="shared" si="95"/>
        <v>4609547.7299999995</v>
      </c>
      <c r="O361" s="44">
        <v>25656830.497637514</v>
      </c>
      <c r="P361" s="44">
        <v>1755825.6615704787</v>
      </c>
      <c r="Q361" s="44">
        <f t="shared" si="96"/>
        <v>27412656.159207992</v>
      </c>
      <c r="R361" s="44" t="str">
        <f t="shared" si="97"/>
        <v>Yes</v>
      </c>
      <c r="S361" s="45" t="str">
        <f t="shared" si="97"/>
        <v>Yes</v>
      </c>
      <c r="T361" s="46">
        <f>ROUND(INDEX(Summary!H:H,MATCH(H:H,Summary!A:A,0)),2)</f>
        <v>0.6</v>
      </c>
      <c r="U361" s="46">
        <f>ROUND(INDEX(Summary!I:I,MATCH(H:H,Summary!A:A,0)),2)</f>
        <v>0.3</v>
      </c>
      <c r="V361" s="79">
        <f t="shared" si="98"/>
        <v>5235516.6285201386</v>
      </c>
      <c r="W361" s="79">
        <f t="shared" si="98"/>
        <v>495488.29335186968</v>
      </c>
      <c r="X361" s="44">
        <f t="shared" si="99"/>
        <v>5731004.9218720086</v>
      </c>
      <c r="Y361" s="44" t="s">
        <v>2765</v>
      </c>
      <c r="Z361" s="44" t="str">
        <f t="shared" si="100"/>
        <v>Yes</v>
      </c>
      <c r="AA361" s="44" t="str">
        <f t="shared" si="100"/>
        <v>Yes</v>
      </c>
      <c r="AB361" s="44" t="str">
        <f t="shared" si="101"/>
        <v>Yes</v>
      </c>
      <c r="AC361" s="80">
        <f t="shared" si="108"/>
        <v>1.63</v>
      </c>
      <c r="AD361" s="80">
        <f t="shared" si="109"/>
        <v>0.53</v>
      </c>
      <c r="AE361" s="44">
        <f t="shared" si="102"/>
        <v>14223153.507479709</v>
      </c>
      <c r="AF361" s="44">
        <f t="shared" si="102"/>
        <v>875362.65158830315</v>
      </c>
      <c r="AG361" s="44">
        <f t="shared" si="103"/>
        <v>15098516.159068013</v>
      </c>
      <c r="AH361" s="46">
        <f>IF(Y361="No",0,IFERROR(ROUNDDOWN(INDEX('90% of ACR'!K:K,MATCH(H:H,'90% of ACR'!A:A,0))*IF(I361&gt;0,IF(O361&gt;0,$R$4*MAX(O361-V361,0),0),0)/I361,2),0))</f>
        <v>1.63</v>
      </c>
      <c r="AI361" s="80">
        <f>IF(Y361="No",0,IFERROR(ROUNDDOWN(INDEX('90% of ACR'!R:R,MATCH(H:H,'90% of ACR'!A:A,0))*IF(J361&gt;0,IF(P361&gt;0,$R$4*MAX(P361-W361,0),0),0)/J361,2),0))</f>
        <v>0.53</v>
      </c>
      <c r="AJ361" s="44">
        <f t="shared" si="104"/>
        <v>14223153.507479709</v>
      </c>
      <c r="AK361" s="44">
        <f t="shared" si="104"/>
        <v>875362.65158830315</v>
      </c>
      <c r="AL361" s="46">
        <f t="shared" si="105"/>
        <v>2.23</v>
      </c>
      <c r="AM361" s="46">
        <f t="shared" si="105"/>
        <v>0.83000000000000007</v>
      </c>
      <c r="AN361" s="81">
        <f>IFERROR(INDEX(FeeCalc!P:P,MATCH(C361,FeeCalc!F:F,0)),0)</f>
        <v>20829521.080940019</v>
      </c>
      <c r="AO361" s="81">
        <f>IFERROR(INDEX(FeeCalc!S:S,MATCH(C361,FeeCalc!F:F,0)),0)</f>
        <v>1277754.6701500381</v>
      </c>
      <c r="AP361" s="81">
        <f t="shared" si="106"/>
        <v>22107275.751090057</v>
      </c>
      <c r="AQ361" s="68">
        <f t="shared" si="107"/>
        <v>8700362.586392995</v>
      </c>
      <c r="AR361" s="68">
        <f>INDEX('IGT Commitment Suggestions'!H:H,MATCH(G361,'IGT Commitment Suggestions'!A:A,0))*AQ361</f>
        <v>3978969.296285395</v>
      </c>
    </row>
    <row r="362" spans="1:44">
      <c r="A362" s="103" t="s">
        <v>995</v>
      </c>
      <c r="B362" s="123" t="s">
        <v>995</v>
      </c>
      <c r="C362" s="30" t="s">
        <v>996</v>
      </c>
      <c r="D362" s="124" t="s">
        <v>996</v>
      </c>
      <c r="E362" s="119" t="s">
        <v>2596</v>
      </c>
      <c r="F362" s="99" t="s">
        <v>2283</v>
      </c>
      <c r="G362" s="99" t="s">
        <v>1486</v>
      </c>
      <c r="H362" s="42" t="str">
        <f t="shared" si="93"/>
        <v>Urban MRSA Central</v>
      </c>
      <c r="I362" s="44">
        <f>INDEX(FeeCalc!M:M,MATCH(C:C,FeeCalc!F:F,0))</f>
        <v>10685338.323343288</v>
      </c>
      <c r="J362" s="44">
        <f>INDEX(FeeCalc!L:L,MATCH(C:C,FeeCalc!F:F,0))</f>
        <v>4521855.8777287547</v>
      </c>
      <c r="K362" s="44">
        <f t="shared" si="94"/>
        <v>15207194.201072043</v>
      </c>
      <c r="L362" s="44">
        <v>4441514.75</v>
      </c>
      <c r="M362" s="44">
        <v>5284441.29</v>
      </c>
      <c r="N362" s="44">
        <f t="shared" si="95"/>
        <v>9725956.0399999991</v>
      </c>
      <c r="O362" s="44">
        <v>10076311.671155244</v>
      </c>
      <c r="P362" s="44">
        <v>7283865.0300804581</v>
      </c>
      <c r="Q362" s="44">
        <f t="shared" si="96"/>
        <v>17360176.701235704</v>
      </c>
      <c r="R362" s="44" t="str">
        <f t="shared" si="97"/>
        <v>Yes</v>
      </c>
      <c r="S362" s="45" t="str">
        <f t="shared" si="97"/>
        <v>Yes</v>
      </c>
      <c r="T362" s="46">
        <f>ROUND(INDEX(Summary!H:H,MATCH(H:H,Summary!A:A,0)),2)</f>
        <v>0.48</v>
      </c>
      <c r="U362" s="46">
        <f>ROUND(INDEX(Summary!I:I,MATCH(H:H,Summary!A:A,0)),2)</f>
        <v>0.99</v>
      </c>
      <c r="V362" s="79">
        <f t="shared" si="98"/>
        <v>5128962.3952047778</v>
      </c>
      <c r="W362" s="79">
        <f t="shared" si="98"/>
        <v>4476637.3189514671</v>
      </c>
      <c r="X362" s="44">
        <f t="shared" si="99"/>
        <v>9605599.714156244</v>
      </c>
      <c r="Y362" s="44" t="s">
        <v>2765</v>
      </c>
      <c r="Z362" s="44" t="str">
        <f t="shared" si="100"/>
        <v>Yes</v>
      </c>
      <c r="AA362" s="44" t="str">
        <f t="shared" si="100"/>
        <v>No</v>
      </c>
      <c r="AB362" s="44" t="str">
        <f t="shared" si="101"/>
        <v>Yes</v>
      </c>
      <c r="AC362" s="80">
        <f t="shared" si="108"/>
        <v>0.32</v>
      </c>
      <c r="AD362" s="80">
        <f t="shared" si="109"/>
        <v>0.43</v>
      </c>
      <c r="AE362" s="44">
        <f t="shared" si="102"/>
        <v>3419308.2634698525</v>
      </c>
      <c r="AF362" s="44">
        <f t="shared" si="102"/>
        <v>1944398.0274233646</v>
      </c>
      <c r="AG362" s="44">
        <f t="shared" si="103"/>
        <v>5363706.2908932175</v>
      </c>
      <c r="AH362" s="46">
        <f>IF(Y362="No",0,IFERROR(ROUNDDOWN(INDEX('90% of ACR'!K:K,MATCH(H:H,'90% of ACR'!A:A,0))*IF(I362&gt;0,IF(O362&gt;0,$R$4*MAX(O362-V362,0),0),0)/I362,2),0))</f>
        <v>0.32</v>
      </c>
      <c r="AI362" s="80">
        <f>IF(Y362="No",0,IFERROR(ROUNDDOWN(INDEX('90% of ACR'!R:R,MATCH(H:H,'90% of ACR'!A:A,0))*IF(J362&gt;0,IF(P362&gt;0,$R$4*MAX(P362-W362,0),0),0)/J362,2),0))</f>
        <v>0</v>
      </c>
      <c r="AJ362" s="44">
        <f t="shared" si="104"/>
        <v>3419308.2634698525</v>
      </c>
      <c r="AK362" s="44">
        <f t="shared" si="104"/>
        <v>0</v>
      </c>
      <c r="AL362" s="46">
        <f t="shared" si="105"/>
        <v>0.8</v>
      </c>
      <c r="AM362" s="46">
        <f t="shared" si="105"/>
        <v>0.99</v>
      </c>
      <c r="AN362" s="81">
        <f>IFERROR(INDEX(FeeCalc!P:P,MATCH(C362,FeeCalc!F:F,0)),0)</f>
        <v>13024907.977626098</v>
      </c>
      <c r="AO362" s="81">
        <f>IFERROR(INDEX(FeeCalc!S:S,MATCH(C362,FeeCalc!F:F,0)),0)</f>
        <v>810185.02007169556</v>
      </c>
      <c r="AP362" s="81">
        <f t="shared" si="106"/>
        <v>13835092.997697793</v>
      </c>
      <c r="AQ362" s="68">
        <f t="shared" si="107"/>
        <v>5444828.5194299622</v>
      </c>
      <c r="AR362" s="68">
        <f>INDEX('IGT Commitment Suggestions'!H:H,MATCH(G362,'IGT Commitment Suggestions'!A:A,0))*AQ362</f>
        <v>2487398.9292620518</v>
      </c>
    </row>
    <row r="363" spans="1:44">
      <c r="A363" s="103" t="s">
        <v>428</v>
      </c>
      <c r="B363" s="123" t="s">
        <v>428</v>
      </c>
      <c r="C363" s="30" t="s">
        <v>429</v>
      </c>
      <c r="D363" s="124" t="s">
        <v>429</v>
      </c>
      <c r="E363" s="119" t="s">
        <v>2630</v>
      </c>
      <c r="F363" s="99" t="s">
        <v>2283</v>
      </c>
      <c r="G363" s="99" t="s">
        <v>223</v>
      </c>
      <c r="H363" s="42" t="str">
        <f t="shared" si="93"/>
        <v>Urban Dallas</v>
      </c>
      <c r="I363" s="44">
        <f>INDEX(FeeCalc!M:M,MATCH(C:C,FeeCalc!F:F,0))</f>
        <v>440134.66183119098</v>
      </c>
      <c r="J363" s="44">
        <f>INDEX(FeeCalc!L:L,MATCH(C:C,FeeCalc!F:F,0))</f>
        <v>839415.09913402912</v>
      </c>
      <c r="K363" s="44">
        <f t="shared" si="94"/>
        <v>1279549.7609652202</v>
      </c>
      <c r="L363" s="44">
        <v>313621.21000000002</v>
      </c>
      <c r="M363" s="44">
        <v>149516.87</v>
      </c>
      <c r="N363" s="44">
        <f t="shared" si="95"/>
        <v>463138.08</v>
      </c>
      <c r="O363" s="44">
        <v>1089816.9964959552</v>
      </c>
      <c r="P363" s="44">
        <v>658653.0323987673</v>
      </c>
      <c r="Q363" s="44">
        <f t="shared" si="96"/>
        <v>1748470.0288947225</v>
      </c>
      <c r="R363" s="44" t="str">
        <f t="shared" si="97"/>
        <v>Yes</v>
      </c>
      <c r="S363" s="45" t="str">
        <f t="shared" si="97"/>
        <v>Yes</v>
      </c>
      <c r="T363" s="46">
        <f>ROUND(INDEX(Summary!H:H,MATCH(H:H,Summary!A:A,0)),2)</f>
        <v>0.6</v>
      </c>
      <c r="U363" s="46">
        <f>ROUND(INDEX(Summary!I:I,MATCH(H:H,Summary!A:A,0)),2)</f>
        <v>0.3</v>
      </c>
      <c r="V363" s="79">
        <f t="shared" si="98"/>
        <v>264080.79709871457</v>
      </c>
      <c r="W363" s="79">
        <f t="shared" si="98"/>
        <v>251824.52974020873</v>
      </c>
      <c r="X363" s="44">
        <f t="shared" si="99"/>
        <v>515905.32683892327</v>
      </c>
      <c r="Y363" s="44" t="s">
        <v>2765</v>
      </c>
      <c r="Z363" s="44" t="str">
        <f t="shared" si="100"/>
        <v>Yes</v>
      </c>
      <c r="AA363" s="44" t="str">
        <f t="shared" si="100"/>
        <v>Yes</v>
      </c>
      <c r="AB363" s="44" t="str">
        <f t="shared" si="101"/>
        <v>Yes</v>
      </c>
      <c r="AC363" s="80">
        <f t="shared" si="108"/>
        <v>1.31</v>
      </c>
      <c r="AD363" s="80">
        <f t="shared" si="109"/>
        <v>0.34</v>
      </c>
      <c r="AE363" s="44">
        <f t="shared" si="102"/>
        <v>576576.40699886018</v>
      </c>
      <c r="AF363" s="44">
        <f t="shared" si="102"/>
        <v>285401.1337055699</v>
      </c>
      <c r="AG363" s="44">
        <f t="shared" si="103"/>
        <v>861977.54070443008</v>
      </c>
      <c r="AH363" s="46">
        <f>IF(Y363="No",0,IFERROR(ROUNDDOWN(INDEX('90% of ACR'!K:K,MATCH(H:H,'90% of ACR'!A:A,0))*IF(I363&gt;0,IF(O363&gt;0,$R$4*MAX(O363-V363,0),0),0)/I363,2),0))</f>
        <v>1.3</v>
      </c>
      <c r="AI363" s="80">
        <f>IF(Y363="No",0,IFERROR(ROUNDDOWN(INDEX('90% of ACR'!R:R,MATCH(H:H,'90% of ACR'!A:A,0))*IF(J363&gt;0,IF(P363&gt;0,$R$4*MAX(P363-W363,0),0),0)/J363,2),0))</f>
        <v>0.33</v>
      </c>
      <c r="AJ363" s="44">
        <f t="shared" si="104"/>
        <v>572175.06038054836</v>
      </c>
      <c r="AK363" s="44">
        <f t="shared" si="104"/>
        <v>277006.98271422961</v>
      </c>
      <c r="AL363" s="46">
        <f t="shared" si="105"/>
        <v>1.9</v>
      </c>
      <c r="AM363" s="46">
        <f t="shared" si="105"/>
        <v>0.63</v>
      </c>
      <c r="AN363" s="81">
        <f>IFERROR(INDEX(FeeCalc!P:P,MATCH(C363,FeeCalc!F:F,0)),0)</f>
        <v>1365087.3699337011</v>
      </c>
      <c r="AO363" s="81">
        <f>IFERROR(INDEX(FeeCalc!S:S,MATCH(C363,FeeCalc!F:F,0)),0)</f>
        <v>84868.464962427854</v>
      </c>
      <c r="AP363" s="81">
        <f t="shared" si="106"/>
        <v>1449955.8348961291</v>
      </c>
      <c r="AQ363" s="68">
        <f t="shared" si="107"/>
        <v>570633.01873504149</v>
      </c>
      <c r="AR363" s="68">
        <f>INDEX('IGT Commitment Suggestions'!H:H,MATCH(G363,'IGT Commitment Suggestions'!A:A,0))*AQ363</f>
        <v>260969.7283817108</v>
      </c>
    </row>
    <row r="364" spans="1:44">
      <c r="A364" s="103" t="s">
        <v>1089</v>
      </c>
      <c r="B364" s="123" t="s">
        <v>1089</v>
      </c>
      <c r="C364" s="30" t="s">
        <v>1090</v>
      </c>
      <c r="D364" s="124" t="s">
        <v>1090</v>
      </c>
      <c r="E364" s="119" t="s">
        <v>2631</v>
      </c>
      <c r="F364" s="99" t="s">
        <v>2283</v>
      </c>
      <c r="G364" s="99" t="s">
        <v>1365</v>
      </c>
      <c r="H364" s="42" t="str">
        <f t="shared" si="93"/>
        <v>Urban Tarrant</v>
      </c>
      <c r="I364" s="44">
        <f>INDEX(FeeCalc!M:M,MATCH(C:C,FeeCalc!F:F,0))</f>
        <v>5424551.5352961291</v>
      </c>
      <c r="J364" s="44">
        <f>INDEX(FeeCalc!L:L,MATCH(C:C,FeeCalc!F:F,0))</f>
        <v>3921731.0717409821</v>
      </c>
      <c r="K364" s="44">
        <f t="shared" si="94"/>
        <v>9346282.6070371121</v>
      </c>
      <c r="L364" s="44">
        <v>4001340.67</v>
      </c>
      <c r="M364" s="44">
        <v>1231701.94</v>
      </c>
      <c r="N364" s="44">
        <f t="shared" si="95"/>
        <v>5233042.6099999994</v>
      </c>
      <c r="O364" s="44">
        <v>17725549.617659334</v>
      </c>
      <c r="P364" s="44">
        <v>4447294.0375115406</v>
      </c>
      <c r="Q364" s="44">
        <f t="shared" si="96"/>
        <v>22172843.655170873</v>
      </c>
      <c r="R364" s="44" t="str">
        <f t="shared" si="97"/>
        <v>Yes</v>
      </c>
      <c r="S364" s="45" t="str">
        <f t="shared" si="97"/>
        <v>Yes</v>
      </c>
      <c r="T364" s="46">
        <f>ROUND(INDEX(Summary!H:H,MATCH(H:H,Summary!A:A,0)),2)</f>
        <v>0.84</v>
      </c>
      <c r="U364" s="46">
        <f>ROUND(INDEX(Summary!I:I,MATCH(H:H,Summary!A:A,0)),2)</f>
        <v>0.55000000000000004</v>
      </c>
      <c r="V364" s="79">
        <f t="shared" si="98"/>
        <v>4556623.289648748</v>
      </c>
      <c r="W364" s="79">
        <f t="shared" si="98"/>
        <v>2156952.0894575403</v>
      </c>
      <c r="X364" s="44">
        <f t="shared" si="99"/>
        <v>6713575.3791062888</v>
      </c>
      <c r="Y364" s="44" t="s">
        <v>2765</v>
      </c>
      <c r="Z364" s="44" t="str">
        <f t="shared" si="100"/>
        <v>Yes</v>
      </c>
      <c r="AA364" s="44" t="str">
        <f t="shared" si="100"/>
        <v>Yes</v>
      </c>
      <c r="AB364" s="44" t="str">
        <f t="shared" si="101"/>
        <v>Yes</v>
      </c>
      <c r="AC364" s="80">
        <f t="shared" si="108"/>
        <v>1.69</v>
      </c>
      <c r="AD364" s="80">
        <f t="shared" si="109"/>
        <v>0.41</v>
      </c>
      <c r="AE364" s="44">
        <f t="shared" si="102"/>
        <v>9167492.0946504585</v>
      </c>
      <c r="AF364" s="44">
        <f t="shared" si="102"/>
        <v>1607909.7394138025</v>
      </c>
      <c r="AG364" s="44">
        <f t="shared" si="103"/>
        <v>10775401.83406426</v>
      </c>
      <c r="AH364" s="46">
        <f>IF(Y364="No",0,IFERROR(ROUNDDOWN(INDEX('90% of ACR'!K:K,MATCH(H:H,'90% of ACR'!A:A,0))*IF(I364&gt;0,IF(O364&gt;0,$R$4*MAX(O364-V364,0),0),0)/I364,2),0))</f>
        <v>1.69</v>
      </c>
      <c r="AI364" s="80">
        <f>IF(Y364="No",0,IFERROR(ROUNDDOWN(INDEX('90% of ACR'!R:R,MATCH(H:H,'90% of ACR'!A:A,0))*IF(J364&gt;0,IF(P364&gt;0,$R$4*MAX(P364-W364,0),0),0)/J364,2),0))</f>
        <v>0.39</v>
      </c>
      <c r="AJ364" s="44">
        <f t="shared" si="104"/>
        <v>9167492.0946504585</v>
      </c>
      <c r="AK364" s="44">
        <f t="shared" si="104"/>
        <v>1529475.1179789831</v>
      </c>
      <c r="AL364" s="46">
        <f t="shared" si="105"/>
        <v>2.5299999999999998</v>
      </c>
      <c r="AM364" s="46">
        <f t="shared" si="105"/>
        <v>0.94000000000000006</v>
      </c>
      <c r="AN364" s="81">
        <f>IFERROR(INDEX(FeeCalc!P:P,MATCH(C364,FeeCalc!F:F,0)),0)</f>
        <v>17410542.591735728</v>
      </c>
      <c r="AO364" s="81">
        <f>IFERROR(INDEX(FeeCalc!S:S,MATCH(C364,FeeCalc!F:F,0)),0)</f>
        <v>1079488.3419550699</v>
      </c>
      <c r="AP364" s="81">
        <f t="shared" si="106"/>
        <v>18490030.933690798</v>
      </c>
      <c r="AQ364" s="68">
        <f t="shared" si="107"/>
        <v>7276788.654015881</v>
      </c>
      <c r="AR364" s="68">
        <f>INDEX('IGT Commitment Suggestions'!H:H,MATCH(G364,'IGT Commitment Suggestions'!A:A,0))*AQ364</f>
        <v>3318874.0584304165</v>
      </c>
    </row>
    <row r="365" spans="1:44">
      <c r="A365" s="103" t="s">
        <v>1116</v>
      </c>
      <c r="B365" s="123" t="s">
        <v>1116</v>
      </c>
      <c r="C365" s="30" t="s">
        <v>1117</v>
      </c>
      <c r="D365" s="124" t="s">
        <v>1117</v>
      </c>
      <c r="E365" s="119" t="s">
        <v>2632</v>
      </c>
      <c r="F365" s="99" t="s">
        <v>2283</v>
      </c>
      <c r="G365" s="99" t="s">
        <v>1365</v>
      </c>
      <c r="H365" s="42" t="str">
        <f t="shared" si="93"/>
        <v>Urban Tarrant</v>
      </c>
      <c r="I365" s="44">
        <f>INDEX(FeeCalc!M:M,MATCH(C:C,FeeCalc!F:F,0))</f>
        <v>5749400.3849604996</v>
      </c>
      <c r="J365" s="44">
        <f>INDEX(FeeCalc!L:L,MATCH(C:C,FeeCalc!F:F,0))</f>
        <v>2665603.4790810342</v>
      </c>
      <c r="K365" s="44">
        <f t="shared" si="94"/>
        <v>8415003.8640415333</v>
      </c>
      <c r="L365" s="44">
        <v>3650113.58</v>
      </c>
      <c r="M365" s="44">
        <v>810572.7</v>
      </c>
      <c r="N365" s="44">
        <f t="shared" si="95"/>
        <v>4460686.28</v>
      </c>
      <c r="O365" s="44">
        <v>16565880.989735026</v>
      </c>
      <c r="P365" s="44">
        <v>2881789.1231313017</v>
      </c>
      <c r="Q365" s="44">
        <f t="shared" si="96"/>
        <v>19447670.112866327</v>
      </c>
      <c r="R365" s="44" t="str">
        <f t="shared" si="97"/>
        <v>Yes</v>
      </c>
      <c r="S365" s="45" t="str">
        <f t="shared" si="97"/>
        <v>Yes</v>
      </c>
      <c r="T365" s="46">
        <f>ROUND(INDEX(Summary!H:H,MATCH(H:H,Summary!A:A,0)),2)</f>
        <v>0.84</v>
      </c>
      <c r="U365" s="46">
        <f>ROUND(INDEX(Summary!I:I,MATCH(H:H,Summary!A:A,0)),2)</f>
        <v>0.55000000000000004</v>
      </c>
      <c r="V365" s="79">
        <f t="shared" si="98"/>
        <v>4829496.3233668199</v>
      </c>
      <c r="W365" s="79">
        <f t="shared" si="98"/>
        <v>1466081.913494569</v>
      </c>
      <c r="X365" s="44">
        <f t="shared" si="99"/>
        <v>6295578.2368613891</v>
      </c>
      <c r="Y365" s="44" t="s">
        <v>2765</v>
      </c>
      <c r="Z365" s="44" t="str">
        <f t="shared" si="100"/>
        <v>Yes</v>
      </c>
      <c r="AA365" s="44" t="str">
        <f t="shared" si="100"/>
        <v>Yes</v>
      </c>
      <c r="AB365" s="44" t="str">
        <f t="shared" si="101"/>
        <v>Yes</v>
      </c>
      <c r="AC365" s="80">
        <f t="shared" si="108"/>
        <v>1.42</v>
      </c>
      <c r="AD365" s="80">
        <f t="shared" si="109"/>
        <v>0.37</v>
      </c>
      <c r="AE365" s="44">
        <f t="shared" si="102"/>
        <v>8164148.5466439091</v>
      </c>
      <c r="AF365" s="44">
        <f t="shared" si="102"/>
        <v>986273.28725998267</v>
      </c>
      <c r="AG365" s="44">
        <f t="shared" si="103"/>
        <v>9150421.833903892</v>
      </c>
      <c r="AH365" s="46">
        <f>IF(Y365="No",0,IFERROR(ROUNDDOWN(INDEX('90% of ACR'!K:K,MATCH(H:H,'90% of ACR'!A:A,0))*IF(I365&gt;0,IF(O365&gt;0,$R$4*MAX(O365-V365,0),0),0)/I365,2),0))</f>
        <v>1.42</v>
      </c>
      <c r="AI365" s="80">
        <f>IF(Y365="No",0,IFERROR(ROUNDDOWN(INDEX('90% of ACR'!R:R,MATCH(H:H,'90% of ACR'!A:A,0))*IF(J365&gt;0,IF(P365&gt;0,$R$4*MAX(P365-W365,0),0),0)/J365,2),0))</f>
        <v>0.35</v>
      </c>
      <c r="AJ365" s="44">
        <f t="shared" si="104"/>
        <v>8164148.5466439091</v>
      </c>
      <c r="AK365" s="44">
        <f t="shared" si="104"/>
        <v>932961.21767836192</v>
      </c>
      <c r="AL365" s="46">
        <f t="shared" si="105"/>
        <v>2.2599999999999998</v>
      </c>
      <c r="AM365" s="46">
        <f t="shared" si="105"/>
        <v>0.9</v>
      </c>
      <c r="AN365" s="81">
        <f>IFERROR(INDEX(FeeCalc!P:P,MATCH(C365,FeeCalc!F:F,0)),0)</f>
        <v>15392688.001183659</v>
      </c>
      <c r="AO365" s="81">
        <f>IFERROR(INDEX(FeeCalc!S:S,MATCH(C365,FeeCalc!F:F,0)),0)</f>
        <v>952573.08924227871</v>
      </c>
      <c r="AP365" s="81">
        <f t="shared" si="106"/>
        <v>16345261.090425938</v>
      </c>
      <c r="AQ365" s="68">
        <f t="shared" si="107"/>
        <v>6432710.1926593091</v>
      </c>
      <c r="AR365" s="68">
        <f>INDEX('IGT Commitment Suggestions'!H:H,MATCH(G365,'IGT Commitment Suggestions'!A:A,0))*AQ365</f>
        <v>2933897.9045427851</v>
      </c>
    </row>
    <row r="366" spans="1:44">
      <c r="A366" s="103" t="s">
        <v>1092</v>
      </c>
      <c r="B366" s="123" t="s">
        <v>1092</v>
      </c>
      <c r="C366" s="30" t="s">
        <v>1093</v>
      </c>
      <c r="D366" s="124" t="s">
        <v>1093</v>
      </c>
      <c r="E366" s="119" t="s">
        <v>2633</v>
      </c>
      <c r="F366" s="99" t="s">
        <v>2283</v>
      </c>
      <c r="G366" s="99" t="s">
        <v>1365</v>
      </c>
      <c r="H366" s="42" t="str">
        <f t="shared" si="93"/>
        <v>Urban Tarrant</v>
      </c>
      <c r="I366" s="44">
        <f>INDEX(FeeCalc!M:M,MATCH(C:C,FeeCalc!F:F,0))</f>
        <v>1869008.17786264</v>
      </c>
      <c r="J366" s="44">
        <f>INDEX(FeeCalc!L:L,MATCH(C:C,FeeCalc!F:F,0))</f>
        <v>1172811.1321549723</v>
      </c>
      <c r="K366" s="44">
        <f t="shared" si="94"/>
        <v>3041819.3100176123</v>
      </c>
      <c r="L366" s="44">
        <v>1668765.59</v>
      </c>
      <c r="M366" s="44">
        <v>251292.72</v>
      </c>
      <c r="N366" s="44">
        <f t="shared" si="95"/>
        <v>1920058.31</v>
      </c>
      <c r="O366" s="44">
        <v>6119349.9721055515</v>
      </c>
      <c r="P366" s="44">
        <v>1167275.675732418</v>
      </c>
      <c r="Q366" s="44">
        <f t="shared" si="96"/>
        <v>7286625.6478379695</v>
      </c>
      <c r="R366" s="44" t="str">
        <f t="shared" si="97"/>
        <v>Yes</v>
      </c>
      <c r="S366" s="45" t="str">
        <f t="shared" si="97"/>
        <v>Yes</v>
      </c>
      <c r="T366" s="46">
        <f>ROUND(INDEX(Summary!H:H,MATCH(H:H,Summary!A:A,0)),2)</f>
        <v>0.84</v>
      </c>
      <c r="U366" s="46">
        <f>ROUND(INDEX(Summary!I:I,MATCH(H:H,Summary!A:A,0)),2)</f>
        <v>0.55000000000000004</v>
      </c>
      <c r="V366" s="79">
        <f t="shared" si="98"/>
        <v>1569966.8694046175</v>
      </c>
      <c r="W366" s="79">
        <f t="shared" si="98"/>
        <v>645046.12268523476</v>
      </c>
      <c r="X366" s="44">
        <f t="shared" si="99"/>
        <v>2215012.9920898522</v>
      </c>
      <c r="Y366" s="44" t="s">
        <v>2765</v>
      </c>
      <c r="Z366" s="44" t="str">
        <f t="shared" si="100"/>
        <v>Yes</v>
      </c>
      <c r="AA366" s="44" t="str">
        <f t="shared" si="100"/>
        <v>Yes</v>
      </c>
      <c r="AB366" s="44" t="str">
        <f t="shared" si="101"/>
        <v>Yes</v>
      </c>
      <c r="AC366" s="80">
        <f t="shared" si="108"/>
        <v>1.7</v>
      </c>
      <c r="AD366" s="80">
        <f t="shared" si="109"/>
        <v>0.31</v>
      </c>
      <c r="AE366" s="44">
        <f t="shared" si="102"/>
        <v>3177313.9023664878</v>
      </c>
      <c r="AF366" s="44">
        <f t="shared" si="102"/>
        <v>363571.45096804143</v>
      </c>
      <c r="AG366" s="44">
        <f t="shared" si="103"/>
        <v>3540885.3533345293</v>
      </c>
      <c r="AH366" s="46">
        <f>IF(Y366="No",0,IFERROR(ROUNDDOWN(INDEX('90% of ACR'!K:K,MATCH(H:H,'90% of ACR'!A:A,0))*IF(I366&gt;0,IF(O366&gt;0,$R$4*MAX(O366-V366,0),0),0)/I366,2),0))</f>
        <v>1.69</v>
      </c>
      <c r="AI366" s="80">
        <f>IF(Y366="No",0,IFERROR(ROUNDDOWN(INDEX('90% of ACR'!R:R,MATCH(H:H,'90% of ACR'!A:A,0))*IF(J366&gt;0,IF(P366&gt;0,$R$4*MAX(P366-W366,0),0),0)/J366,2),0))</f>
        <v>0.28999999999999998</v>
      </c>
      <c r="AJ366" s="44">
        <f t="shared" si="104"/>
        <v>3158623.8205878614</v>
      </c>
      <c r="AK366" s="44">
        <f t="shared" si="104"/>
        <v>340115.22832494194</v>
      </c>
      <c r="AL366" s="46">
        <f t="shared" si="105"/>
        <v>2.5299999999999998</v>
      </c>
      <c r="AM366" s="46">
        <f t="shared" si="105"/>
        <v>0.84000000000000008</v>
      </c>
      <c r="AN366" s="81">
        <f>IFERROR(INDEX(FeeCalc!P:P,MATCH(C366,FeeCalc!F:F,0)),0)</f>
        <v>5713752.0410026554</v>
      </c>
      <c r="AO366" s="81">
        <f>IFERROR(INDEX(FeeCalc!S:S,MATCH(C366,FeeCalc!F:F,0)),0)</f>
        <v>351828.38314336556</v>
      </c>
      <c r="AP366" s="81">
        <f t="shared" si="106"/>
        <v>6065580.4241460208</v>
      </c>
      <c r="AQ366" s="68">
        <f t="shared" si="107"/>
        <v>2387121.307083515</v>
      </c>
      <c r="AR366" s="68">
        <f>INDEX('IGT Commitment Suggestions'!H:H,MATCH(G366,'IGT Commitment Suggestions'!A:A,0))*AQ366</f>
        <v>1088743.3120699089</v>
      </c>
    </row>
    <row r="367" spans="1:44">
      <c r="A367" s="103" t="s">
        <v>7</v>
      </c>
      <c r="B367" s="123" t="s">
        <v>7</v>
      </c>
      <c r="C367" s="30" t="s">
        <v>8</v>
      </c>
      <c r="D367" s="124" t="s">
        <v>8</v>
      </c>
      <c r="E367" s="119" t="s">
        <v>2634</v>
      </c>
      <c r="F367" s="99" t="s">
        <v>2283</v>
      </c>
      <c r="G367" s="99" t="s">
        <v>1365</v>
      </c>
      <c r="H367" s="42" t="str">
        <f t="shared" si="93"/>
        <v>Urban Tarrant</v>
      </c>
      <c r="I367" s="44">
        <f>INDEX(FeeCalc!M:M,MATCH(C:C,FeeCalc!F:F,0))</f>
        <v>58845.28177724962</v>
      </c>
      <c r="J367" s="44">
        <f>INDEX(FeeCalc!L:L,MATCH(C:C,FeeCalc!F:F,0))</f>
        <v>93103.54109853314</v>
      </c>
      <c r="K367" s="44">
        <f t="shared" si="94"/>
        <v>151948.82287578276</v>
      </c>
      <c r="L367" s="44">
        <v>55113.89</v>
      </c>
      <c r="M367" s="44">
        <v>50015.37</v>
      </c>
      <c r="N367" s="44">
        <f t="shared" si="95"/>
        <v>105129.26000000001</v>
      </c>
      <c r="O367" s="44">
        <v>251931.16966020511</v>
      </c>
      <c r="P367" s="44">
        <v>104507.94267924501</v>
      </c>
      <c r="Q367" s="44">
        <f t="shared" si="96"/>
        <v>356439.1123394501</v>
      </c>
      <c r="R367" s="44" t="str">
        <f t="shared" si="97"/>
        <v>Yes</v>
      </c>
      <c r="S367" s="45" t="str">
        <f t="shared" si="97"/>
        <v>Yes</v>
      </c>
      <c r="T367" s="46">
        <f>ROUND(INDEX(Summary!H:H,MATCH(H:H,Summary!A:A,0)),2)</f>
        <v>0.84</v>
      </c>
      <c r="U367" s="46">
        <f>ROUND(INDEX(Summary!I:I,MATCH(H:H,Summary!A:A,0)),2)</f>
        <v>0.55000000000000004</v>
      </c>
      <c r="V367" s="79">
        <f t="shared" si="98"/>
        <v>49430.036692889676</v>
      </c>
      <c r="W367" s="79">
        <f t="shared" si="98"/>
        <v>51206.947604193228</v>
      </c>
      <c r="X367" s="44">
        <f t="shared" si="99"/>
        <v>100636.9842970829</v>
      </c>
      <c r="Y367" s="44" t="s">
        <v>2765</v>
      </c>
      <c r="Z367" s="44" t="str">
        <f t="shared" si="100"/>
        <v>Yes</v>
      </c>
      <c r="AA367" s="44" t="str">
        <f t="shared" si="100"/>
        <v>Yes</v>
      </c>
      <c r="AB367" s="44" t="str">
        <f t="shared" si="101"/>
        <v>Yes</v>
      </c>
      <c r="AC367" s="80">
        <f t="shared" si="108"/>
        <v>2.4</v>
      </c>
      <c r="AD367" s="80">
        <f t="shared" si="109"/>
        <v>0.4</v>
      </c>
      <c r="AE367" s="44">
        <f t="shared" si="102"/>
        <v>141228.67626539909</v>
      </c>
      <c r="AF367" s="44">
        <f t="shared" si="102"/>
        <v>37241.41643941326</v>
      </c>
      <c r="AG367" s="44">
        <f t="shared" si="103"/>
        <v>178470.09270481236</v>
      </c>
      <c r="AH367" s="46">
        <f>IF(Y367="No",0,IFERROR(ROUNDDOWN(INDEX('90% of ACR'!K:K,MATCH(H:H,'90% of ACR'!A:A,0))*IF(I367&gt;0,IF(O367&gt;0,$R$4*MAX(O367-V367,0),0),0)/I367,2),0))</f>
        <v>2.39</v>
      </c>
      <c r="AI367" s="80">
        <f>IF(Y367="No",0,IFERROR(ROUNDDOWN(INDEX('90% of ACR'!R:R,MATCH(H:H,'90% of ACR'!A:A,0))*IF(J367&gt;0,IF(P367&gt;0,$R$4*MAX(P367-W367,0),0),0)/J367,2),0))</f>
        <v>0.38</v>
      </c>
      <c r="AJ367" s="44">
        <f t="shared" si="104"/>
        <v>140640.2234476266</v>
      </c>
      <c r="AK367" s="44">
        <f t="shared" si="104"/>
        <v>35379.345617442596</v>
      </c>
      <c r="AL367" s="46">
        <f t="shared" si="105"/>
        <v>3.23</v>
      </c>
      <c r="AM367" s="46">
        <f t="shared" si="105"/>
        <v>0.93</v>
      </c>
      <c r="AN367" s="81">
        <f>IFERROR(INDEX(FeeCalc!P:P,MATCH(C367,FeeCalc!F:F,0)),0)</f>
        <v>276656.55336215207</v>
      </c>
      <c r="AO367" s="81">
        <f>IFERROR(INDEX(FeeCalc!S:S,MATCH(C367,FeeCalc!F:F,0)),0)</f>
        <v>17595.661613378157</v>
      </c>
      <c r="AP367" s="81">
        <f t="shared" si="106"/>
        <v>294252.21497553022</v>
      </c>
      <c r="AQ367" s="68">
        <f t="shared" si="107"/>
        <v>115803.54770804988</v>
      </c>
      <c r="AR367" s="68">
        <f>INDEX('IGT Commitment Suggestions'!H:H,MATCH(G367,'IGT Commitment Suggestions'!A:A,0))*AQ367</f>
        <v>52816.896111219263</v>
      </c>
    </row>
    <row r="368" spans="1:44">
      <c r="A368" s="103" t="s">
        <v>2548</v>
      </c>
      <c r="B368" s="123" t="s">
        <v>2548</v>
      </c>
      <c r="C368" s="30" t="s">
        <v>2549</v>
      </c>
      <c r="D368" s="124" t="s">
        <v>2549</v>
      </c>
      <c r="E368" s="119" t="s">
        <v>2943</v>
      </c>
      <c r="F368" s="99" t="s">
        <v>2283</v>
      </c>
      <c r="G368" s="99" t="s">
        <v>1365</v>
      </c>
      <c r="H368" s="42" t="str">
        <f t="shared" si="93"/>
        <v>Urban Tarrant</v>
      </c>
      <c r="I368" s="44">
        <f>INDEX(FeeCalc!M:M,MATCH(C:C,FeeCalc!F:F,0))</f>
        <v>0</v>
      </c>
      <c r="J368" s="44">
        <f>INDEX(FeeCalc!L:L,MATCH(C:C,FeeCalc!F:F,0))</f>
        <v>0</v>
      </c>
      <c r="K368" s="44">
        <f t="shared" si="94"/>
        <v>0</v>
      </c>
      <c r="L368" s="44">
        <v>0</v>
      </c>
      <c r="M368" s="44">
        <v>0</v>
      </c>
      <c r="N368" s="44">
        <f t="shared" si="95"/>
        <v>0</v>
      </c>
      <c r="O368" s="44">
        <v>0</v>
      </c>
      <c r="P368" s="44">
        <v>0</v>
      </c>
      <c r="Q368" s="44">
        <f t="shared" si="96"/>
        <v>0</v>
      </c>
      <c r="R368" s="44" t="str">
        <f t="shared" si="97"/>
        <v>No</v>
      </c>
      <c r="S368" s="45" t="str">
        <f t="shared" si="97"/>
        <v>No</v>
      </c>
      <c r="T368" s="46">
        <f>ROUND(INDEX(Summary!H:H,MATCH(H:H,Summary!A:A,0)),2)</f>
        <v>0.84</v>
      </c>
      <c r="U368" s="46">
        <f>ROUND(INDEX(Summary!I:I,MATCH(H:H,Summary!A:A,0)),2)</f>
        <v>0.55000000000000004</v>
      </c>
      <c r="V368" s="79">
        <f t="shared" si="98"/>
        <v>0</v>
      </c>
      <c r="W368" s="79">
        <f t="shared" si="98"/>
        <v>0</v>
      </c>
      <c r="X368" s="44">
        <f t="shared" si="99"/>
        <v>0</v>
      </c>
      <c r="Y368" s="44" t="s">
        <v>2765</v>
      </c>
      <c r="Z368" s="44" t="str">
        <f t="shared" si="100"/>
        <v>No</v>
      </c>
      <c r="AA368" s="44" t="str">
        <f t="shared" si="100"/>
        <v>No</v>
      </c>
      <c r="AB368" s="44" t="str">
        <f t="shared" si="101"/>
        <v>No</v>
      </c>
      <c r="AC368" s="80">
        <f t="shared" si="108"/>
        <v>0</v>
      </c>
      <c r="AD368" s="80">
        <f t="shared" si="109"/>
        <v>0</v>
      </c>
      <c r="AE368" s="44">
        <f t="shared" si="102"/>
        <v>0</v>
      </c>
      <c r="AF368" s="44">
        <f t="shared" si="102"/>
        <v>0</v>
      </c>
      <c r="AG368" s="44">
        <f t="shared" si="103"/>
        <v>0</v>
      </c>
      <c r="AH368" s="46">
        <f>IF(Y368="No",0,IFERROR(ROUNDDOWN(INDEX('90% of ACR'!K:K,MATCH(H:H,'90% of ACR'!A:A,0))*IF(I368&gt;0,IF(O368&gt;0,$R$4*MAX(O368-V368,0),0),0)/I368,2),0))</f>
        <v>0</v>
      </c>
      <c r="AI368" s="80">
        <f>IF(Y368="No",0,IFERROR(ROUNDDOWN(INDEX('90% of ACR'!R:R,MATCH(H:H,'90% of ACR'!A:A,0))*IF(J368&gt;0,IF(P368&gt;0,$R$4*MAX(P368-W368,0),0),0)/J368,2),0))</f>
        <v>0</v>
      </c>
      <c r="AJ368" s="44">
        <f t="shared" si="104"/>
        <v>0</v>
      </c>
      <c r="AK368" s="44">
        <f t="shared" si="104"/>
        <v>0</v>
      </c>
      <c r="AL368" s="46">
        <f t="shared" si="105"/>
        <v>0.84</v>
      </c>
      <c r="AM368" s="46">
        <f t="shared" si="105"/>
        <v>0.55000000000000004</v>
      </c>
      <c r="AN368" s="81">
        <f>IFERROR(INDEX(FeeCalc!P:P,MATCH(C368,FeeCalc!F:F,0)),0)</f>
        <v>0</v>
      </c>
      <c r="AO368" s="81">
        <f>IFERROR(INDEX(FeeCalc!S:S,MATCH(C368,FeeCalc!F:F,0)),0)</f>
        <v>0</v>
      </c>
      <c r="AP368" s="81">
        <f t="shared" si="106"/>
        <v>0</v>
      </c>
      <c r="AQ368" s="68">
        <f t="shared" si="107"/>
        <v>0</v>
      </c>
      <c r="AR368" s="68">
        <f>INDEX('IGT Commitment Suggestions'!H:H,MATCH(G368,'IGT Commitment Suggestions'!A:A,0))*AQ368</f>
        <v>0</v>
      </c>
    </row>
    <row r="369" spans="1:44">
      <c r="A369" s="103" t="s">
        <v>1095</v>
      </c>
      <c r="B369" s="123" t="s">
        <v>1095</v>
      </c>
      <c r="C369" s="30" t="s">
        <v>1096</v>
      </c>
      <c r="D369" s="124" t="s">
        <v>1096</v>
      </c>
      <c r="E369" s="119" t="s">
        <v>2622</v>
      </c>
      <c r="F369" s="99" t="s">
        <v>2283</v>
      </c>
      <c r="G369" s="99" t="s">
        <v>1365</v>
      </c>
      <c r="H369" s="42" t="str">
        <f t="shared" si="93"/>
        <v>Urban Tarrant</v>
      </c>
      <c r="I369" s="44">
        <f>INDEX(FeeCalc!M:M,MATCH(C:C,FeeCalc!F:F,0))</f>
        <v>434504.13692034181</v>
      </c>
      <c r="J369" s="44">
        <f>INDEX(FeeCalc!L:L,MATCH(C:C,FeeCalc!F:F,0))</f>
        <v>1162099.1042481842</v>
      </c>
      <c r="K369" s="44">
        <f t="shared" si="94"/>
        <v>1596603.241168526</v>
      </c>
      <c r="L369" s="44">
        <v>263157.68</v>
      </c>
      <c r="M369" s="44">
        <v>111813.09</v>
      </c>
      <c r="N369" s="44">
        <f t="shared" si="95"/>
        <v>374970.77</v>
      </c>
      <c r="O369" s="44">
        <v>1236488.2644252584</v>
      </c>
      <c r="P369" s="44">
        <v>1230074.3186497092</v>
      </c>
      <c r="Q369" s="44">
        <f t="shared" si="96"/>
        <v>2466562.5830749674</v>
      </c>
      <c r="R369" s="44" t="str">
        <f t="shared" si="97"/>
        <v>Yes</v>
      </c>
      <c r="S369" s="45" t="str">
        <f t="shared" si="97"/>
        <v>Yes</v>
      </c>
      <c r="T369" s="46">
        <f>ROUND(INDEX(Summary!H:H,MATCH(H:H,Summary!A:A,0)),2)</f>
        <v>0.84</v>
      </c>
      <c r="U369" s="46">
        <f>ROUND(INDEX(Summary!I:I,MATCH(H:H,Summary!A:A,0)),2)</f>
        <v>0.55000000000000004</v>
      </c>
      <c r="V369" s="79">
        <f t="shared" si="98"/>
        <v>364983.4750130871</v>
      </c>
      <c r="W369" s="79">
        <f t="shared" si="98"/>
        <v>639154.50733650138</v>
      </c>
      <c r="X369" s="44">
        <f t="shared" si="99"/>
        <v>1004137.9823495885</v>
      </c>
      <c r="Y369" s="44" t="s">
        <v>2765</v>
      </c>
      <c r="Z369" s="44" t="str">
        <f t="shared" si="100"/>
        <v>Yes</v>
      </c>
      <c r="AA369" s="44" t="str">
        <f t="shared" si="100"/>
        <v>Yes</v>
      </c>
      <c r="AB369" s="44" t="str">
        <f t="shared" si="101"/>
        <v>Yes</v>
      </c>
      <c r="AC369" s="80">
        <f t="shared" si="108"/>
        <v>1.4</v>
      </c>
      <c r="AD369" s="80">
        <f t="shared" si="109"/>
        <v>0.35</v>
      </c>
      <c r="AE369" s="44">
        <f t="shared" si="102"/>
        <v>608305.79168847855</v>
      </c>
      <c r="AF369" s="44">
        <f t="shared" si="102"/>
        <v>406734.68648686446</v>
      </c>
      <c r="AG369" s="44">
        <f t="shared" si="103"/>
        <v>1015040.478175343</v>
      </c>
      <c r="AH369" s="46">
        <f>IF(Y369="No",0,IFERROR(ROUNDDOWN(INDEX('90% of ACR'!K:K,MATCH(H:H,'90% of ACR'!A:A,0))*IF(I369&gt;0,IF(O369&gt;0,$R$4*MAX(O369-V369,0),0),0)/I369,2),0))</f>
        <v>1.39</v>
      </c>
      <c r="AI369" s="80">
        <f>IF(Y369="No",0,IFERROR(ROUNDDOWN(INDEX('90% of ACR'!R:R,MATCH(H:H,'90% of ACR'!A:A,0))*IF(J369&gt;0,IF(P369&gt;0,$R$4*MAX(P369-W369,0),0),0)/J369,2),0))</f>
        <v>0.34</v>
      </c>
      <c r="AJ369" s="44">
        <f t="shared" si="104"/>
        <v>603960.75031927507</v>
      </c>
      <c r="AK369" s="44">
        <f t="shared" si="104"/>
        <v>395113.69544438267</v>
      </c>
      <c r="AL369" s="46">
        <f t="shared" si="105"/>
        <v>2.23</v>
      </c>
      <c r="AM369" s="46">
        <f t="shared" si="105"/>
        <v>0.89000000000000012</v>
      </c>
      <c r="AN369" s="81">
        <f>IFERROR(INDEX(FeeCalc!P:P,MATCH(C369,FeeCalc!F:F,0)),0)</f>
        <v>2003212.4281132463</v>
      </c>
      <c r="AO369" s="81">
        <f>IFERROR(INDEX(FeeCalc!S:S,MATCH(C369,FeeCalc!F:F,0)),0)</f>
        <v>125451.24604486546</v>
      </c>
      <c r="AP369" s="81">
        <f t="shared" si="106"/>
        <v>2128663.6741581117</v>
      </c>
      <c r="AQ369" s="68">
        <f t="shared" si="107"/>
        <v>837739.84629227326</v>
      </c>
      <c r="AR369" s="68">
        <f>INDEX('IGT Commitment Suggestions'!H:H,MATCH(G369,'IGT Commitment Suggestions'!A:A,0))*AQ369</f>
        <v>382085.17187571491</v>
      </c>
    </row>
    <row r="370" spans="1:44">
      <c r="A370" s="103" t="s">
        <v>365</v>
      </c>
      <c r="B370" s="123" t="s">
        <v>365</v>
      </c>
      <c r="C370" s="30" t="s">
        <v>366</v>
      </c>
      <c r="D370" s="124" t="s">
        <v>366</v>
      </c>
      <c r="E370" s="119" t="s">
        <v>2635</v>
      </c>
      <c r="F370" s="99" t="s">
        <v>2283</v>
      </c>
      <c r="G370" s="99" t="s">
        <v>223</v>
      </c>
      <c r="H370" s="42" t="str">
        <f t="shared" si="93"/>
        <v>Urban Dallas</v>
      </c>
      <c r="I370" s="44">
        <f>INDEX(FeeCalc!M:M,MATCH(C:C,FeeCalc!F:F,0))</f>
        <v>569196.57292299927</v>
      </c>
      <c r="J370" s="44">
        <f>INDEX(FeeCalc!L:L,MATCH(C:C,FeeCalc!F:F,0))</f>
        <v>1473727.5021718487</v>
      </c>
      <c r="K370" s="44">
        <f t="shared" si="94"/>
        <v>2042924.0750948479</v>
      </c>
      <c r="L370" s="44">
        <v>346349.4</v>
      </c>
      <c r="M370" s="44">
        <v>479032.61</v>
      </c>
      <c r="N370" s="44">
        <f t="shared" si="95"/>
        <v>825382.01</v>
      </c>
      <c r="O370" s="44">
        <v>1801308.9546230077</v>
      </c>
      <c r="P370" s="44">
        <v>1501053.7616058826</v>
      </c>
      <c r="Q370" s="44">
        <f t="shared" si="96"/>
        <v>3302362.7162288902</v>
      </c>
      <c r="R370" s="44" t="str">
        <f t="shared" si="97"/>
        <v>Yes</v>
      </c>
      <c r="S370" s="45" t="str">
        <f t="shared" si="97"/>
        <v>Yes</v>
      </c>
      <c r="T370" s="46">
        <f>ROUND(INDEX(Summary!H:H,MATCH(H:H,Summary!A:A,0)),2)</f>
        <v>0.6</v>
      </c>
      <c r="U370" s="46">
        <f>ROUND(INDEX(Summary!I:I,MATCH(H:H,Summary!A:A,0)),2)</f>
        <v>0.3</v>
      </c>
      <c r="V370" s="79">
        <f t="shared" si="98"/>
        <v>341517.94375379954</v>
      </c>
      <c r="W370" s="79">
        <f t="shared" si="98"/>
        <v>442118.25065155461</v>
      </c>
      <c r="X370" s="44">
        <f t="shared" si="99"/>
        <v>783636.19440535409</v>
      </c>
      <c r="Y370" s="44" t="s">
        <v>2765</v>
      </c>
      <c r="Z370" s="44" t="str">
        <f t="shared" si="100"/>
        <v>Yes</v>
      </c>
      <c r="AA370" s="44" t="str">
        <f t="shared" si="100"/>
        <v>Yes</v>
      </c>
      <c r="AB370" s="44" t="str">
        <f t="shared" si="101"/>
        <v>Yes</v>
      </c>
      <c r="AC370" s="80">
        <f t="shared" si="108"/>
        <v>1.79</v>
      </c>
      <c r="AD370" s="80">
        <f t="shared" si="109"/>
        <v>0.5</v>
      </c>
      <c r="AE370" s="44">
        <f t="shared" si="102"/>
        <v>1018861.8655321688</v>
      </c>
      <c r="AF370" s="44">
        <f t="shared" si="102"/>
        <v>736863.75108592433</v>
      </c>
      <c r="AG370" s="44">
        <f t="shared" si="103"/>
        <v>1755725.6166180931</v>
      </c>
      <c r="AH370" s="46">
        <f>IF(Y370="No",0,IFERROR(ROUNDDOWN(INDEX('90% of ACR'!K:K,MATCH(H:H,'90% of ACR'!A:A,0))*IF(I370&gt;0,IF(O370&gt;0,$R$4*MAX(O370-V370,0),0),0)/I370,2),0))</f>
        <v>1.78</v>
      </c>
      <c r="AI370" s="80">
        <f>IF(Y370="No",0,IFERROR(ROUNDDOWN(INDEX('90% of ACR'!R:R,MATCH(H:H,'90% of ACR'!A:A,0))*IF(J370&gt;0,IF(P370&gt;0,$R$4*MAX(P370-W370,0),0),0)/J370,2),0))</f>
        <v>0.5</v>
      </c>
      <c r="AJ370" s="44">
        <f t="shared" si="104"/>
        <v>1013169.8998029387</v>
      </c>
      <c r="AK370" s="44">
        <f t="shared" si="104"/>
        <v>736863.75108592433</v>
      </c>
      <c r="AL370" s="46">
        <f t="shared" si="105"/>
        <v>2.38</v>
      </c>
      <c r="AM370" s="46">
        <f t="shared" si="105"/>
        <v>0.8</v>
      </c>
      <c r="AN370" s="81">
        <f>IFERROR(INDEX(FeeCalc!P:P,MATCH(C370,FeeCalc!F:F,0)),0)</f>
        <v>2533669.8452942171</v>
      </c>
      <c r="AO370" s="81">
        <f>IFERROR(INDEX(FeeCalc!S:S,MATCH(C370,FeeCalc!F:F,0)),0)</f>
        <v>157215.78766350687</v>
      </c>
      <c r="AP370" s="81">
        <f t="shared" si="106"/>
        <v>2690885.6329577239</v>
      </c>
      <c r="AQ370" s="68">
        <f t="shared" si="107"/>
        <v>1059003.4226217782</v>
      </c>
      <c r="AR370" s="68">
        <f>INDEX('IGT Commitment Suggestions'!H:H,MATCH(G370,'IGT Commitment Suggestions'!A:A,0))*AQ370</f>
        <v>484317.98806446517</v>
      </c>
    </row>
    <row r="371" spans="1:44">
      <c r="A371" s="103" t="s">
        <v>404</v>
      </c>
      <c r="B371" s="123" t="s">
        <v>404</v>
      </c>
      <c r="C371" s="30" t="s">
        <v>405</v>
      </c>
      <c r="D371" s="124" t="s">
        <v>405</v>
      </c>
      <c r="E371" s="119" t="s">
        <v>2636</v>
      </c>
      <c r="F371" s="99" t="s">
        <v>2283</v>
      </c>
      <c r="G371" s="99" t="s">
        <v>1365</v>
      </c>
      <c r="H371" s="42" t="str">
        <f t="shared" si="93"/>
        <v>Urban Tarrant</v>
      </c>
      <c r="I371" s="44">
        <f>INDEX(FeeCalc!M:M,MATCH(C:C,FeeCalc!F:F,0))</f>
        <v>0</v>
      </c>
      <c r="J371" s="44">
        <f>INDEX(FeeCalc!L:L,MATCH(C:C,FeeCalc!F:F,0))</f>
        <v>88868.193671045636</v>
      </c>
      <c r="K371" s="44">
        <f t="shared" si="94"/>
        <v>88868.193671045636</v>
      </c>
      <c r="L371" s="44">
        <v>25703.91</v>
      </c>
      <c r="M371" s="44">
        <v>150522.68</v>
      </c>
      <c r="N371" s="44">
        <f t="shared" si="95"/>
        <v>176226.59</v>
      </c>
      <c r="O371" s="44">
        <v>102494.14851155529</v>
      </c>
      <c r="P371" s="44">
        <v>271870.61344151164</v>
      </c>
      <c r="Q371" s="44">
        <f t="shared" si="96"/>
        <v>374364.76195306692</v>
      </c>
      <c r="R371" s="44" t="str">
        <f t="shared" si="97"/>
        <v>Yes</v>
      </c>
      <c r="S371" s="45" t="str">
        <f t="shared" si="97"/>
        <v>Yes</v>
      </c>
      <c r="T371" s="46">
        <f>ROUND(INDEX(Summary!H:H,MATCH(H:H,Summary!A:A,0)),2)</f>
        <v>0.84</v>
      </c>
      <c r="U371" s="46">
        <f>ROUND(INDEX(Summary!I:I,MATCH(H:H,Summary!A:A,0)),2)</f>
        <v>0.55000000000000004</v>
      </c>
      <c r="V371" s="79">
        <f t="shared" si="98"/>
        <v>0</v>
      </c>
      <c r="W371" s="79">
        <f t="shared" si="98"/>
        <v>48877.506519075105</v>
      </c>
      <c r="X371" s="44">
        <f t="shared" si="99"/>
        <v>48877.506519075105</v>
      </c>
      <c r="Y371" s="44" t="s">
        <v>2765</v>
      </c>
      <c r="Z371" s="44" t="str">
        <f t="shared" si="100"/>
        <v>No</v>
      </c>
      <c r="AA371" s="44" t="str">
        <f t="shared" si="100"/>
        <v>Yes</v>
      </c>
      <c r="AB371" s="44" t="str">
        <f t="shared" si="101"/>
        <v>Yes</v>
      </c>
      <c r="AC371" s="80">
        <f t="shared" si="108"/>
        <v>0</v>
      </c>
      <c r="AD371" s="80">
        <f t="shared" si="109"/>
        <v>1.75</v>
      </c>
      <c r="AE371" s="44">
        <f t="shared" si="102"/>
        <v>0</v>
      </c>
      <c r="AF371" s="44">
        <f t="shared" si="102"/>
        <v>155519.33892432987</v>
      </c>
      <c r="AG371" s="44">
        <f t="shared" si="103"/>
        <v>155519.33892432987</v>
      </c>
      <c r="AH371" s="46">
        <f>IF(Y371="No",0,IFERROR(ROUNDDOWN(INDEX('90% of ACR'!K:K,MATCH(H:H,'90% of ACR'!A:A,0))*IF(I371&gt;0,IF(O371&gt;0,$R$4*MAX(O371-V371,0),0),0)/I371,2),0))</f>
        <v>0</v>
      </c>
      <c r="AI371" s="80">
        <f>IF(Y371="No",0,IFERROR(ROUNDDOWN(INDEX('90% of ACR'!R:R,MATCH(H:H,'90% of ACR'!A:A,0))*IF(J371&gt;0,IF(P371&gt;0,$R$4*MAX(P371-W371,0),0),0)/J371,2),0))</f>
        <v>1.68</v>
      </c>
      <c r="AJ371" s="44">
        <f t="shared" si="104"/>
        <v>0</v>
      </c>
      <c r="AK371" s="44">
        <f t="shared" si="104"/>
        <v>149298.56536735667</v>
      </c>
      <c r="AL371" s="46">
        <f t="shared" si="105"/>
        <v>0.84</v>
      </c>
      <c r="AM371" s="46">
        <f t="shared" si="105"/>
        <v>2.23</v>
      </c>
      <c r="AN371" s="81">
        <f>IFERROR(INDEX(FeeCalc!P:P,MATCH(C371,FeeCalc!F:F,0)),0)</f>
        <v>198176.07188643178</v>
      </c>
      <c r="AO371" s="81">
        <f>IFERROR(INDEX(FeeCalc!S:S,MATCH(C371,FeeCalc!F:F,0)),0)</f>
        <v>12141.466212754765</v>
      </c>
      <c r="AP371" s="81">
        <f t="shared" si="106"/>
        <v>210317.53809918655</v>
      </c>
      <c r="AQ371" s="68">
        <f t="shared" si="107"/>
        <v>82770.88775401107</v>
      </c>
      <c r="AR371" s="68">
        <f>INDEX('IGT Commitment Suggestions'!H:H,MATCH(G371,'IGT Commitment Suggestions'!A:A,0))*AQ371</f>
        <v>37751.014248357977</v>
      </c>
    </row>
    <row r="372" spans="1:44">
      <c r="A372" s="103" t="s">
        <v>968</v>
      </c>
      <c r="B372" s="123" t="s">
        <v>968</v>
      </c>
      <c r="C372" s="30" t="s">
        <v>969</v>
      </c>
      <c r="D372" s="124" t="s">
        <v>969</v>
      </c>
      <c r="E372" s="119" t="s">
        <v>2637</v>
      </c>
      <c r="F372" s="99" t="s">
        <v>2283</v>
      </c>
      <c r="G372" s="99" t="s">
        <v>223</v>
      </c>
      <c r="H372" s="42" t="str">
        <f t="shared" si="93"/>
        <v>Urban Dallas</v>
      </c>
      <c r="I372" s="44">
        <f>INDEX(FeeCalc!M:M,MATCH(C:C,FeeCalc!F:F,0))</f>
        <v>0</v>
      </c>
      <c r="J372" s="44">
        <f>INDEX(FeeCalc!L:L,MATCH(C:C,FeeCalc!F:F,0))</f>
        <v>94914.848943101679</v>
      </c>
      <c r="K372" s="44">
        <f t="shared" si="94"/>
        <v>94914.848943101679</v>
      </c>
      <c r="L372" s="44">
        <v>0</v>
      </c>
      <c r="M372" s="44">
        <v>97123.839999999997</v>
      </c>
      <c r="N372" s="44">
        <f t="shared" si="95"/>
        <v>97123.839999999997</v>
      </c>
      <c r="O372" s="44">
        <v>0</v>
      </c>
      <c r="P372" s="44">
        <v>202269.25459090713</v>
      </c>
      <c r="Q372" s="44">
        <f t="shared" si="96"/>
        <v>202269.25459090713</v>
      </c>
      <c r="R372" s="44" t="str">
        <f t="shared" si="97"/>
        <v>No</v>
      </c>
      <c r="S372" s="45" t="str">
        <f t="shared" si="97"/>
        <v>Yes</v>
      </c>
      <c r="T372" s="46">
        <f>ROUND(INDEX(Summary!H:H,MATCH(H:H,Summary!A:A,0)),2)</f>
        <v>0.6</v>
      </c>
      <c r="U372" s="46">
        <f>ROUND(INDEX(Summary!I:I,MATCH(H:H,Summary!A:A,0)),2)</f>
        <v>0.3</v>
      </c>
      <c r="V372" s="79">
        <f t="shared" si="98"/>
        <v>0</v>
      </c>
      <c r="W372" s="79">
        <f t="shared" si="98"/>
        <v>28474.454682930504</v>
      </c>
      <c r="X372" s="44">
        <f t="shared" si="99"/>
        <v>28474.454682930504</v>
      </c>
      <c r="Y372" s="44" t="s">
        <v>2765</v>
      </c>
      <c r="Z372" s="44" t="str">
        <f t="shared" si="100"/>
        <v>No</v>
      </c>
      <c r="AA372" s="44" t="str">
        <f t="shared" si="100"/>
        <v>Yes</v>
      </c>
      <c r="AB372" s="44" t="str">
        <f t="shared" si="101"/>
        <v>Yes</v>
      </c>
      <c r="AC372" s="80">
        <f t="shared" si="108"/>
        <v>0</v>
      </c>
      <c r="AD372" s="80">
        <f t="shared" si="109"/>
        <v>1.28</v>
      </c>
      <c r="AE372" s="44">
        <f t="shared" si="102"/>
        <v>0</v>
      </c>
      <c r="AF372" s="44">
        <f t="shared" si="102"/>
        <v>121491.00664717016</v>
      </c>
      <c r="AG372" s="44">
        <f t="shared" si="103"/>
        <v>121491.00664717016</v>
      </c>
      <c r="AH372" s="46">
        <f>IF(Y372="No",0,IFERROR(ROUNDDOWN(INDEX('90% of ACR'!K:K,MATCH(H:H,'90% of ACR'!A:A,0))*IF(I372&gt;0,IF(O372&gt;0,$R$4*MAX(O372-V372,0),0),0)/I372,2),0))</f>
        <v>0</v>
      </c>
      <c r="AI372" s="80">
        <f>IF(Y372="No",0,IFERROR(ROUNDDOWN(INDEX('90% of ACR'!R:R,MATCH(H:H,'90% of ACR'!A:A,0))*IF(J372&gt;0,IF(P372&gt;0,$R$4*MAX(P372-W372,0),0),0)/J372,2),0))</f>
        <v>1.27</v>
      </c>
      <c r="AJ372" s="44">
        <f t="shared" si="104"/>
        <v>0</v>
      </c>
      <c r="AK372" s="44">
        <f t="shared" si="104"/>
        <v>120541.85815773913</v>
      </c>
      <c r="AL372" s="46">
        <f t="shared" si="105"/>
        <v>0.6</v>
      </c>
      <c r="AM372" s="46">
        <f t="shared" si="105"/>
        <v>1.57</v>
      </c>
      <c r="AN372" s="81">
        <f>IFERROR(INDEX(FeeCalc!P:P,MATCH(C372,FeeCalc!F:F,0)),0)</f>
        <v>149016.31284066965</v>
      </c>
      <c r="AO372" s="81">
        <f>IFERROR(INDEX(FeeCalc!S:S,MATCH(C372,FeeCalc!F:F,0)),0)</f>
        <v>9097.6558845916861</v>
      </c>
      <c r="AP372" s="81">
        <f t="shared" si="106"/>
        <v>158113.96872526134</v>
      </c>
      <c r="AQ372" s="68">
        <f t="shared" si="107"/>
        <v>62226.068619764053</v>
      </c>
      <c r="AR372" s="68">
        <f>INDEX('IGT Commitment Suggestions'!H:H,MATCH(G372,'IGT Commitment Suggestions'!A:A,0))*AQ372</f>
        <v>28458.08022458955</v>
      </c>
    </row>
    <row r="373" spans="1:44">
      <c r="A373" s="103" t="s">
        <v>143</v>
      </c>
      <c r="B373" s="123" t="s">
        <v>143</v>
      </c>
      <c r="C373" s="30" t="s">
        <v>144</v>
      </c>
      <c r="D373" s="124" t="s">
        <v>144</v>
      </c>
      <c r="E373" s="119" t="s">
        <v>2638</v>
      </c>
      <c r="F373" s="99" t="s">
        <v>2283</v>
      </c>
      <c r="G373" s="99" t="s">
        <v>1365</v>
      </c>
      <c r="H373" s="42" t="str">
        <f t="shared" si="93"/>
        <v>Urban Tarrant</v>
      </c>
      <c r="I373" s="44">
        <f>INDEX(FeeCalc!M:M,MATCH(C:C,FeeCalc!F:F,0))</f>
        <v>1830612.9376327514</v>
      </c>
      <c r="J373" s="44">
        <f>INDEX(FeeCalc!L:L,MATCH(C:C,FeeCalc!F:F,0))</f>
        <v>727155.77535954339</v>
      </c>
      <c r="K373" s="44">
        <f t="shared" si="94"/>
        <v>2557768.7129922947</v>
      </c>
      <c r="L373" s="44">
        <v>1111138.6499999999</v>
      </c>
      <c r="M373" s="44">
        <v>297898.68</v>
      </c>
      <c r="N373" s="44">
        <f t="shared" si="95"/>
        <v>1409037.3299999998</v>
      </c>
      <c r="O373" s="44">
        <v>5569879.8334341049</v>
      </c>
      <c r="P373" s="44">
        <v>774622.82207531214</v>
      </c>
      <c r="Q373" s="44">
        <f t="shared" si="96"/>
        <v>6344502.6555094169</v>
      </c>
      <c r="R373" s="44" t="str">
        <f t="shared" si="97"/>
        <v>Yes</v>
      </c>
      <c r="S373" s="45" t="str">
        <f t="shared" si="97"/>
        <v>Yes</v>
      </c>
      <c r="T373" s="46">
        <f>ROUND(INDEX(Summary!H:H,MATCH(H:H,Summary!A:A,0)),2)</f>
        <v>0.84</v>
      </c>
      <c r="U373" s="46">
        <f>ROUND(INDEX(Summary!I:I,MATCH(H:H,Summary!A:A,0)),2)</f>
        <v>0.55000000000000004</v>
      </c>
      <c r="V373" s="79">
        <f t="shared" si="98"/>
        <v>1537714.8676115111</v>
      </c>
      <c r="W373" s="79">
        <f t="shared" si="98"/>
        <v>399935.67644774891</v>
      </c>
      <c r="X373" s="44">
        <f t="shared" si="99"/>
        <v>1937650.54405926</v>
      </c>
      <c r="Y373" s="44" t="s">
        <v>2765</v>
      </c>
      <c r="Z373" s="44" t="str">
        <f t="shared" si="100"/>
        <v>Yes</v>
      </c>
      <c r="AA373" s="44" t="str">
        <f t="shared" si="100"/>
        <v>Yes</v>
      </c>
      <c r="AB373" s="44" t="str">
        <f t="shared" si="101"/>
        <v>Yes</v>
      </c>
      <c r="AC373" s="80">
        <f t="shared" si="108"/>
        <v>1.53</v>
      </c>
      <c r="AD373" s="80">
        <f t="shared" si="109"/>
        <v>0.36</v>
      </c>
      <c r="AE373" s="44">
        <f t="shared" si="102"/>
        <v>2800837.7945781099</v>
      </c>
      <c r="AF373" s="44">
        <f t="shared" si="102"/>
        <v>261776.07912943562</v>
      </c>
      <c r="AG373" s="44">
        <f t="shared" si="103"/>
        <v>3062613.8737075455</v>
      </c>
      <c r="AH373" s="46">
        <f>IF(Y373="No",0,IFERROR(ROUNDDOWN(INDEX('90% of ACR'!K:K,MATCH(H:H,'90% of ACR'!A:A,0))*IF(I373&gt;0,IF(O373&gt;0,$R$4*MAX(O373-V373,0),0),0)/I373,2),0))</f>
        <v>1.53</v>
      </c>
      <c r="AI373" s="80">
        <f>IF(Y373="No",0,IFERROR(ROUNDDOWN(INDEX('90% of ACR'!R:R,MATCH(H:H,'90% of ACR'!A:A,0))*IF(J373&gt;0,IF(P373&gt;0,$R$4*MAX(P373-W373,0),0),0)/J373,2),0))</f>
        <v>0.34</v>
      </c>
      <c r="AJ373" s="44">
        <f t="shared" si="104"/>
        <v>2800837.7945781099</v>
      </c>
      <c r="AK373" s="44">
        <f t="shared" si="104"/>
        <v>247232.96362224477</v>
      </c>
      <c r="AL373" s="46">
        <f t="shared" si="105"/>
        <v>2.37</v>
      </c>
      <c r="AM373" s="46">
        <f t="shared" si="105"/>
        <v>0.89000000000000012</v>
      </c>
      <c r="AN373" s="81">
        <f>IFERROR(INDEX(FeeCalc!P:P,MATCH(C373,FeeCalc!F:F,0)),0)</f>
        <v>4985721.3022596147</v>
      </c>
      <c r="AO373" s="81">
        <f>IFERROR(INDEX(FeeCalc!S:S,MATCH(C373,FeeCalc!F:F,0)),0)</f>
        <v>305229.19505141175</v>
      </c>
      <c r="AP373" s="81">
        <f t="shared" si="106"/>
        <v>5290950.4973110268</v>
      </c>
      <c r="AQ373" s="68">
        <f t="shared" si="107"/>
        <v>2082264.1501177493</v>
      </c>
      <c r="AR373" s="68">
        <f>INDEX('IGT Commitment Suggestions'!H:H,MATCH(G373,'IGT Commitment Suggestions'!A:A,0))*AQ373</f>
        <v>949700.86382975697</v>
      </c>
    </row>
    <row r="374" spans="1:44">
      <c r="A374" s="103" t="s">
        <v>962</v>
      </c>
      <c r="B374" s="123" t="s">
        <v>962</v>
      </c>
      <c r="C374" s="30" t="s">
        <v>963</v>
      </c>
      <c r="D374" s="124" t="s">
        <v>963</v>
      </c>
      <c r="E374" s="119" t="s">
        <v>2450</v>
      </c>
      <c r="F374" s="99" t="s">
        <v>2295</v>
      </c>
      <c r="G374" s="99" t="s">
        <v>1486</v>
      </c>
      <c r="H374" s="42" t="str">
        <f t="shared" si="93"/>
        <v>Rural MRSA Central</v>
      </c>
      <c r="I374" s="44">
        <f>INDEX(FeeCalc!M:M,MATCH(C:C,FeeCalc!F:F,0))</f>
        <v>217832.98970349485</v>
      </c>
      <c r="J374" s="44">
        <f>INDEX(FeeCalc!L:L,MATCH(C:C,FeeCalc!F:F,0))</f>
        <v>732595.19840868434</v>
      </c>
      <c r="K374" s="44">
        <f t="shared" si="94"/>
        <v>950428.18811217917</v>
      </c>
      <c r="L374" s="44">
        <v>101748.39</v>
      </c>
      <c r="M374" s="44">
        <v>216556.83</v>
      </c>
      <c r="N374" s="44">
        <f t="shared" si="95"/>
        <v>318305.21999999997</v>
      </c>
      <c r="O374" s="44">
        <v>702105.47193035658</v>
      </c>
      <c r="P374" s="44">
        <v>1493841.344165901</v>
      </c>
      <c r="Q374" s="44">
        <f t="shared" si="96"/>
        <v>2195946.8160962574</v>
      </c>
      <c r="R374" s="44" t="str">
        <f t="shared" si="97"/>
        <v>Yes</v>
      </c>
      <c r="S374" s="45" t="str">
        <f t="shared" si="97"/>
        <v>Yes</v>
      </c>
      <c r="T374" s="46">
        <f>ROUND(INDEX(Summary!H:H,MATCH(H:H,Summary!A:A,0)),2)</f>
        <v>0.11</v>
      </c>
      <c r="U374" s="46">
        <f>ROUND(INDEX(Summary!I:I,MATCH(H:H,Summary!A:A,0)),2)</f>
        <v>0.09</v>
      </c>
      <c r="V374" s="79">
        <f t="shared" si="98"/>
        <v>23961.628867384436</v>
      </c>
      <c r="W374" s="79">
        <f t="shared" si="98"/>
        <v>65933.567856781592</v>
      </c>
      <c r="X374" s="44">
        <f t="shared" si="99"/>
        <v>89895.196724166031</v>
      </c>
      <c r="Y374" s="44" t="s">
        <v>2765</v>
      </c>
      <c r="Z374" s="44" t="str">
        <f t="shared" si="100"/>
        <v>Yes</v>
      </c>
      <c r="AA374" s="44" t="str">
        <f t="shared" si="100"/>
        <v>Yes</v>
      </c>
      <c r="AB374" s="44" t="str">
        <f t="shared" si="101"/>
        <v>Yes</v>
      </c>
      <c r="AC374" s="80">
        <f t="shared" si="108"/>
        <v>2.17</v>
      </c>
      <c r="AD374" s="80">
        <f t="shared" si="109"/>
        <v>1.36</v>
      </c>
      <c r="AE374" s="44">
        <f t="shared" si="102"/>
        <v>472697.58765658381</v>
      </c>
      <c r="AF374" s="44">
        <f t="shared" si="102"/>
        <v>996329.46983581083</v>
      </c>
      <c r="AG374" s="44">
        <f t="shared" si="103"/>
        <v>1469027.0574923947</v>
      </c>
      <c r="AH374" s="46">
        <f>IF(Y374="No",0,IFERROR(ROUNDDOWN(INDEX('90% of ACR'!K:K,MATCH(H:H,'90% of ACR'!A:A,0))*IF(I374&gt;0,IF(O374&gt;0,$R$4*MAX(O374-V374,0),0),0)/I374,2),0))</f>
        <v>1.1200000000000001</v>
      </c>
      <c r="AI374" s="80">
        <f>IF(Y374="No",0,IFERROR(ROUNDDOWN(INDEX('90% of ACR'!R:R,MATCH(H:H,'90% of ACR'!A:A,0))*IF(J374&gt;0,IF(P374&gt;0,$R$4*MAX(P374-W374,0),0),0)/J374,2),0))</f>
        <v>1.35</v>
      </c>
      <c r="AJ374" s="44">
        <f t="shared" si="104"/>
        <v>243972.94846791425</v>
      </c>
      <c r="AK374" s="44">
        <f t="shared" si="104"/>
        <v>989003.51785172394</v>
      </c>
      <c r="AL374" s="46">
        <f t="shared" si="105"/>
        <v>1.2300000000000002</v>
      </c>
      <c r="AM374" s="46">
        <f t="shared" si="105"/>
        <v>1.4400000000000002</v>
      </c>
      <c r="AN374" s="81">
        <f>IFERROR(INDEX(FeeCalc!P:P,MATCH(C374,FeeCalc!F:F,0)),0)</f>
        <v>1322871.6630438042</v>
      </c>
      <c r="AO374" s="81">
        <f>IFERROR(INDEX(FeeCalc!S:S,MATCH(C374,FeeCalc!F:F,0)),0)</f>
        <v>81456.667007178636</v>
      </c>
      <c r="AP374" s="81">
        <f t="shared" si="106"/>
        <v>1404328.3300509828</v>
      </c>
      <c r="AQ374" s="68">
        <f t="shared" si="107"/>
        <v>552676.2229482244</v>
      </c>
      <c r="AR374" s="68">
        <f>INDEX('IGT Commitment Suggestions'!H:H,MATCH(G374,'IGT Commitment Suggestions'!A:A,0))*AQ374</f>
        <v>252482.92765957178</v>
      </c>
    </row>
    <row r="375" spans="1:44">
      <c r="A375" s="103" t="s">
        <v>353</v>
      </c>
      <c r="B375" s="123" t="s">
        <v>353</v>
      </c>
      <c r="C375" s="30" t="s">
        <v>354</v>
      </c>
      <c r="D375" s="124" t="s">
        <v>354</v>
      </c>
      <c r="E375" s="119" t="s">
        <v>2944</v>
      </c>
      <c r="F375" s="99" t="s">
        <v>2283</v>
      </c>
      <c r="G375" s="99" t="s">
        <v>223</v>
      </c>
      <c r="H375" s="42" t="str">
        <f t="shared" si="93"/>
        <v>Urban Dallas</v>
      </c>
      <c r="I375" s="44">
        <f>INDEX(FeeCalc!M:M,MATCH(C:C,FeeCalc!F:F,0))</f>
        <v>84588.796772193076</v>
      </c>
      <c r="J375" s="44">
        <f>INDEX(FeeCalc!L:L,MATCH(C:C,FeeCalc!F:F,0))</f>
        <v>544383.76355808019</v>
      </c>
      <c r="K375" s="44">
        <f t="shared" si="94"/>
        <v>628972.56033027323</v>
      </c>
      <c r="L375" s="44">
        <v>171233.89</v>
      </c>
      <c r="M375" s="44">
        <v>298874.61</v>
      </c>
      <c r="N375" s="44">
        <f t="shared" si="95"/>
        <v>470108.5</v>
      </c>
      <c r="O375" s="44">
        <v>183615.43799805053</v>
      </c>
      <c r="P375" s="44">
        <v>550633.90160255041</v>
      </c>
      <c r="Q375" s="44">
        <f t="shared" si="96"/>
        <v>734249.339600601</v>
      </c>
      <c r="R375" s="44" t="str">
        <f t="shared" si="97"/>
        <v>Yes</v>
      </c>
      <c r="S375" s="45" t="str">
        <f t="shared" si="97"/>
        <v>Yes</v>
      </c>
      <c r="T375" s="46">
        <f>ROUND(INDEX(Summary!H:H,MATCH(H:H,Summary!A:A,0)),2)</f>
        <v>0.6</v>
      </c>
      <c r="U375" s="46">
        <f>ROUND(INDEX(Summary!I:I,MATCH(H:H,Summary!A:A,0)),2)</f>
        <v>0.3</v>
      </c>
      <c r="V375" s="79">
        <f t="shared" si="98"/>
        <v>50753.278063315847</v>
      </c>
      <c r="W375" s="79">
        <f t="shared" si="98"/>
        <v>163315.12906742404</v>
      </c>
      <c r="X375" s="44">
        <f t="shared" si="99"/>
        <v>214068.40713073988</v>
      </c>
      <c r="Y375" s="44" t="s">
        <v>2765</v>
      </c>
      <c r="Z375" s="44" t="str">
        <f t="shared" si="100"/>
        <v>Yes</v>
      </c>
      <c r="AA375" s="44" t="str">
        <f t="shared" si="100"/>
        <v>Yes</v>
      </c>
      <c r="AB375" s="44" t="str">
        <f t="shared" si="101"/>
        <v>Yes</v>
      </c>
      <c r="AC375" s="80">
        <f t="shared" si="108"/>
        <v>1.0900000000000001</v>
      </c>
      <c r="AD375" s="80">
        <f t="shared" si="109"/>
        <v>0.5</v>
      </c>
      <c r="AE375" s="44">
        <f t="shared" si="102"/>
        <v>92201.788481690455</v>
      </c>
      <c r="AF375" s="44">
        <f t="shared" si="102"/>
        <v>272191.88177904009</v>
      </c>
      <c r="AG375" s="44">
        <f t="shared" si="103"/>
        <v>364393.67026073055</v>
      </c>
      <c r="AH375" s="46">
        <f>IF(Y375="No",0,IFERROR(ROUNDDOWN(INDEX('90% of ACR'!K:K,MATCH(H:H,'90% of ACR'!A:A,0))*IF(I375&gt;0,IF(O375&gt;0,$R$4*MAX(O375-V375,0),0),0)/I375,2),0))</f>
        <v>1.0900000000000001</v>
      </c>
      <c r="AI375" s="80">
        <f>IF(Y375="No",0,IFERROR(ROUNDDOWN(INDEX('90% of ACR'!R:R,MATCH(H:H,'90% of ACR'!A:A,0))*IF(J375&gt;0,IF(P375&gt;0,$R$4*MAX(P375-W375,0),0),0)/J375,2),0))</f>
        <v>0.49</v>
      </c>
      <c r="AJ375" s="44">
        <f t="shared" si="104"/>
        <v>92201.788481690455</v>
      </c>
      <c r="AK375" s="44">
        <f t="shared" si="104"/>
        <v>266748.04414345929</v>
      </c>
      <c r="AL375" s="46">
        <f t="shared" si="105"/>
        <v>1.69</v>
      </c>
      <c r="AM375" s="46">
        <f t="shared" si="105"/>
        <v>0.79</v>
      </c>
      <c r="AN375" s="81">
        <f>IFERROR(INDEX(FeeCalc!P:P,MATCH(C375,FeeCalc!F:F,0)),0)</f>
        <v>573018.23975588963</v>
      </c>
      <c r="AO375" s="81">
        <f>IFERROR(INDEX(FeeCalc!S:S,MATCH(C375,FeeCalc!F:F,0)),0)</f>
        <v>35574.562145127347</v>
      </c>
      <c r="AP375" s="81">
        <f t="shared" si="106"/>
        <v>608592.80190101697</v>
      </c>
      <c r="AQ375" s="68">
        <f t="shared" si="107"/>
        <v>239512.91437374902</v>
      </c>
      <c r="AR375" s="68">
        <f>INDEX('IGT Commitment Suggestions'!H:H,MATCH(G375,'IGT Commitment Suggestions'!A:A,0))*AQ375</f>
        <v>109537.3351275561</v>
      </c>
    </row>
    <row r="376" spans="1:44">
      <c r="A376" s="103" t="s">
        <v>889</v>
      </c>
      <c r="B376" s="123" t="s">
        <v>889</v>
      </c>
      <c r="C376" s="30" t="s">
        <v>890</v>
      </c>
      <c r="D376" s="124" t="s">
        <v>890</v>
      </c>
      <c r="E376" s="119" t="s">
        <v>2945</v>
      </c>
      <c r="F376" s="99" t="s">
        <v>2283</v>
      </c>
      <c r="G376" s="99" t="s">
        <v>227</v>
      </c>
      <c r="H376" s="42" t="str">
        <f t="shared" si="93"/>
        <v>Urban MRSA West</v>
      </c>
      <c r="I376" s="44">
        <f>INDEX(FeeCalc!M:M,MATCH(C:C,FeeCalc!F:F,0))</f>
        <v>6624623.1413138639</v>
      </c>
      <c r="J376" s="44">
        <f>INDEX(FeeCalc!L:L,MATCH(C:C,FeeCalc!F:F,0))</f>
        <v>4785152.2000721619</v>
      </c>
      <c r="K376" s="44">
        <f t="shared" si="94"/>
        <v>11409775.341386026</v>
      </c>
      <c r="L376" s="44">
        <v>-5963521.9800000004</v>
      </c>
      <c r="M376" s="44">
        <v>2892021.2</v>
      </c>
      <c r="N376" s="44">
        <f t="shared" si="95"/>
        <v>-3071500.7800000003</v>
      </c>
      <c r="O376" s="44">
        <v>-2220633.5210060459</v>
      </c>
      <c r="P376" s="44">
        <v>5215112.1048464198</v>
      </c>
      <c r="Q376" s="44">
        <f t="shared" si="96"/>
        <v>2994478.5838403739</v>
      </c>
      <c r="R376" s="44" t="str">
        <f t="shared" si="97"/>
        <v>No</v>
      </c>
      <c r="S376" s="45" t="str">
        <f t="shared" si="97"/>
        <v>Yes</v>
      </c>
      <c r="T376" s="46">
        <f>ROUND(INDEX(Summary!H:H,MATCH(H:H,Summary!A:A,0)),2)</f>
        <v>0.33</v>
      </c>
      <c r="U376" s="46">
        <f>ROUND(INDEX(Summary!I:I,MATCH(H:H,Summary!A:A,0)),2)</f>
        <v>0.85</v>
      </c>
      <c r="V376" s="79">
        <f t="shared" si="98"/>
        <v>2186125.6366335754</v>
      </c>
      <c r="W376" s="79">
        <f t="shared" si="98"/>
        <v>4067379.3700613375</v>
      </c>
      <c r="X376" s="44">
        <f t="shared" si="99"/>
        <v>6253505.0066949129</v>
      </c>
      <c r="Y376" s="44" t="s">
        <v>2765</v>
      </c>
      <c r="Z376" s="44" t="str">
        <f t="shared" si="100"/>
        <v>No</v>
      </c>
      <c r="AA376" s="44" t="str">
        <f t="shared" si="100"/>
        <v>Yes</v>
      </c>
      <c r="AB376" s="44" t="str">
        <f t="shared" si="101"/>
        <v>Yes</v>
      </c>
      <c r="AC376" s="80">
        <f t="shared" si="108"/>
        <v>0</v>
      </c>
      <c r="AD376" s="80">
        <f t="shared" si="109"/>
        <v>0.17</v>
      </c>
      <c r="AE376" s="44">
        <f t="shared" si="102"/>
        <v>0</v>
      </c>
      <c r="AF376" s="44">
        <f t="shared" si="102"/>
        <v>813475.87401226757</v>
      </c>
      <c r="AG376" s="44">
        <f t="shared" si="103"/>
        <v>813475.87401226757</v>
      </c>
      <c r="AH376" s="46">
        <f>IF(Y376="No",0,IFERROR(ROUNDDOWN(INDEX('90% of ACR'!K:K,MATCH(H:H,'90% of ACR'!A:A,0))*IF(I376&gt;0,IF(O376&gt;0,$R$4*MAX(O376-V376,0),0),0)/I376,2),0))</f>
        <v>0</v>
      </c>
      <c r="AI376" s="80">
        <f>IF(Y376="No",0,IFERROR(ROUNDDOWN(INDEX('90% of ACR'!R:R,MATCH(H:H,'90% of ACR'!A:A,0))*IF(J376&gt;0,IF(P376&gt;0,$R$4*MAX(P376-W376,0),0),0)/J376,2),0))</f>
        <v>0.15</v>
      </c>
      <c r="AJ376" s="44">
        <f t="shared" si="104"/>
        <v>0</v>
      </c>
      <c r="AK376" s="44">
        <f t="shared" si="104"/>
        <v>717772.83001082425</v>
      </c>
      <c r="AL376" s="46">
        <f t="shared" si="105"/>
        <v>0.33</v>
      </c>
      <c r="AM376" s="46">
        <f t="shared" si="105"/>
        <v>1</v>
      </c>
      <c r="AN376" s="81">
        <f>IFERROR(INDEX(FeeCalc!P:P,MATCH(C376,FeeCalc!F:F,0)),0)</f>
        <v>6971277.8367057368</v>
      </c>
      <c r="AO376" s="81">
        <f>IFERROR(INDEX(FeeCalc!S:S,MATCH(C376,FeeCalc!F:F,0)),0)</f>
        <v>428890.99587551859</v>
      </c>
      <c r="AP376" s="81">
        <f t="shared" si="106"/>
        <v>7400168.8325812556</v>
      </c>
      <c r="AQ376" s="68">
        <f t="shared" si="107"/>
        <v>2912351.2444000188</v>
      </c>
      <c r="AR376" s="68">
        <f>INDEX('IGT Commitment Suggestions'!H:H,MATCH(G376,'IGT Commitment Suggestions'!A:A,0))*AQ376</f>
        <v>1427237.4829550928</v>
      </c>
    </row>
    <row r="377" spans="1:44">
      <c r="A377" s="103" t="s">
        <v>780</v>
      </c>
      <c r="B377" s="123" t="s">
        <v>780</v>
      </c>
      <c r="C377" s="30" t="s">
        <v>781</v>
      </c>
      <c r="D377" s="124" t="s">
        <v>781</v>
      </c>
      <c r="E377" s="119" t="s">
        <v>2451</v>
      </c>
      <c r="F377" s="99" t="s">
        <v>2295</v>
      </c>
      <c r="G377" s="99" t="s">
        <v>1365</v>
      </c>
      <c r="H377" s="42" t="str">
        <f t="shared" si="93"/>
        <v>Rural Tarrant</v>
      </c>
      <c r="I377" s="44">
        <f>INDEX(FeeCalc!M:M,MATCH(C:C,FeeCalc!F:F,0))</f>
        <v>3029787.4182498008</v>
      </c>
      <c r="J377" s="44">
        <f>INDEX(FeeCalc!L:L,MATCH(C:C,FeeCalc!F:F,0))</f>
        <v>1992516.4899607543</v>
      </c>
      <c r="K377" s="44">
        <f t="shared" si="94"/>
        <v>5022303.9082105551</v>
      </c>
      <c r="L377" s="44">
        <v>-437085.63</v>
      </c>
      <c r="M377" s="44">
        <v>1542279.68</v>
      </c>
      <c r="N377" s="44">
        <f t="shared" si="95"/>
        <v>1105194.0499999998</v>
      </c>
      <c r="O377" s="44">
        <v>6394275.5918607963</v>
      </c>
      <c r="P377" s="44">
        <v>5239349.2718787063</v>
      </c>
      <c r="Q377" s="44">
        <f t="shared" si="96"/>
        <v>11633624.863739502</v>
      </c>
      <c r="R377" s="44" t="str">
        <f t="shared" si="97"/>
        <v>Yes</v>
      </c>
      <c r="S377" s="45" t="str">
        <f t="shared" si="97"/>
        <v>Yes</v>
      </c>
      <c r="T377" s="46">
        <f>ROUND(INDEX(Summary!H:H,MATCH(H:H,Summary!A:A,0)),2)</f>
        <v>0</v>
      </c>
      <c r="U377" s="46">
        <f>ROUND(INDEX(Summary!I:I,MATCH(H:H,Summary!A:A,0)),2)</f>
        <v>0.5</v>
      </c>
      <c r="V377" s="79">
        <f t="shared" si="98"/>
        <v>0</v>
      </c>
      <c r="W377" s="79">
        <f t="shared" si="98"/>
        <v>996258.24498037715</v>
      </c>
      <c r="X377" s="44">
        <f t="shared" si="99"/>
        <v>996258.24498037715</v>
      </c>
      <c r="Y377" s="44" t="s">
        <v>2765</v>
      </c>
      <c r="Z377" s="44" t="str">
        <f t="shared" si="100"/>
        <v>Yes</v>
      </c>
      <c r="AA377" s="44" t="str">
        <f t="shared" si="100"/>
        <v>Yes</v>
      </c>
      <c r="AB377" s="44" t="str">
        <f t="shared" si="101"/>
        <v>Yes</v>
      </c>
      <c r="AC377" s="80">
        <f t="shared" si="108"/>
        <v>1.47</v>
      </c>
      <c r="AD377" s="80">
        <f t="shared" si="109"/>
        <v>1.48</v>
      </c>
      <c r="AE377" s="44">
        <f t="shared" si="102"/>
        <v>4453787.504827207</v>
      </c>
      <c r="AF377" s="44">
        <f t="shared" si="102"/>
        <v>2948924.4051419161</v>
      </c>
      <c r="AG377" s="44">
        <f t="shared" si="103"/>
        <v>7402711.9099691231</v>
      </c>
      <c r="AH377" s="46">
        <f>IF(Y377="No",0,IFERROR(ROUNDDOWN(INDEX('90% of ACR'!K:K,MATCH(H:H,'90% of ACR'!A:A,0))*IF(I377&gt;0,IF(O377&gt;0,$R$4*MAX(O377-V377,0),0),0)/I377,2),0))</f>
        <v>1.47</v>
      </c>
      <c r="AI377" s="80">
        <f>IF(Y377="No",0,IFERROR(ROUNDDOWN(INDEX('90% of ACR'!R:R,MATCH(H:H,'90% of ACR'!A:A,0))*IF(J377&gt;0,IF(P377&gt;0,$R$4*MAX(P377-W377,0),0),0)/J377,2),0))</f>
        <v>1.48</v>
      </c>
      <c r="AJ377" s="44">
        <f t="shared" si="104"/>
        <v>4453787.504827207</v>
      </c>
      <c r="AK377" s="44">
        <f t="shared" si="104"/>
        <v>2948924.4051419161</v>
      </c>
      <c r="AL377" s="46">
        <f t="shared" si="105"/>
        <v>1.47</v>
      </c>
      <c r="AM377" s="46">
        <f t="shared" si="105"/>
        <v>1.98</v>
      </c>
      <c r="AN377" s="81">
        <f>IFERROR(INDEX(FeeCalc!P:P,MATCH(C377,FeeCalc!F:F,0)),0)</f>
        <v>8398970.1549495012</v>
      </c>
      <c r="AO377" s="81">
        <f>IFERROR(INDEX(FeeCalc!S:S,MATCH(C377,FeeCalc!F:F,0)),0)</f>
        <v>519451.04898063256</v>
      </c>
      <c r="AP377" s="81">
        <f t="shared" si="106"/>
        <v>8918421.203930134</v>
      </c>
      <c r="AQ377" s="68">
        <f t="shared" si="107"/>
        <v>3509862.501649112</v>
      </c>
      <c r="AR377" s="68">
        <f>INDEX('IGT Commitment Suggestions'!H:H,MATCH(G377,'IGT Commitment Suggestions'!A:A,0))*AQ377</f>
        <v>1600814.8867910628</v>
      </c>
    </row>
    <row r="378" spans="1:44">
      <c r="A378" s="103" t="s">
        <v>789</v>
      </c>
      <c r="B378" s="123" t="s">
        <v>789</v>
      </c>
      <c r="C378" s="30" t="s">
        <v>790</v>
      </c>
      <c r="D378" s="124" t="s">
        <v>790</v>
      </c>
      <c r="E378" s="119" t="s">
        <v>2452</v>
      </c>
      <c r="F378" s="99" t="s">
        <v>2283</v>
      </c>
      <c r="G378" s="99" t="s">
        <v>1514</v>
      </c>
      <c r="H378" s="42" t="str">
        <f t="shared" si="93"/>
        <v>Urban Hidalgo</v>
      </c>
      <c r="I378" s="44">
        <f>INDEX(FeeCalc!M:M,MATCH(C:C,FeeCalc!F:F,0))</f>
        <v>12813399.688868826</v>
      </c>
      <c r="J378" s="44">
        <f>INDEX(FeeCalc!L:L,MATCH(C:C,FeeCalc!F:F,0))</f>
        <v>11522336.444772337</v>
      </c>
      <c r="K378" s="44">
        <f t="shared" si="94"/>
        <v>24335736.133641161</v>
      </c>
      <c r="L378" s="44">
        <v>10447525.880000001</v>
      </c>
      <c r="M378" s="44">
        <v>6636232.1699999999</v>
      </c>
      <c r="N378" s="44">
        <f t="shared" si="95"/>
        <v>17083758.050000001</v>
      </c>
      <c r="O378" s="44">
        <v>32313507.042597666</v>
      </c>
      <c r="P378" s="44">
        <v>14947070.207233679</v>
      </c>
      <c r="Q378" s="44">
        <f t="shared" si="96"/>
        <v>47260577.249831349</v>
      </c>
      <c r="R378" s="44" t="str">
        <f t="shared" si="97"/>
        <v>Yes</v>
      </c>
      <c r="S378" s="45" t="str">
        <f t="shared" si="97"/>
        <v>Yes</v>
      </c>
      <c r="T378" s="46">
        <f>ROUND(INDEX(Summary!H:H,MATCH(H:H,Summary!A:A,0)),2)</f>
        <v>0.72</v>
      </c>
      <c r="U378" s="46">
        <f>ROUND(INDEX(Summary!I:I,MATCH(H:H,Summary!A:A,0)),2)</f>
        <v>0.53</v>
      </c>
      <c r="V378" s="79">
        <f t="shared" si="98"/>
        <v>9225647.7759855539</v>
      </c>
      <c r="W378" s="79">
        <f t="shared" si="98"/>
        <v>6106838.3157293387</v>
      </c>
      <c r="X378" s="44">
        <f t="shared" si="99"/>
        <v>15332486.091714893</v>
      </c>
      <c r="Y378" s="44" t="s">
        <v>2765</v>
      </c>
      <c r="Z378" s="44" t="str">
        <f t="shared" si="100"/>
        <v>Yes</v>
      </c>
      <c r="AA378" s="44" t="str">
        <f t="shared" si="100"/>
        <v>Yes</v>
      </c>
      <c r="AB378" s="44" t="str">
        <f t="shared" si="101"/>
        <v>Yes</v>
      </c>
      <c r="AC378" s="80">
        <f t="shared" si="108"/>
        <v>1.26</v>
      </c>
      <c r="AD378" s="80">
        <f t="shared" si="109"/>
        <v>0.53</v>
      </c>
      <c r="AE378" s="44">
        <f t="shared" si="102"/>
        <v>16144883.607974721</v>
      </c>
      <c r="AF378" s="44">
        <f t="shared" si="102"/>
        <v>6106838.3157293387</v>
      </c>
      <c r="AG378" s="44">
        <f t="shared" si="103"/>
        <v>22251721.923704058</v>
      </c>
      <c r="AH378" s="46">
        <f>IF(Y378="No",0,IFERROR(ROUNDDOWN(INDEX('90% of ACR'!K:K,MATCH(H:H,'90% of ACR'!A:A,0))*IF(I378&gt;0,IF(O378&gt;0,$R$4*MAX(O378-V378,0),0),0)/I378,2),0))</f>
        <v>1.25</v>
      </c>
      <c r="AI378" s="80">
        <f>IF(Y378="No",0,IFERROR(ROUNDDOWN(INDEX('90% of ACR'!R:R,MATCH(H:H,'90% of ACR'!A:A,0))*IF(J378&gt;0,IF(P378&gt;0,$R$4*MAX(P378-W378,0),0),0)/J378,2),0))</f>
        <v>0.51</v>
      </c>
      <c r="AJ378" s="44">
        <f t="shared" si="104"/>
        <v>16016749.611086033</v>
      </c>
      <c r="AK378" s="44">
        <f t="shared" si="104"/>
        <v>5876391.5868338915</v>
      </c>
      <c r="AL378" s="46">
        <f t="shared" si="105"/>
        <v>1.97</v>
      </c>
      <c r="AM378" s="46">
        <f t="shared" si="105"/>
        <v>1.04</v>
      </c>
      <c r="AN378" s="81">
        <f>IFERROR(INDEX(FeeCalc!P:P,MATCH(C378,FeeCalc!F:F,0)),0)</f>
        <v>37225627.289634816</v>
      </c>
      <c r="AO378" s="81">
        <f>IFERROR(INDEX(FeeCalc!S:S,MATCH(C378,FeeCalc!F:F,0)),0)</f>
        <v>2301686.3737339918</v>
      </c>
      <c r="AP378" s="81">
        <f t="shared" si="106"/>
        <v>39527313.663368806</v>
      </c>
      <c r="AQ378" s="68">
        <f t="shared" si="107"/>
        <v>15556053.346846122</v>
      </c>
      <c r="AR378" s="68">
        <f>INDEX('IGT Commitment Suggestions'!H:H,MATCH(G378,'IGT Commitment Suggestions'!A:A,0))*AQ378</f>
        <v>7122378.6827722471</v>
      </c>
    </row>
    <row r="379" spans="1:44">
      <c r="A379" s="103" t="s">
        <v>554</v>
      </c>
      <c r="B379" s="123" t="s">
        <v>554</v>
      </c>
      <c r="C379" s="30" t="s">
        <v>555</v>
      </c>
      <c r="D379" s="124" t="s">
        <v>555</v>
      </c>
      <c r="E379" s="119" t="s">
        <v>2454</v>
      </c>
      <c r="F379" s="99" t="s">
        <v>2283</v>
      </c>
      <c r="G379" s="99" t="s">
        <v>1202</v>
      </c>
      <c r="H379" s="42" t="str">
        <f t="shared" si="93"/>
        <v>Urban Travis</v>
      </c>
      <c r="I379" s="44">
        <f>INDEX(FeeCalc!M:M,MATCH(C:C,FeeCalc!F:F,0))</f>
        <v>1502923.5635569119</v>
      </c>
      <c r="J379" s="44">
        <f>INDEX(FeeCalc!L:L,MATCH(C:C,FeeCalc!F:F,0))</f>
        <v>1593155.9729071311</v>
      </c>
      <c r="K379" s="44">
        <f t="shared" si="94"/>
        <v>3096079.536464043</v>
      </c>
      <c r="L379" s="44">
        <v>740258.97</v>
      </c>
      <c r="M379" s="44">
        <v>844847.07</v>
      </c>
      <c r="N379" s="44">
        <f t="shared" si="95"/>
        <v>1585106.04</v>
      </c>
      <c r="O379" s="44">
        <v>3144125.4734741831</v>
      </c>
      <c r="P379" s="44">
        <v>1112919.0687214064</v>
      </c>
      <c r="Q379" s="44">
        <f t="shared" si="96"/>
        <v>4257044.5421955893</v>
      </c>
      <c r="R379" s="44" t="str">
        <f t="shared" si="97"/>
        <v>Yes</v>
      </c>
      <c r="S379" s="45" t="str">
        <f t="shared" si="97"/>
        <v>Yes</v>
      </c>
      <c r="T379" s="46">
        <f>ROUND(INDEX(Summary!H:H,MATCH(H:H,Summary!A:A,0)),2)</f>
        <v>0.4</v>
      </c>
      <c r="U379" s="46">
        <f>ROUND(INDEX(Summary!I:I,MATCH(H:H,Summary!A:A,0)),2)</f>
        <v>1.03</v>
      </c>
      <c r="V379" s="79">
        <f t="shared" si="98"/>
        <v>601169.42542276473</v>
      </c>
      <c r="W379" s="79">
        <f t="shared" si="98"/>
        <v>1640950.6520943451</v>
      </c>
      <c r="X379" s="44">
        <f t="shared" si="99"/>
        <v>2242120.0775171099</v>
      </c>
      <c r="Y379" s="44" t="s">
        <v>2765</v>
      </c>
      <c r="Z379" s="44" t="str">
        <f t="shared" si="100"/>
        <v>Yes</v>
      </c>
      <c r="AA379" s="44" t="str">
        <f t="shared" si="100"/>
        <v>No</v>
      </c>
      <c r="AB379" s="44" t="str">
        <f t="shared" si="101"/>
        <v>Yes</v>
      </c>
      <c r="AC379" s="80">
        <f t="shared" si="108"/>
        <v>1.18</v>
      </c>
      <c r="AD379" s="80">
        <f t="shared" si="109"/>
        <v>0</v>
      </c>
      <c r="AE379" s="44">
        <f t="shared" si="102"/>
        <v>1773449.8049971559</v>
      </c>
      <c r="AF379" s="44">
        <f t="shared" si="102"/>
        <v>0</v>
      </c>
      <c r="AG379" s="44">
        <f t="shared" si="103"/>
        <v>1773449.8049971559</v>
      </c>
      <c r="AH379" s="46">
        <f>IF(Y379="No",0,IFERROR(ROUNDDOWN(INDEX('90% of ACR'!K:K,MATCH(H:H,'90% of ACR'!A:A,0))*IF(I379&gt;0,IF(O379&gt;0,$R$4*MAX(O379-V379,0),0),0)/I379,2),0))</f>
        <v>1.17</v>
      </c>
      <c r="AI379" s="80">
        <f>IF(Y379="No",0,IFERROR(ROUNDDOWN(INDEX('90% of ACR'!R:R,MATCH(H:H,'90% of ACR'!A:A,0))*IF(J379&gt;0,IF(P379&gt;0,$R$4*MAX(P379-W379,0),0),0)/J379,2),0))</f>
        <v>0</v>
      </c>
      <c r="AJ379" s="44">
        <f t="shared" si="104"/>
        <v>1758420.5693615868</v>
      </c>
      <c r="AK379" s="44">
        <f t="shared" si="104"/>
        <v>0</v>
      </c>
      <c r="AL379" s="46">
        <f t="shared" si="105"/>
        <v>1.5699999999999998</v>
      </c>
      <c r="AM379" s="46">
        <f t="shared" si="105"/>
        <v>1.03</v>
      </c>
      <c r="AN379" s="81">
        <f>IFERROR(INDEX(FeeCalc!P:P,MATCH(C379,FeeCalc!F:F,0)),0)</f>
        <v>4000540.6468786965</v>
      </c>
      <c r="AO379" s="81">
        <f>IFERROR(INDEX(FeeCalc!S:S,MATCH(C379,FeeCalc!F:F,0)),0)</f>
        <v>246115.44629428137</v>
      </c>
      <c r="AP379" s="81">
        <f t="shared" si="106"/>
        <v>4246656.0931729777</v>
      </c>
      <c r="AQ379" s="68">
        <f t="shared" si="107"/>
        <v>1671279.9987804119</v>
      </c>
      <c r="AR379" s="68">
        <f>INDEX('IGT Commitment Suggestions'!H:H,MATCH(G379,'IGT Commitment Suggestions'!A:A,0))*AQ379</f>
        <v>767909.89319435996</v>
      </c>
    </row>
    <row r="380" spans="1:44">
      <c r="A380" s="103" t="s">
        <v>1552</v>
      </c>
      <c r="B380" s="123" t="s">
        <v>1552</v>
      </c>
      <c r="C380" s="30" t="s">
        <v>1697</v>
      </c>
      <c r="D380" s="124" t="s">
        <v>1697</v>
      </c>
      <c r="E380" s="119" t="s">
        <v>2456</v>
      </c>
      <c r="F380" s="99" t="s">
        <v>2283</v>
      </c>
      <c r="G380" s="99" t="s">
        <v>1548</v>
      </c>
      <c r="H380" s="42" t="str">
        <f t="shared" si="93"/>
        <v>Urban Nueces</v>
      </c>
      <c r="I380" s="44">
        <f>INDEX(FeeCalc!M:M,MATCH(C:C,FeeCalc!F:F,0))</f>
        <v>6093419.9188707583</v>
      </c>
      <c r="J380" s="44">
        <f>INDEX(FeeCalc!L:L,MATCH(C:C,FeeCalc!F:F,0))</f>
        <v>3662808.1287110904</v>
      </c>
      <c r="K380" s="44">
        <f t="shared" si="94"/>
        <v>9756228.0475818478</v>
      </c>
      <c r="L380" s="44">
        <v>3960595.58</v>
      </c>
      <c r="M380" s="44">
        <v>2550054.12</v>
      </c>
      <c r="N380" s="44">
        <f t="shared" si="95"/>
        <v>6510649.7000000002</v>
      </c>
      <c r="O380" s="44">
        <v>12278105.60304454</v>
      </c>
      <c r="P380" s="44">
        <v>6442716.0107443072</v>
      </c>
      <c r="Q380" s="44">
        <f t="shared" si="96"/>
        <v>18720821.613788847</v>
      </c>
      <c r="R380" s="44" t="str">
        <f t="shared" si="97"/>
        <v>Yes</v>
      </c>
      <c r="S380" s="45" t="str">
        <f t="shared" si="97"/>
        <v>Yes</v>
      </c>
      <c r="T380" s="46">
        <f>ROUND(INDEX(Summary!H:H,MATCH(H:H,Summary!A:A,0)),2)</f>
        <v>0.33</v>
      </c>
      <c r="U380" s="46">
        <f>ROUND(INDEX(Summary!I:I,MATCH(H:H,Summary!A:A,0)),2)</f>
        <v>0.74</v>
      </c>
      <c r="V380" s="79">
        <f t="shared" si="98"/>
        <v>2010828.5732273504</v>
      </c>
      <c r="W380" s="79">
        <f t="shared" si="98"/>
        <v>2710478.0152462069</v>
      </c>
      <c r="X380" s="44">
        <f t="shared" si="99"/>
        <v>4721306.5884735575</v>
      </c>
      <c r="Y380" s="44" t="s">
        <v>2765</v>
      </c>
      <c r="Z380" s="44" t="str">
        <f t="shared" si="100"/>
        <v>Yes</v>
      </c>
      <c r="AA380" s="44" t="str">
        <f t="shared" si="100"/>
        <v>Yes</v>
      </c>
      <c r="AB380" s="44" t="str">
        <f t="shared" si="101"/>
        <v>Yes</v>
      </c>
      <c r="AC380" s="80">
        <f t="shared" si="108"/>
        <v>1.17</v>
      </c>
      <c r="AD380" s="80">
        <f t="shared" si="109"/>
        <v>0.71</v>
      </c>
      <c r="AE380" s="44">
        <f t="shared" si="102"/>
        <v>7129301.3050787868</v>
      </c>
      <c r="AF380" s="44">
        <f t="shared" si="102"/>
        <v>2600593.7713848739</v>
      </c>
      <c r="AG380" s="44">
        <f t="shared" si="103"/>
        <v>9729895.0764636602</v>
      </c>
      <c r="AH380" s="46">
        <f>IF(Y380="No",0,IFERROR(ROUNDDOWN(INDEX('90% of ACR'!K:K,MATCH(H:H,'90% of ACR'!A:A,0))*IF(I380&gt;0,IF(O380&gt;0,$R$4*MAX(O380-V380,0),0),0)/I380,2),0))</f>
        <v>1.17</v>
      </c>
      <c r="AI380" s="80">
        <f>IF(Y380="No",0,IFERROR(ROUNDDOWN(INDEX('90% of ACR'!R:R,MATCH(H:H,'90% of ACR'!A:A,0))*IF(J380&gt;0,IF(P380&gt;0,$R$4*MAX(P380-W380,0),0),0)/J380,2),0))</f>
        <v>0.63</v>
      </c>
      <c r="AJ380" s="44">
        <f t="shared" si="104"/>
        <v>7129301.3050787868</v>
      </c>
      <c r="AK380" s="44">
        <f t="shared" si="104"/>
        <v>2307569.121087987</v>
      </c>
      <c r="AL380" s="46">
        <f t="shared" si="105"/>
        <v>1.5</v>
      </c>
      <c r="AM380" s="46">
        <f t="shared" si="105"/>
        <v>1.37</v>
      </c>
      <c r="AN380" s="81">
        <f>IFERROR(INDEX(FeeCalc!P:P,MATCH(C380,FeeCalc!F:F,0)),0)</f>
        <v>14158177.014640331</v>
      </c>
      <c r="AO380" s="81">
        <f>IFERROR(INDEX(FeeCalc!S:S,MATCH(C380,FeeCalc!F:F,0)),0)</f>
        <v>874841.34212341008</v>
      </c>
      <c r="AP380" s="81">
        <f t="shared" si="106"/>
        <v>15033018.356763741</v>
      </c>
      <c r="AQ380" s="68">
        <f t="shared" si="107"/>
        <v>5916274.4403410843</v>
      </c>
      <c r="AR380" s="68">
        <f>INDEX('IGT Commitment Suggestions'!H:H,MATCH(G380,'IGT Commitment Suggestions'!A:A,0))*AQ380</f>
        <v>2706122.8824673183</v>
      </c>
    </row>
    <row r="381" spans="1:44">
      <c r="A381" s="103" t="s">
        <v>807</v>
      </c>
      <c r="B381" s="123" t="s">
        <v>807</v>
      </c>
      <c r="C381" s="30" t="s">
        <v>808</v>
      </c>
      <c r="D381" s="124" t="s">
        <v>808</v>
      </c>
      <c r="E381" s="119" t="s">
        <v>2457</v>
      </c>
      <c r="F381" s="99" t="s">
        <v>2283</v>
      </c>
      <c r="G381" s="99" t="s">
        <v>310</v>
      </c>
      <c r="H381" s="42" t="str">
        <f t="shared" si="93"/>
        <v>Urban MRSA Northeast</v>
      </c>
      <c r="I381" s="44">
        <f>INDEX(FeeCalc!M:M,MATCH(C:C,FeeCalc!F:F,0))</f>
        <v>8184112.4585744599</v>
      </c>
      <c r="J381" s="44">
        <f>INDEX(FeeCalc!L:L,MATCH(C:C,FeeCalc!F:F,0))</f>
        <v>2501947.5468643578</v>
      </c>
      <c r="K381" s="44">
        <f t="shared" si="94"/>
        <v>10686060.005438818</v>
      </c>
      <c r="L381" s="44">
        <v>4160571.81</v>
      </c>
      <c r="M381" s="44">
        <v>2922682.92</v>
      </c>
      <c r="N381" s="44">
        <f t="shared" si="95"/>
        <v>7083254.7300000004</v>
      </c>
      <c r="O381" s="44">
        <v>12734523.892687947</v>
      </c>
      <c r="P381" s="44">
        <v>4205731.3158891695</v>
      </c>
      <c r="Q381" s="44">
        <f t="shared" si="96"/>
        <v>16940255.208577115</v>
      </c>
      <c r="R381" s="44" t="str">
        <f t="shared" si="97"/>
        <v>Yes</v>
      </c>
      <c r="S381" s="45" t="str">
        <f t="shared" si="97"/>
        <v>Yes</v>
      </c>
      <c r="T381" s="46">
        <f>ROUND(INDEX(Summary!H:H,MATCH(H:H,Summary!A:A,0)),2)</f>
        <v>0.68</v>
      </c>
      <c r="U381" s="46">
        <f>ROUND(INDEX(Summary!I:I,MATCH(H:H,Summary!A:A,0)),2)</f>
        <v>1.06</v>
      </c>
      <c r="V381" s="79">
        <f t="shared" si="98"/>
        <v>5565196.4718306335</v>
      </c>
      <c r="W381" s="79">
        <f t="shared" si="98"/>
        <v>2652064.3996762196</v>
      </c>
      <c r="X381" s="44">
        <f t="shared" si="99"/>
        <v>8217260.871506853</v>
      </c>
      <c r="Y381" s="44" t="s">
        <v>2765</v>
      </c>
      <c r="Z381" s="44" t="str">
        <f t="shared" si="100"/>
        <v>Yes</v>
      </c>
      <c r="AA381" s="44" t="str">
        <f t="shared" si="100"/>
        <v>Yes</v>
      </c>
      <c r="AB381" s="44" t="str">
        <f t="shared" si="101"/>
        <v>Yes</v>
      </c>
      <c r="AC381" s="80">
        <f t="shared" si="108"/>
        <v>0.61</v>
      </c>
      <c r="AD381" s="80">
        <f t="shared" si="109"/>
        <v>0.43</v>
      </c>
      <c r="AE381" s="44">
        <f t="shared" si="102"/>
        <v>4992308.5997304209</v>
      </c>
      <c r="AF381" s="44">
        <f t="shared" si="102"/>
        <v>1075837.4451516739</v>
      </c>
      <c r="AG381" s="44">
        <f t="shared" si="103"/>
        <v>6068146.0448820945</v>
      </c>
      <c r="AH381" s="46">
        <f>IF(Y381="No",0,IFERROR(ROUNDDOWN(INDEX('90% of ACR'!K:K,MATCH(H:H,'90% of ACR'!A:A,0))*IF(I381&gt;0,IF(O381&gt;0,$R$4*MAX(O381-V381,0),0),0)/I381,2),0))</f>
        <v>0.61</v>
      </c>
      <c r="AI381" s="80">
        <f>IF(Y381="No",0,IFERROR(ROUNDDOWN(INDEX('90% of ACR'!R:R,MATCH(H:H,'90% of ACR'!A:A,0))*IF(J381&gt;0,IF(P381&gt;0,$R$4*MAX(P381-W381,0),0),0)/J381,2),0))</f>
        <v>0.43</v>
      </c>
      <c r="AJ381" s="44">
        <f t="shared" si="104"/>
        <v>4992308.5997304209</v>
      </c>
      <c r="AK381" s="44">
        <f t="shared" si="104"/>
        <v>1075837.4451516739</v>
      </c>
      <c r="AL381" s="46">
        <f t="shared" si="105"/>
        <v>1.29</v>
      </c>
      <c r="AM381" s="46">
        <f t="shared" si="105"/>
        <v>1.49</v>
      </c>
      <c r="AN381" s="81">
        <f>IFERROR(INDEX(FeeCalc!P:P,MATCH(C381,FeeCalc!F:F,0)),0)</f>
        <v>14285406.916388948</v>
      </c>
      <c r="AO381" s="81">
        <f>IFERROR(INDEX(FeeCalc!S:S,MATCH(C381,FeeCalc!F:F,0)),0)</f>
        <v>882261.64221528522</v>
      </c>
      <c r="AP381" s="81">
        <f t="shared" si="106"/>
        <v>15167668.558604233</v>
      </c>
      <c r="AQ381" s="68">
        <f t="shared" si="107"/>
        <v>5969266.2965758136</v>
      </c>
      <c r="AR381" s="68">
        <f>INDEX('IGT Commitment Suggestions'!H:H,MATCH(G381,'IGT Commitment Suggestions'!A:A,0))*AQ381</f>
        <v>2733962.2932352447</v>
      </c>
    </row>
    <row r="382" spans="1:44">
      <c r="A382" s="103" t="s">
        <v>1180</v>
      </c>
      <c r="B382" s="123" t="s">
        <v>1180</v>
      </c>
      <c r="C382" s="30" t="s">
        <v>1181</v>
      </c>
      <c r="D382" s="124" t="s">
        <v>1181</v>
      </c>
      <c r="E382" s="119" t="s">
        <v>2350</v>
      </c>
      <c r="F382" s="99" t="s">
        <v>2295</v>
      </c>
      <c r="G382" s="99" t="s">
        <v>310</v>
      </c>
      <c r="H382" s="42" t="str">
        <f t="shared" si="93"/>
        <v>Rural MRSA Northeast</v>
      </c>
      <c r="I382" s="44">
        <f>INDEX(FeeCalc!M:M,MATCH(C:C,FeeCalc!F:F,0))</f>
        <v>8649807.554847626</v>
      </c>
      <c r="J382" s="44">
        <f>INDEX(FeeCalc!L:L,MATCH(C:C,FeeCalc!F:F,0))</f>
        <v>1960459.3431898719</v>
      </c>
      <c r="K382" s="44">
        <f t="shared" si="94"/>
        <v>10610266.898037497</v>
      </c>
      <c r="L382" s="44">
        <v>-1491124.81</v>
      </c>
      <c r="M382" s="44">
        <v>835821.32</v>
      </c>
      <c r="N382" s="44">
        <f t="shared" si="95"/>
        <v>-655303.49000000011</v>
      </c>
      <c r="O382" s="44">
        <v>4048456.1789713101</v>
      </c>
      <c r="P382" s="44">
        <v>1793434.9185744824</v>
      </c>
      <c r="Q382" s="44">
        <f t="shared" si="96"/>
        <v>5841891.0975457923</v>
      </c>
      <c r="R382" s="44" t="str">
        <f t="shared" si="97"/>
        <v>Yes</v>
      </c>
      <c r="S382" s="45" t="str">
        <f t="shared" si="97"/>
        <v>Yes</v>
      </c>
      <c r="T382" s="46">
        <f>ROUND(INDEX(Summary!H:H,MATCH(H:H,Summary!A:A,0)),2)</f>
        <v>0</v>
      </c>
      <c r="U382" s="46">
        <f>ROUND(INDEX(Summary!I:I,MATCH(H:H,Summary!A:A,0)),2)</f>
        <v>0.32</v>
      </c>
      <c r="V382" s="79">
        <f t="shared" si="98"/>
        <v>0</v>
      </c>
      <c r="W382" s="79">
        <f t="shared" si="98"/>
        <v>627346.98982075904</v>
      </c>
      <c r="X382" s="44">
        <f t="shared" si="99"/>
        <v>627346.98982075904</v>
      </c>
      <c r="Y382" s="44" t="s">
        <v>2765</v>
      </c>
      <c r="Z382" s="44" t="str">
        <f t="shared" si="100"/>
        <v>Yes</v>
      </c>
      <c r="AA382" s="44" t="str">
        <f t="shared" si="100"/>
        <v>Yes</v>
      </c>
      <c r="AB382" s="44" t="str">
        <f t="shared" si="101"/>
        <v>Yes</v>
      </c>
      <c r="AC382" s="80">
        <f t="shared" si="108"/>
        <v>0.33</v>
      </c>
      <c r="AD382" s="80">
        <f t="shared" si="109"/>
        <v>0.41</v>
      </c>
      <c r="AE382" s="44">
        <f t="shared" si="102"/>
        <v>2854436.4930997165</v>
      </c>
      <c r="AF382" s="44">
        <f t="shared" si="102"/>
        <v>803788.33070784737</v>
      </c>
      <c r="AG382" s="44">
        <f t="shared" si="103"/>
        <v>3658224.8238075636</v>
      </c>
      <c r="AH382" s="46">
        <f>IF(Y382="No",0,IFERROR(ROUNDDOWN(INDEX('90% of ACR'!K:K,MATCH(H:H,'90% of ACR'!A:A,0))*IF(I382&gt;0,IF(O382&gt;0,$R$4*MAX(O382-V382,0),0),0)/I382,2),0))</f>
        <v>0.22</v>
      </c>
      <c r="AI382" s="80">
        <f>IF(Y382="No",0,IFERROR(ROUNDDOWN(INDEX('90% of ACR'!R:R,MATCH(H:H,'90% of ACR'!A:A,0))*IF(J382&gt;0,IF(P382&gt;0,$R$4*MAX(P382-W382,0),0),0)/J382,2),0))</f>
        <v>0.41</v>
      </c>
      <c r="AJ382" s="44">
        <f t="shared" si="104"/>
        <v>1902957.6620664778</v>
      </c>
      <c r="AK382" s="44">
        <f t="shared" si="104"/>
        <v>803788.33070784737</v>
      </c>
      <c r="AL382" s="46">
        <f t="shared" si="105"/>
        <v>0.22</v>
      </c>
      <c r="AM382" s="46">
        <f t="shared" si="105"/>
        <v>0.73</v>
      </c>
      <c r="AN382" s="81">
        <f>IFERROR(INDEX(FeeCalc!P:P,MATCH(C382,FeeCalc!F:F,0)),0)</f>
        <v>3334092.9825950842</v>
      </c>
      <c r="AO382" s="81">
        <f>IFERROR(INDEX(FeeCalc!S:S,MATCH(C382,FeeCalc!F:F,0)),0)</f>
        <v>205269.14835888625</v>
      </c>
      <c r="AP382" s="81">
        <f t="shared" si="106"/>
        <v>3539362.1309539704</v>
      </c>
      <c r="AQ382" s="68">
        <f t="shared" si="107"/>
        <v>1392923.0453611971</v>
      </c>
      <c r="AR382" s="68">
        <f>INDEX('IGT Commitment Suggestions'!H:H,MATCH(G382,'IGT Commitment Suggestions'!A:A,0))*AQ382</f>
        <v>637967.69890806172</v>
      </c>
    </row>
    <row r="383" spans="1:44">
      <c r="A383" s="103" t="s">
        <v>2974</v>
      </c>
      <c r="B383" s="123" t="s">
        <v>2974</v>
      </c>
      <c r="C383" s="30" t="s">
        <v>2555</v>
      </c>
      <c r="D383" s="124" t="s">
        <v>2555</v>
      </c>
      <c r="E383" s="119" t="s">
        <v>2556</v>
      </c>
      <c r="F383" s="99" t="s">
        <v>2283</v>
      </c>
      <c r="G383" s="99" t="s">
        <v>223</v>
      </c>
      <c r="H383" s="42" t="str">
        <f t="shared" si="93"/>
        <v>Urban Dallas</v>
      </c>
      <c r="I383" s="44">
        <f>INDEX(FeeCalc!M:M,MATCH(C:C,FeeCalc!F:F,0))</f>
        <v>0</v>
      </c>
      <c r="J383" s="44">
        <f>INDEX(FeeCalc!L:L,MATCH(C:C,FeeCalc!F:F,0))</f>
        <v>0</v>
      </c>
      <c r="K383" s="44">
        <f t="shared" si="94"/>
        <v>0</v>
      </c>
      <c r="L383" s="44">
        <v>0</v>
      </c>
      <c r="M383" s="44">
        <v>0</v>
      </c>
      <c r="N383" s="44">
        <f t="shared" si="95"/>
        <v>0</v>
      </c>
      <c r="O383" s="44">
        <v>0</v>
      </c>
      <c r="P383" s="44">
        <v>0</v>
      </c>
      <c r="Q383" s="44">
        <f t="shared" si="96"/>
        <v>0</v>
      </c>
      <c r="R383" s="44" t="str">
        <f t="shared" si="97"/>
        <v>No</v>
      </c>
      <c r="S383" s="45" t="str">
        <f t="shared" si="97"/>
        <v>No</v>
      </c>
      <c r="T383" s="46">
        <f>ROUND(INDEX(Summary!H:H,MATCH(H:H,Summary!A:A,0)),2)</f>
        <v>0.6</v>
      </c>
      <c r="U383" s="46">
        <f>ROUND(INDEX(Summary!I:I,MATCH(H:H,Summary!A:A,0)),2)</f>
        <v>0.3</v>
      </c>
      <c r="V383" s="79">
        <f t="shared" si="98"/>
        <v>0</v>
      </c>
      <c r="W383" s="79">
        <f t="shared" si="98"/>
        <v>0</v>
      </c>
      <c r="X383" s="44">
        <f t="shared" si="99"/>
        <v>0</v>
      </c>
      <c r="Y383" s="44" t="s">
        <v>2765</v>
      </c>
      <c r="Z383" s="44" t="str">
        <f t="shared" si="100"/>
        <v>No</v>
      </c>
      <c r="AA383" s="44" t="str">
        <f t="shared" si="100"/>
        <v>No</v>
      </c>
      <c r="AB383" s="44" t="str">
        <f t="shared" si="101"/>
        <v>No</v>
      </c>
      <c r="AC383" s="80">
        <f t="shared" si="108"/>
        <v>0</v>
      </c>
      <c r="AD383" s="80">
        <f t="shared" si="109"/>
        <v>0</v>
      </c>
      <c r="AE383" s="44">
        <f t="shared" si="102"/>
        <v>0</v>
      </c>
      <c r="AF383" s="44">
        <f t="shared" si="102"/>
        <v>0</v>
      </c>
      <c r="AG383" s="44">
        <f t="shared" si="103"/>
        <v>0</v>
      </c>
      <c r="AH383" s="46">
        <f>IF(Y383="No",0,IFERROR(ROUNDDOWN(INDEX('90% of ACR'!K:K,MATCH(H:H,'90% of ACR'!A:A,0))*IF(I383&gt;0,IF(O383&gt;0,$R$4*MAX(O383-V383,0),0),0)/I383,2),0))</f>
        <v>0</v>
      </c>
      <c r="AI383" s="80">
        <f>IF(Y383="No",0,IFERROR(ROUNDDOWN(INDEX('90% of ACR'!R:R,MATCH(H:H,'90% of ACR'!A:A,0))*IF(J383&gt;0,IF(P383&gt;0,$R$4*MAX(P383-W383,0),0),0)/J383,2),0))</f>
        <v>0</v>
      </c>
      <c r="AJ383" s="44">
        <f t="shared" si="104"/>
        <v>0</v>
      </c>
      <c r="AK383" s="44">
        <f t="shared" si="104"/>
        <v>0</v>
      </c>
      <c r="AL383" s="46">
        <f t="shared" si="105"/>
        <v>0.6</v>
      </c>
      <c r="AM383" s="46">
        <f t="shared" si="105"/>
        <v>0.3</v>
      </c>
      <c r="AN383" s="81">
        <f>IFERROR(INDEX(FeeCalc!P:P,MATCH(C383,FeeCalc!F:F,0)),0)</f>
        <v>0</v>
      </c>
      <c r="AO383" s="81">
        <f>IFERROR(INDEX(FeeCalc!S:S,MATCH(C383,FeeCalc!F:F,0)),0)</f>
        <v>0</v>
      </c>
      <c r="AP383" s="81">
        <f t="shared" si="106"/>
        <v>0</v>
      </c>
      <c r="AQ383" s="68">
        <f t="shared" si="107"/>
        <v>0</v>
      </c>
      <c r="AR383" s="68">
        <f>INDEX('IGT Commitment Suggestions'!H:H,MATCH(G383,'IGT Commitment Suggestions'!A:A,0))*AQ383</f>
        <v>0</v>
      </c>
    </row>
    <row r="384" spans="1:44">
      <c r="A384" s="103" t="s">
        <v>2554</v>
      </c>
      <c r="B384" s="123" t="s">
        <v>2554</v>
      </c>
      <c r="C384" s="30" t="s">
        <v>2969</v>
      </c>
      <c r="D384" s="124" t="s">
        <v>2969</v>
      </c>
      <c r="E384" s="119" t="s">
        <v>2946</v>
      </c>
      <c r="F384" s="99" t="s">
        <v>2283</v>
      </c>
      <c r="G384" s="99" t="s">
        <v>1365</v>
      </c>
      <c r="H384" s="42" t="str">
        <f t="shared" si="93"/>
        <v>Urban Tarrant</v>
      </c>
      <c r="I384" s="44">
        <f>INDEX(FeeCalc!M:M,MATCH(C:C,FeeCalc!F:F,0))</f>
        <v>0</v>
      </c>
      <c r="J384" s="44">
        <f>INDEX(FeeCalc!L:L,MATCH(C:C,FeeCalc!F:F,0))</f>
        <v>0</v>
      </c>
      <c r="K384" s="44">
        <f t="shared" si="94"/>
        <v>0</v>
      </c>
      <c r="L384" s="44">
        <v>0</v>
      </c>
      <c r="M384" s="44">
        <v>0</v>
      </c>
      <c r="N384" s="44">
        <f t="shared" si="95"/>
        <v>0</v>
      </c>
      <c r="O384" s="44">
        <v>0</v>
      </c>
      <c r="P384" s="44">
        <v>0</v>
      </c>
      <c r="Q384" s="44">
        <f t="shared" si="96"/>
        <v>0</v>
      </c>
      <c r="R384" s="44" t="str">
        <f t="shared" si="97"/>
        <v>No</v>
      </c>
      <c r="S384" s="45" t="str">
        <f t="shared" si="97"/>
        <v>No</v>
      </c>
      <c r="T384" s="46">
        <f>ROUND(INDEX(Summary!H:H,MATCH(H:H,Summary!A:A,0)),2)</f>
        <v>0.84</v>
      </c>
      <c r="U384" s="46">
        <f>ROUND(INDEX(Summary!I:I,MATCH(H:H,Summary!A:A,0)),2)</f>
        <v>0.55000000000000004</v>
      </c>
      <c r="V384" s="79">
        <f t="shared" si="98"/>
        <v>0</v>
      </c>
      <c r="W384" s="79">
        <f t="shared" si="98"/>
        <v>0</v>
      </c>
      <c r="X384" s="44">
        <f t="shared" si="99"/>
        <v>0</v>
      </c>
      <c r="Y384" s="44" t="s">
        <v>2765</v>
      </c>
      <c r="Z384" s="44" t="str">
        <f t="shared" si="100"/>
        <v>No</v>
      </c>
      <c r="AA384" s="44" t="str">
        <f t="shared" si="100"/>
        <v>No</v>
      </c>
      <c r="AB384" s="44" t="str">
        <f t="shared" si="101"/>
        <v>No</v>
      </c>
      <c r="AC384" s="80">
        <f t="shared" si="108"/>
        <v>0</v>
      </c>
      <c r="AD384" s="80">
        <f t="shared" si="109"/>
        <v>0</v>
      </c>
      <c r="AE384" s="44">
        <f t="shared" si="102"/>
        <v>0</v>
      </c>
      <c r="AF384" s="44">
        <f t="shared" si="102"/>
        <v>0</v>
      </c>
      <c r="AG384" s="44">
        <f t="shared" si="103"/>
        <v>0</v>
      </c>
      <c r="AH384" s="46">
        <f>IF(Y384="No",0,IFERROR(ROUNDDOWN(INDEX('90% of ACR'!K:K,MATCH(H:H,'90% of ACR'!A:A,0))*IF(I384&gt;0,IF(O384&gt;0,$R$4*MAX(O384-V384,0),0),0)/I384,2),0))</f>
        <v>0</v>
      </c>
      <c r="AI384" s="80">
        <f>IF(Y384="No",0,IFERROR(ROUNDDOWN(INDEX('90% of ACR'!R:R,MATCH(H:H,'90% of ACR'!A:A,0))*IF(J384&gt;0,IF(P384&gt;0,$R$4*MAX(P384-W384,0),0),0)/J384,2),0))</f>
        <v>0</v>
      </c>
      <c r="AJ384" s="44">
        <f t="shared" si="104"/>
        <v>0</v>
      </c>
      <c r="AK384" s="44">
        <f t="shared" si="104"/>
        <v>0</v>
      </c>
      <c r="AL384" s="46">
        <f t="shared" si="105"/>
        <v>0.84</v>
      </c>
      <c r="AM384" s="46">
        <f t="shared" si="105"/>
        <v>0.55000000000000004</v>
      </c>
      <c r="AN384" s="81">
        <f>IFERROR(INDEX(FeeCalc!P:P,MATCH(C384,FeeCalc!F:F,0)),0)</f>
        <v>0</v>
      </c>
      <c r="AO384" s="81">
        <f>IFERROR(INDEX(FeeCalc!S:S,MATCH(C384,FeeCalc!F:F,0)),0)</f>
        <v>0</v>
      </c>
      <c r="AP384" s="81">
        <f t="shared" si="106"/>
        <v>0</v>
      </c>
      <c r="AQ384" s="68">
        <f t="shared" si="107"/>
        <v>0</v>
      </c>
      <c r="AR384" s="68">
        <f>INDEX('IGT Commitment Suggestions'!H:H,MATCH(G384,'IGT Commitment Suggestions'!A:A,0))*AQ384</f>
        <v>0</v>
      </c>
    </row>
    <row r="385" spans="1:44">
      <c r="A385" s="103" t="s">
        <v>359</v>
      </c>
      <c r="B385" s="123" t="s">
        <v>359</v>
      </c>
      <c r="C385" s="30" t="s">
        <v>360</v>
      </c>
      <c r="D385" s="124" t="s">
        <v>360</v>
      </c>
      <c r="E385" s="119" t="s">
        <v>2703</v>
      </c>
      <c r="F385" s="99" t="s">
        <v>2295</v>
      </c>
      <c r="G385" s="99" t="s">
        <v>227</v>
      </c>
      <c r="H385" s="42" t="str">
        <f t="shared" si="93"/>
        <v>Rural MRSA West</v>
      </c>
      <c r="I385" s="44">
        <f>INDEX(FeeCalc!M:M,MATCH(C:C,FeeCalc!F:F,0))</f>
        <v>1044282.1823532898</v>
      </c>
      <c r="J385" s="44">
        <f>INDEX(FeeCalc!L:L,MATCH(C:C,FeeCalc!F:F,0))</f>
        <v>527733.50267711794</v>
      </c>
      <c r="K385" s="44">
        <f t="shared" si="94"/>
        <v>1572015.6850304077</v>
      </c>
      <c r="L385" s="44">
        <v>347030.31</v>
      </c>
      <c r="M385" s="44">
        <v>11322.26</v>
      </c>
      <c r="N385" s="44">
        <f t="shared" si="95"/>
        <v>358352.57</v>
      </c>
      <c r="O385" s="44">
        <v>-297622.07181151514</v>
      </c>
      <c r="P385" s="44">
        <v>52026.615754496219</v>
      </c>
      <c r="Q385" s="44">
        <f t="shared" si="96"/>
        <v>-245595.45605701892</v>
      </c>
      <c r="R385" s="44" t="str">
        <f t="shared" si="97"/>
        <v>No</v>
      </c>
      <c r="S385" s="45" t="str">
        <f t="shared" si="97"/>
        <v>Yes</v>
      </c>
      <c r="T385" s="46">
        <f>ROUND(INDEX(Summary!H:H,MATCH(H:H,Summary!A:A,0)),2)</f>
        <v>0</v>
      </c>
      <c r="U385" s="46">
        <f>ROUND(INDEX(Summary!I:I,MATCH(H:H,Summary!A:A,0)),2)</f>
        <v>0.18</v>
      </c>
      <c r="V385" s="79">
        <f t="shared" si="98"/>
        <v>0</v>
      </c>
      <c r="W385" s="79">
        <f t="shared" si="98"/>
        <v>94992.030481881229</v>
      </c>
      <c r="X385" s="44">
        <f t="shared" si="99"/>
        <v>94992.030481881229</v>
      </c>
      <c r="Y385" s="44" t="s">
        <v>2765</v>
      </c>
      <c r="Z385" s="44" t="str">
        <f t="shared" si="100"/>
        <v>No</v>
      </c>
      <c r="AA385" s="44" t="str">
        <f t="shared" si="100"/>
        <v>No</v>
      </c>
      <c r="AB385" s="44" t="str">
        <f t="shared" si="101"/>
        <v>No</v>
      </c>
      <c r="AC385" s="80">
        <f t="shared" si="108"/>
        <v>0</v>
      </c>
      <c r="AD385" s="80">
        <f t="shared" si="109"/>
        <v>0</v>
      </c>
      <c r="AE385" s="44">
        <f t="shared" si="102"/>
        <v>0</v>
      </c>
      <c r="AF385" s="44">
        <f t="shared" si="102"/>
        <v>0</v>
      </c>
      <c r="AG385" s="44">
        <f t="shared" si="103"/>
        <v>0</v>
      </c>
      <c r="AH385" s="46">
        <f>IF(Y385="No",0,IFERROR(ROUNDDOWN(INDEX('90% of ACR'!K:K,MATCH(H:H,'90% of ACR'!A:A,0))*IF(I385&gt;0,IF(O385&gt;0,$R$4*MAX(O385-V385,0),0),0)/I385,2),0))</f>
        <v>0</v>
      </c>
      <c r="AI385" s="80">
        <f>IF(Y385="No",0,IFERROR(ROUNDDOWN(INDEX('90% of ACR'!R:R,MATCH(H:H,'90% of ACR'!A:A,0))*IF(J385&gt;0,IF(P385&gt;0,$R$4*MAX(P385-W385,0),0),0)/J385,2),0))</f>
        <v>0</v>
      </c>
      <c r="AJ385" s="44">
        <f t="shared" si="104"/>
        <v>0</v>
      </c>
      <c r="AK385" s="44">
        <f t="shared" si="104"/>
        <v>0</v>
      </c>
      <c r="AL385" s="46">
        <f t="shared" si="105"/>
        <v>0</v>
      </c>
      <c r="AM385" s="46">
        <f t="shared" si="105"/>
        <v>0.18</v>
      </c>
      <c r="AN385" s="81">
        <f>IFERROR(INDEX(FeeCalc!P:P,MATCH(C385,FeeCalc!F:F,0)),0)</f>
        <v>94992.030481881229</v>
      </c>
      <c r="AO385" s="81">
        <f>IFERROR(INDEX(FeeCalc!S:S,MATCH(C385,FeeCalc!F:F,0)),0)</f>
        <v>5816.5305996717207</v>
      </c>
      <c r="AP385" s="81">
        <f t="shared" si="106"/>
        <v>100808.56108155295</v>
      </c>
      <c r="AQ385" s="68">
        <f t="shared" si="107"/>
        <v>39673.410830767323</v>
      </c>
      <c r="AR385" s="68">
        <f>INDEX('IGT Commitment Suggestions'!H:H,MATCH(G385,'IGT Commitment Suggestions'!A:A,0))*AQ385</f>
        <v>19442.496547497591</v>
      </c>
    </row>
    <row r="386" spans="1:44">
      <c r="A386" s="103" t="s">
        <v>911</v>
      </c>
      <c r="B386" s="123" t="s">
        <v>911</v>
      </c>
      <c r="C386" s="30" t="s">
        <v>912</v>
      </c>
      <c r="D386" s="124" t="s">
        <v>912</v>
      </c>
      <c r="E386" s="119" t="s">
        <v>2458</v>
      </c>
      <c r="F386" s="99" t="s">
        <v>2295</v>
      </c>
      <c r="G386" s="99" t="s">
        <v>223</v>
      </c>
      <c r="H386" s="42" t="str">
        <f t="shared" si="93"/>
        <v>Rural Dallas</v>
      </c>
      <c r="I386" s="44">
        <f>INDEX(FeeCalc!M:M,MATCH(C:C,FeeCalc!F:F,0))</f>
        <v>3136408.7450646367</v>
      </c>
      <c r="J386" s="44">
        <f>INDEX(FeeCalc!L:L,MATCH(C:C,FeeCalc!F:F,0))</f>
        <v>2667185.1788784461</v>
      </c>
      <c r="K386" s="44">
        <f t="shared" si="94"/>
        <v>5803593.9239430828</v>
      </c>
      <c r="L386" s="44">
        <v>601030.64</v>
      </c>
      <c r="M386" s="44">
        <v>1230505.1399999999</v>
      </c>
      <c r="N386" s="44">
        <f t="shared" si="95"/>
        <v>1831535.7799999998</v>
      </c>
      <c r="O386" s="44">
        <v>5946203.8490227424</v>
      </c>
      <c r="P386" s="44">
        <v>3596204.7070513051</v>
      </c>
      <c r="Q386" s="44">
        <f t="shared" si="96"/>
        <v>9542408.5560740475</v>
      </c>
      <c r="R386" s="44" t="str">
        <f t="shared" si="97"/>
        <v>Yes</v>
      </c>
      <c r="S386" s="45" t="str">
        <f t="shared" si="97"/>
        <v>Yes</v>
      </c>
      <c r="T386" s="46">
        <f>ROUND(INDEX(Summary!H:H,MATCH(H:H,Summary!A:A,0)),2)</f>
        <v>0.19</v>
      </c>
      <c r="U386" s="46">
        <f>ROUND(INDEX(Summary!I:I,MATCH(H:H,Summary!A:A,0)),2)</f>
        <v>0.46</v>
      </c>
      <c r="V386" s="79">
        <f t="shared" si="98"/>
        <v>595917.66156228096</v>
      </c>
      <c r="W386" s="79">
        <f t="shared" si="98"/>
        <v>1226905.1822840853</v>
      </c>
      <c r="X386" s="44">
        <f t="shared" si="99"/>
        <v>1822822.8438463663</v>
      </c>
      <c r="Y386" s="44" t="s">
        <v>2765</v>
      </c>
      <c r="Z386" s="44" t="str">
        <f t="shared" si="100"/>
        <v>Yes</v>
      </c>
      <c r="AA386" s="44" t="str">
        <f t="shared" si="100"/>
        <v>Yes</v>
      </c>
      <c r="AB386" s="44" t="str">
        <f t="shared" si="101"/>
        <v>Yes</v>
      </c>
      <c r="AC386" s="80">
        <f t="shared" si="108"/>
        <v>1.19</v>
      </c>
      <c r="AD386" s="80">
        <f t="shared" si="109"/>
        <v>0.62</v>
      </c>
      <c r="AE386" s="44">
        <f t="shared" si="102"/>
        <v>3732326.4066269174</v>
      </c>
      <c r="AF386" s="44">
        <f t="shared" si="102"/>
        <v>1653654.8109046365</v>
      </c>
      <c r="AG386" s="44">
        <f t="shared" si="103"/>
        <v>5385981.2175315544</v>
      </c>
      <c r="AH386" s="46">
        <f>IF(Y386="No",0,IFERROR(ROUNDDOWN(INDEX('90% of ACR'!K:K,MATCH(H:H,'90% of ACR'!A:A,0))*IF(I386&gt;0,IF(O386&gt;0,$R$4*MAX(O386-V386,0),0),0)/I386,2),0))</f>
        <v>1.18</v>
      </c>
      <c r="AI386" s="80">
        <f>IF(Y386="No",0,IFERROR(ROUNDDOWN(INDEX('90% of ACR'!R:R,MATCH(H:H,'90% of ACR'!A:A,0))*IF(J386&gt;0,IF(P386&gt;0,$R$4*MAX(P386-W386,0),0),0)/J386,2),0))</f>
        <v>0.61</v>
      </c>
      <c r="AJ386" s="44">
        <f t="shared" si="104"/>
        <v>3700962.3191762711</v>
      </c>
      <c r="AK386" s="44">
        <f t="shared" si="104"/>
        <v>1626982.9591158521</v>
      </c>
      <c r="AL386" s="46">
        <f t="shared" si="105"/>
        <v>1.3699999999999999</v>
      </c>
      <c r="AM386" s="46">
        <f t="shared" si="105"/>
        <v>1.07</v>
      </c>
      <c r="AN386" s="81">
        <f>IFERROR(INDEX(FeeCalc!P:P,MATCH(C386,FeeCalc!F:F,0)),0)</f>
        <v>7150768.12213849</v>
      </c>
      <c r="AO386" s="81">
        <f>IFERROR(INDEX(FeeCalc!S:S,MATCH(C386,FeeCalc!F:F,0)),0)</f>
        <v>442026.19074946549</v>
      </c>
      <c r="AP386" s="81">
        <f t="shared" si="106"/>
        <v>7592794.3128879555</v>
      </c>
      <c r="AQ386" s="68">
        <f t="shared" si="107"/>
        <v>2988159.3874256811</v>
      </c>
      <c r="AR386" s="68">
        <f>INDEX('IGT Commitment Suggestions'!H:H,MATCH(G386,'IGT Commitment Suggestions'!A:A,0))*AQ386</f>
        <v>1366586.0861441458</v>
      </c>
    </row>
    <row r="387" spans="1:44">
      <c r="A387" s="103" t="s">
        <v>16</v>
      </c>
      <c r="B387" s="123" t="s">
        <v>16</v>
      </c>
      <c r="C387" s="30" t="s">
        <v>17</v>
      </c>
      <c r="D387" s="124" t="s">
        <v>17</v>
      </c>
      <c r="E387" s="119" t="s">
        <v>2947</v>
      </c>
      <c r="F387" s="99" t="s">
        <v>2283</v>
      </c>
      <c r="G387" s="99" t="s">
        <v>310</v>
      </c>
      <c r="H387" s="42" t="str">
        <f t="shared" si="93"/>
        <v>Urban MRSA Northeast</v>
      </c>
      <c r="I387" s="44">
        <f>INDEX(FeeCalc!M:M,MATCH(C:C,FeeCalc!F:F,0))</f>
        <v>4478869.8910452016</v>
      </c>
      <c r="J387" s="44">
        <f>INDEX(FeeCalc!L:L,MATCH(C:C,FeeCalc!F:F,0))</f>
        <v>3310883.8924200665</v>
      </c>
      <c r="K387" s="44">
        <f t="shared" si="94"/>
        <v>7789753.7834652681</v>
      </c>
      <c r="L387" s="44">
        <v>1740053.81</v>
      </c>
      <c r="M387" s="44">
        <v>2171987.9500000002</v>
      </c>
      <c r="N387" s="44">
        <f t="shared" si="95"/>
        <v>3912041.7600000002</v>
      </c>
      <c r="O387" s="44">
        <v>4213954.5803609826</v>
      </c>
      <c r="P387" s="44">
        <v>5275710.980001661</v>
      </c>
      <c r="Q387" s="44">
        <f t="shared" si="96"/>
        <v>9489665.5603626445</v>
      </c>
      <c r="R387" s="44" t="str">
        <f t="shared" si="97"/>
        <v>Yes</v>
      </c>
      <c r="S387" s="45" t="str">
        <f t="shared" si="97"/>
        <v>Yes</v>
      </c>
      <c r="T387" s="46">
        <f>ROUND(INDEX(Summary!H:H,MATCH(H:H,Summary!A:A,0)),2)</f>
        <v>0.68</v>
      </c>
      <c r="U387" s="46">
        <f>ROUND(INDEX(Summary!I:I,MATCH(H:H,Summary!A:A,0)),2)</f>
        <v>1.06</v>
      </c>
      <c r="V387" s="79">
        <f t="shared" si="98"/>
        <v>3045631.5259107375</v>
      </c>
      <c r="W387" s="79">
        <f t="shared" si="98"/>
        <v>3509536.9259652705</v>
      </c>
      <c r="X387" s="44">
        <f t="shared" si="99"/>
        <v>6555168.451876008</v>
      </c>
      <c r="Y387" s="44" t="s">
        <v>2765</v>
      </c>
      <c r="Z387" s="44" t="str">
        <f t="shared" si="100"/>
        <v>Yes</v>
      </c>
      <c r="AA387" s="44" t="str">
        <f t="shared" si="100"/>
        <v>Yes</v>
      </c>
      <c r="AB387" s="44" t="str">
        <f t="shared" si="101"/>
        <v>Yes</v>
      </c>
      <c r="AC387" s="80">
        <f t="shared" si="108"/>
        <v>0.18</v>
      </c>
      <c r="AD387" s="80">
        <f t="shared" si="109"/>
        <v>0.37</v>
      </c>
      <c r="AE387" s="44">
        <f t="shared" si="102"/>
        <v>806196.58038813621</v>
      </c>
      <c r="AF387" s="44">
        <f t="shared" si="102"/>
        <v>1225027.0401954246</v>
      </c>
      <c r="AG387" s="44">
        <f t="shared" si="103"/>
        <v>2031223.6205835608</v>
      </c>
      <c r="AH387" s="46">
        <f>IF(Y387="No",0,IFERROR(ROUNDDOWN(INDEX('90% of ACR'!K:K,MATCH(H:H,'90% of ACR'!A:A,0))*IF(I387&gt;0,IF(O387&gt;0,$R$4*MAX(O387-V387,0),0),0)/I387,2),0))</f>
        <v>0.18</v>
      </c>
      <c r="AI387" s="80">
        <f>IF(Y387="No",0,IFERROR(ROUNDDOWN(INDEX('90% of ACR'!R:R,MATCH(H:H,'90% of ACR'!A:A,0))*IF(J387&gt;0,IF(P387&gt;0,$R$4*MAX(P387-W387,0),0),0)/J387,2),0))</f>
        <v>0.37</v>
      </c>
      <c r="AJ387" s="44">
        <f t="shared" si="104"/>
        <v>806196.58038813621</v>
      </c>
      <c r="AK387" s="44">
        <f t="shared" si="104"/>
        <v>1225027.0401954246</v>
      </c>
      <c r="AL387" s="46">
        <f t="shared" si="105"/>
        <v>0.8600000000000001</v>
      </c>
      <c r="AM387" s="46">
        <f t="shared" si="105"/>
        <v>1.4300000000000002</v>
      </c>
      <c r="AN387" s="81">
        <f>IFERROR(INDEX(FeeCalc!P:P,MATCH(C387,FeeCalc!F:F,0)),0)</f>
        <v>8586392.0724595692</v>
      </c>
      <c r="AO387" s="81">
        <f>IFERROR(INDEX(FeeCalc!S:S,MATCH(C387,FeeCalc!F:F,0)),0)</f>
        <v>532104.31825984048</v>
      </c>
      <c r="AP387" s="81">
        <f t="shared" si="106"/>
        <v>9118496.39071941</v>
      </c>
      <c r="AQ387" s="68">
        <f t="shared" si="107"/>
        <v>3588602.4915604051</v>
      </c>
      <c r="AR387" s="68">
        <f>INDEX('IGT Commitment Suggestions'!H:H,MATCH(G387,'IGT Commitment Suggestions'!A:A,0))*AQ387</f>
        <v>1643602.9839989215</v>
      </c>
    </row>
    <row r="388" spans="1:44">
      <c r="A388" s="103" t="s">
        <v>49</v>
      </c>
      <c r="B388" s="123" t="s">
        <v>49</v>
      </c>
      <c r="C388" s="30" t="s">
        <v>50</v>
      </c>
      <c r="D388" s="124" t="s">
        <v>50</v>
      </c>
      <c r="E388" s="119" t="s">
        <v>2948</v>
      </c>
      <c r="F388" s="99" t="s">
        <v>2295</v>
      </c>
      <c r="G388" s="99" t="s">
        <v>310</v>
      </c>
      <c r="H388" s="42" t="str">
        <f t="shared" ref="H388:H411" si="110">CONCATENATE(F388," ",G388)</f>
        <v>Rural MRSA Northeast</v>
      </c>
      <c r="I388" s="44">
        <f>INDEX(FeeCalc!M:M,MATCH(C:C,FeeCalc!F:F,0))</f>
        <v>858596.32776882779</v>
      </c>
      <c r="J388" s="44">
        <f>INDEX(FeeCalc!L:L,MATCH(C:C,FeeCalc!F:F,0))</f>
        <v>963681.38534071925</v>
      </c>
      <c r="K388" s="44">
        <f t="shared" ref="K388:K411" si="111">I388+J388</f>
        <v>1822277.713109547</v>
      </c>
      <c r="L388" s="44">
        <v>-74118.240000000005</v>
      </c>
      <c r="M388" s="44">
        <v>255693.4</v>
      </c>
      <c r="N388" s="44">
        <f t="shared" ref="N388:N411" si="112">+L388+M388</f>
        <v>181575.15999999997</v>
      </c>
      <c r="O388" s="44">
        <v>65011.194936481013</v>
      </c>
      <c r="P388" s="44">
        <v>934230.35432432254</v>
      </c>
      <c r="Q388" s="44">
        <f t="shared" ref="Q388:Q411" si="113">O388+P388</f>
        <v>999241.5492608035</v>
      </c>
      <c r="R388" s="44" t="str">
        <f t="shared" ref="R388:S411" si="114">IF(O388&gt;0,"Yes","No")</f>
        <v>Yes</v>
      </c>
      <c r="S388" s="45" t="str">
        <f t="shared" si="114"/>
        <v>Yes</v>
      </c>
      <c r="T388" s="46">
        <f>ROUND(INDEX(Summary!H:H,MATCH(H:H,Summary!A:A,0)),2)</f>
        <v>0</v>
      </c>
      <c r="U388" s="46">
        <f>ROUND(INDEX(Summary!I:I,MATCH(H:H,Summary!A:A,0)),2)</f>
        <v>0.32</v>
      </c>
      <c r="V388" s="79">
        <f t="shared" ref="V388:W411" si="115">+T388*I388</f>
        <v>0</v>
      </c>
      <c r="W388" s="79">
        <f t="shared" si="115"/>
        <v>308378.04330903018</v>
      </c>
      <c r="X388" s="44">
        <f t="shared" ref="X388:X411" si="116">+V388+W388</f>
        <v>308378.04330903018</v>
      </c>
      <c r="Y388" s="44" t="s">
        <v>2765</v>
      </c>
      <c r="Z388" s="44" t="str">
        <f t="shared" ref="Z388:AA411" si="117">IF(AJ388&gt;0,"Yes","No")</f>
        <v>Yes</v>
      </c>
      <c r="AA388" s="44" t="str">
        <f t="shared" si="117"/>
        <v>Yes</v>
      </c>
      <c r="AB388" s="44" t="str">
        <f t="shared" ref="AB388:AB411" si="118">IF(AG388&gt;0,"Yes","No")</f>
        <v>Yes</v>
      </c>
      <c r="AC388" s="80">
        <f t="shared" si="108"/>
        <v>0.05</v>
      </c>
      <c r="AD388" s="80">
        <f t="shared" si="109"/>
        <v>0.45</v>
      </c>
      <c r="AE388" s="44">
        <f t="shared" ref="AE388:AF411" si="119">AC388*I388</f>
        <v>42929.816388441395</v>
      </c>
      <c r="AF388" s="44">
        <f t="shared" si="119"/>
        <v>433656.6234033237</v>
      </c>
      <c r="AG388" s="44">
        <f t="shared" ref="AG388:AG411" si="120">AE388+AF388</f>
        <v>476586.43979176506</v>
      </c>
      <c r="AH388" s="46">
        <f>IF(Y388="No",0,IFERROR(ROUNDDOWN(INDEX('90% of ACR'!K:K,MATCH(H:H,'90% of ACR'!A:A,0))*IF(I388&gt;0,IF(O388&gt;0,$R$4*MAX(O388-V388,0),0),0)/I388,2),0))</f>
        <v>0.03</v>
      </c>
      <c r="AI388" s="80">
        <f>IF(Y388="No",0,IFERROR(ROUNDDOWN(INDEX('90% of ACR'!R:R,MATCH(H:H,'90% of ACR'!A:A,0))*IF(J388&gt;0,IF(P388&gt;0,$R$4*MAX(P388-W388,0),0),0)/J388,2),0))</f>
        <v>0.45</v>
      </c>
      <c r="AJ388" s="44">
        <f t="shared" ref="AJ388:AK411" si="121">I388*AH388</f>
        <v>25757.889833064834</v>
      </c>
      <c r="AK388" s="44">
        <f t="shared" si="121"/>
        <v>433656.6234033237</v>
      </c>
      <c r="AL388" s="46">
        <f t="shared" ref="AL388:AM411" si="122">T388+AH388</f>
        <v>0.03</v>
      </c>
      <c r="AM388" s="46">
        <f t="shared" si="122"/>
        <v>0.77</v>
      </c>
      <c r="AN388" s="81">
        <f>IFERROR(INDEX(FeeCalc!P:P,MATCH(C388,FeeCalc!F:F,0)),0)</f>
        <v>767792.55654541869</v>
      </c>
      <c r="AO388" s="81">
        <f>IFERROR(INDEX(FeeCalc!S:S,MATCH(C388,FeeCalc!F:F,0)),0)</f>
        <v>47657.284820421643</v>
      </c>
      <c r="AP388" s="81">
        <f t="shared" ref="AP388:AP411" si="123">AN388+AO388</f>
        <v>815449.84136584029</v>
      </c>
      <c r="AQ388" s="68">
        <f t="shared" ref="AQ388:AQ411" si="124">$AQ$3*AP388*1.08</f>
        <v>320921.91596920922</v>
      </c>
      <c r="AR388" s="68">
        <f>INDEX('IGT Commitment Suggestions'!H:H,MATCH(G388,'IGT Commitment Suggestions'!A:A,0))*AQ388</f>
        <v>146984.29819355343</v>
      </c>
    </row>
    <row r="389" spans="1:44">
      <c r="A389" s="103" t="s">
        <v>174</v>
      </c>
      <c r="B389" s="123" t="s">
        <v>174</v>
      </c>
      <c r="C389" s="30" t="s">
        <v>175</v>
      </c>
      <c r="D389" s="124" t="s">
        <v>175</v>
      </c>
      <c r="E389" s="119" t="s">
        <v>2949</v>
      </c>
      <c r="F389" s="99" t="s">
        <v>2295</v>
      </c>
      <c r="G389" s="99" t="s">
        <v>310</v>
      </c>
      <c r="H389" s="42" t="str">
        <f t="shared" si="110"/>
        <v>Rural MRSA Northeast</v>
      </c>
      <c r="I389" s="44">
        <f>INDEX(FeeCalc!M:M,MATCH(C:C,FeeCalc!F:F,0))</f>
        <v>4749383.2110277824</v>
      </c>
      <c r="J389" s="44">
        <f>INDEX(FeeCalc!L:L,MATCH(C:C,FeeCalc!F:F,0))</f>
        <v>3135936.3033521441</v>
      </c>
      <c r="K389" s="44">
        <f t="shared" si="111"/>
        <v>7885319.514379926</v>
      </c>
      <c r="L389" s="44">
        <v>-149124.88</v>
      </c>
      <c r="M389" s="44">
        <v>280287.95</v>
      </c>
      <c r="N389" s="44">
        <f t="shared" si="112"/>
        <v>131163.07</v>
      </c>
      <c r="O389" s="44">
        <v>-161929.65181166772</v>
      </c>
      <c r="P389" s="44">
        <v>1252492.5770327933</v>
      </c>
      <c r="Q389" s="44">
        <f t="shared" si="113"/>
        <v>1090562.9252211256</v>
      </c>
      <c r="R389" s="44" t="str">
        <f t="shared" si="114"/>
        <v>No</v>
      </c>
      <c r="S389" s="45" t="str">
        <f t="shared" si="114"/>
        <v>Yes</v>
      </c>
      <c r="T389" s="46">
        <f>ROUND(INDEX(Summary!H:H,MATCH(H:H,Summary!A:A,0)),2)</f>
        <v>0</v>
      </c>
      <c r="U389" s="46">
        <f>ROUND(INDEX(Summary!I:I,MATCH(H:H,Summary!A:A,0)),2)</f>
        <v>0.32</v>
      </c>
      <c r="V389" s="79">
        <f t="shared" si="115"/>
        <v>0</v>
      </c>
      <c r="W389" s="79">
        <f t="shared" si="115"/>
        <v>1003499.6170726861</v>
      </c>
      <c r="X389" s="44">
        <f t="shared" si="116"/>
        <v>1003499.6170726861</v>
      </c>
      <c r="Y389" s="44" t="s">
        <v>2765</v>
      </c>
      <c r="Z389" s="44" t="str">
        <f t="shared" si="117"/>
        <v>No</v>
      </c>
      <c r="AA389" s="44" t="str">
        <f t="shared" si="117"/>
        <v>Yes</v>
      </c>
      <c r="AB389" s="44" t="str">
        <f t="shared" si="118"/>
        <v>Yes</v>
      </c>
      <c r="AC389" s="80">
        <f t="shared" si="108"/>
        <v>0</v>
      </c>
      <c r="AD389" s="80">
        <f t="shared" si="109"/>
        <v>0.06</v>
      </c>
      <c r="AE389" s="44">
        <f t="shared" si="119"/>
        <v>0</v>
      </c>
      <c r="AF389" s="44">
        <f t="shared" si="119"/>
        <v>188156.17820112864</v>
      </c>
      <c r="AG389" s="44">
        <f t="shared" si="120"/>
        <v>188156.17820112864</v>
      </c>
      <c r="AH389" s="46">
        <f>IF(Y389="No",0,IFERROR(ROUNDDOWN(INDEX('90% of ACR'!K:K,MATCH(H:H,'90% of ACR'!A:A,0))*IF(I389&gt;0,IF(O389&gt;0,$R$4*MAX(O389-V389,0),0),0)/I389,2),0))</f>
        <v>0</v>
      </c>
      <c r="AI389" s="80">
        <f>IF(Y389="No",0,IFERROR(ROUNDDOWN(INDEX('90% of ACR'!R:R,MATCH(H:H,'90% of ACR'!A:A,0))*IF(J389&gt;0,IF(P389&gt;0,$R$4*MAX(P389-W389,0),0),0)/J389,2),0))</f>
        <v>0.05</v>
      </c>
      <c r="AJ389" s="44">
        <f t="shared" si="121"/>
        <v>0</v>
      </c>
      <c r="AK389" s="44">
        <f t="shared" si="121"/>
        <v>156796.81516760722</v>
      </c>
      <c r="AL389" s="46">
        <f t="shared" si="122"/>
        <v>0</v>
      </c>
      <c r="AM389" s="46">
        <f t="shared" si="122"/>
        <v>0.37</v>
      </c>
      <c r="AN389" s="81">
        <f>IFERROR(INDEX(FeeCalc!P:P,MATCH(C389,FeeCalc!F:F,0)),0)</f>
        <v>1160296.4322402934</v>
      </c>
      <c r="AO389" s="81">
        <f>IFERROR(INDEX(FeeCalc!S:S,MATCH(C389,FeeCalc!F:F,0)),0)</f>
        <v>71450.899426690186</v>
      </c>
      <c r="AP389" s="81">
        <f t="shared" si="123"/>
        <v>1231747.3316669837</v>
      </c>
      <c r="AQ389" s="68">
        <f t="shared" si="124"/>
        <v>484756.62587220478</v>
      </c>
      <c r="AR389" s="68">
        <f>INDEX('IGT Commitment Suggestions'!H:H,MATCH(G389,'IGT Commitment Suggestions'!A:A,0))*AQ389</f>
        <v>222021.64733223512</v>
      </c>
    </row>
    <row r="390" spans="1:44">
      <c r="A390" s="103" t="s">
        <v>192</v>
      </c>
      <c r="B390" s="123" t="s">
        <v>192</v>
      </c>
      <c r="C390" s="30" t="s">
        <v>193</v>
      </c>
      <c r="D390" s="124" t="s">
        <v>193</v>
      </c>
      <c r="E390" s="119" t="s">
        <v>2950</v>
      </c>
      <c r="F390" s="99" t="s">
        <v>2295</v>
      </c>
      <c r="G390" s="99" t="s">
        <v>310</v>
      </c>
      <c r="H390" s="42" t="str">
        <f t="shared" si="110"/>
        <v>Rural MRSA Northeast</v>
      </c>
      <c r="I390" s="44">
        <f>INDEX(FeeCalc!M:M,MATCH(C:C,FeeCalc!F:F,0))</f>
        <v>5274607.4014895093</v>
      </c>
      <c r="J390" s="44">
        <f>INDEX(FeeCalc!L:L,MATCH(C:C,FeeCalc!F:F,0))</f>
        <v>2992720.0965674203</v>
      </c>
      <c r="K390" s="44">
        <f t="shared" si="111"/>
        <v>8267327.4980569296</v>
      </c>
      <c r="L390" s="44">
        <v>-724423.21</v>
      </c>
      <c r="M390" s="44">
        <v>351413.46</v>
      </c>
      <c r="N390" s="44">
        <f t="shared" si="112"/>
        <v>-373009.74999999994</v>
      </c>
      <c r="O390" s="44">
        <v>-200105.65726694139</v>
      </c>
      <c r="P390" s="44">
        <v>1237086.9913985222</v>
      </c>
      <c r="Q390" s="44">
        <f t="shared" si="113"/>
        <v>1036981.3341315808</v>
      </c>
      <c r="R390" s="44" t="str">
        <f t="shared" si="114"/>
        <v>No</v>
      </c>
      <c r="S390" s="45" t="str">
        <f t="shared" si="114"/>
        <v>Yes</v>
      </c>
      <c r="T390" s="46">
        <f>ROUND(INDEX(Summary!H:H,MATCH(H:H,Summary!A:A,0)),2)</f>
        <v>0</v>
      </c>
      <c r="U390" s="46">
        <f>ROUND(INDEX(Summary!I:I,MATCH(H:H,Summary!A:A,0)),2)</f>
        <v>0.32</v>
      </c>
      <c r="V390" s="79">
        <f t="shared" si="115"/>
        <v>0</v>
      </c>
      <c r="W390" s="79">
        <f t="shared" si="115"/>
        <v>957670.43090157455</v>
      </c>
      <c r="X390" s="44">
        <f t="shared" si="116"/>
        <v>957670.43090157455</v>
      </c>
      <c r="Y390" s="44" t="s">
        <v>2765</v>
      </c>
      <c r="Z390" s="44" t="str">
        <f t="shared" si="117"/>
        <v>No</v>
      </c>
      <c r="AA390" s="44" t="str">
        <f t="shared" si="117"/>
        <v>Yes</v>
      </c>
      <c r="AB390" s="44" t="str">
        <f t="shared" si="118"/>
        <v>Yes</v>
      </c>
      <c r="AC390" s="80">
        <f t="shared" ref="AC390:AC411" si="125">IF(Y390="No",0,IFERROR(ROUND(IF(I390&gt;0,IF(O390&gt;0,$R$4*MAX(O390-V390,0),0),0)/I390,2),0))</f>
        <v>0</v>
      </c>
      <c r="AD390" s="80">
        <f t="shared" ref="AD390:AD411" si="126">IF(Y390="No",0,IFERROR(ROUND(IF(J390&gt;0,IF(P390&gt;0,$R$4*MAX(P390-W390,0),0),0)/J390,2),0))</f>
        <v>7.0000000000000007E-2</v>
      </c>
      <c r="AE390" s="44">
        <f t="shared" si="119"/>
        <v>0</v>
      </c>
      <c r="AF390" s="44">
        <f t="shared" si="119"/>
        <v>209490.40675971945</v>
      </c>
      <c r="AG390" s="44">
        <f t="shared" si="120"/>
        <v>209490.40675971945</v>
      </c>
      <c r="AH390" s="46">
        <f>IF(Y390="No",0,IFERROR(ROUNDDOWN(INDEX('90% of ACR'!K:K,MATCH(H:H,'90% of ACR'!A:A,0))*IF(I390&gt;0,IF(O390&gt;0,$R$4*MAX(O390-V390,0),0),0)/I390,2),0))</f>
        <v>0</v>
      </c>
      <c r="AI390" s="80">
        <f>IF(Y390="No",0,IFERROR(ROUNDDOWN(INDEX('90% of ACR'!R:R,MATCH(H:H,'90% of ACR'!A:A,0))*IF(J390&gt;0,IF(P390&gt;0,$R$4*MAX(P390-W390,0),0),0)/J390,2),0))</f>
        <v>0.06</v>
      </c>
      <c r="AJ390" s="44">
        <f t="shared" si="121"/>
        <v>0</v>
      </c>
      <c r="AK390" s="44">
        <f t="shared" si="121"/>
        <v>179563.20579404521</v>
      </c>
      <c r="AL390" s="46">
        <f t="shared" si="122"/>
        <v>0</v>
      </c>
      <c r="AM390" s="46">
        <f t="shared" si="122"/>
        <v>0.38</v>
      </c>
      <c r="AN390" s="81">
        <f>IFERROR(INDEX(FeeCalc!P:P,MATCH(C390,FeeCalc!F:F,0)),0)</f>
        <v>1137233.6366956197</v>
      </c>
      <c r="AO390" s="81">
        <f>IFERROR(INDEX(FeeCalc!S:S,MATCH(C390,FeeCalc!F:F,0)),0)</f>
        <v>69894.982788201174</v>
      </c>
      <c r="AP390" s="81">
        <f t="shared" si="123"/>
        <v>1207128.6194838209</v>
      </c>
      <c r="AQ390" s="68">
        <f t="shared" si="124"/>
        <v>475067.8824550967</v>
      </c>
      <c r="AR390" s="68">
        <f>INDEX('IGT Commitment Suggestions'!H:H,MATCH(G390,'IGT Commitment Suggestions'!A:A,0))*AQ390</f>
        <v>217584.14063456951</v>
      </c>
    </row>
    <row r="391" spans="1:44">
      <c r="A391" s="103" t="s">
        <v>320</v>
      </c>
      <c r="B391" s="123" t="s">
        <v>320</v>
      </c>
      <c r="C391" s="30" t="s">
        <v>321</v>
      </c>
      <c r="D391" s="124" t="s">
        <v>321</v>
      </c>
      <c r="E391" s="119" t="s">
        <v>2951</v>
      </c>
      <c r="F391" s="99" t="s">
        <v>2295</v>
      </c>
      <c r="G391" s="99" t="s">
        <v>310</v>
      </c>
      <c r="H391" s="42" t="str">
        <f t="shared" si="110"/>
        <v>Rural MRSA Northeast</v>
      </c>
      <c r="I391" s="44">
        <f>INDEX(FeeCalc!M:M,MATCH(C:C,FeeCalc!F:F,0))</f>
        <v>538121.03780578519</v>
      </c>
      <c r="J391" s="44">
        <f>INDEX(FeeCalc!L:L,MATCH(C:C,FeeCalc!F:F,0))</f>
        <v>1692919.6520090171</v>
      </c>
      <c r="K391" s="44">
        <f t="shared" si="111"/>
        <v>2231040.6898148023</v>
      </c>
      <c r="L391" s="44">
        <v>44724.04</v>
      </c>
      <c r="M391" s="44">
        <v>-257642.69</v>
      </c>
      <c r="N391" s="44">
        <f t="shared" si="112"/>
        <v>-212918.65</v>
      </c>
      <c r="O391" s="44">
        <v>-4924.777457364602</v>
      </c>
      <c r="P391" s="44">
        <v>828023.65857645101</v>
      </c>
      <c r="Q391" s="44">
        <f t="shared" si="113"/>
        <v>823098.88111908641</v>
      </c>
      <c r="R391" s="44" t="str">
        <f t="shared" si="114"/>
        <v>No</v>
      </c>
      <c r="S391" s="45" t="str">
        <f t="shared" si="114"/>
        <v>Yes</v>
      </c>
      <c r="T391" s="46">
        <f>ROUND(INDEX(Summary!H:H,MATCH(H:H,Summary!A:A,0)),2)</f>
        <v>0</v>
      </c>
      <c r="U391" s="46">
        <f>ROUND(INDEX(Summary!I:I,MATCH(H:H,Summary!A:A,0)),2)</f>
        <v>0.32</v>
      </c>
      <c r="V391" s="79">
        <f t="shared" si="115"/>
        <v>0</v>
      </c>
      <c r="W391" s="79">
        <f t="shared" si="115"/>
        <v>541734.28864288551</v>
      </c>
      <c r="X391" s="44">
        <f t="shared" si="116"/>
        <v>541734.28864288551</v>
      </c>
      <c r="Y391" s="44" t="s">
        <v>2765</v>
      </c>
      <c r="Z391" s="44" t="str">
        <f t="shared" si="117"/>
        <v>No</v>
      </c>
      <c r="AA391" s="44" t="str">
        <f t="shared" si="117"/>
        <v>Yes</v>
      </c>
      <c r="AB391" s="44" t="str">
        <f t="shared" si="118"/>
        <v>Yes</v>
      </c>
      <c r="AC391" s="80">
        <f t="shared" si="125"/>
        <v>0</v>
      </c>
      <c r="AD391" s="80">
        <f t="shared" si="126"/>
        <v>0.12</v>
      </c>
      <c r="AE391" s="44">
        <f t="shared" si="119"/>
        <v>0</v>
      </c>
      <c r="AF391" s="44">
        <f t="shared" si="119"/>
        <v>203150.35824108205</v>
      </c>
      <c r="AG391" s="44">
        <f t="shared" si="120"/>
        <v>203150.35824108205</v>
      </c>
      <c r="AH391" s="46">
        <f>IF(Y391="No",0,IFERROR(ROUNDDOWN(INDEX('90% of ACR'!K:K,MATCH(H:H,'90% of ACR'!A:A,0))*IF(I391&gt;0,IF(O391&gt;0,$R$4*MAX(O391-V391,0),0),0)/I391,2),0))</f>
        <v>0</v>
      </c>
      <c r="AI391" s="80">
        <f>IF(Y391="No",0,IFERROR(ROUNDDOWN(INDEX('90% of ACR'!R:R,MATCH(H:H,'90% of ACR'!A:A,0))*IF(J391&gt;0,IF(P391&gt;0,$R$4*MAX(P391-W391,0),0),0)/J391,2),0))</f>
        <v>0.11</v>
      </c>
      <c r="AJ391" s="44">
        <f t="shared" si="121"/>
        <v>0</v>
      </c>
      <c r="AK391" s="44">
        <f t="shared" si="121"/>
        <v>186221.16172099189</v>
      </c>
      <c r="AL391" s="46">
        <f t="shared" si="122"/>
        <v>0</v>
      </c>
      <c r="AM391" s="46">
        <f t="shared" si="122"/>
        <v>0.43</v>
      </c>
      <c r="AN391" s="81">
        <f>IFERROR(INDEX(FeeCalc!P:P,MATCH(C391,FeeCalc!F:F,0)),0)</f>
        <v>727955.45036387735</v>
      </c>
      <c r="AO391" s="81">
        <f>IFERROR(INDEX(FeeCalc!S:S,MATCH(C391,FeeCalc!F:F,0)),0)</f>
        <v>44985.560811707102</v>
      </c>
      <c r="AP391" s="81">
        <f t="shared" si="123"/>
        <v>772941.0111755844</v>
      </c>
      <c r="AQ391" s="68">
        <f t="shared" si="124"/>
        <v>304192.48083017359</v>
      </c>
      <c r="AR391" s="68">
        <f>INDEX('IGT Commitment Suggestions'!H:H,MATCH(G391,'IGT Commitment Suggestions'!A:A,0))*AQ391</f>
        <v>139322.10947808519</v>
      </c>
    </row>
    <row r="392" spans="1:44">
      <c r="A392" s="103" t="s">
        <v>356</v>
      </c>
      <c r="B392" s="123" t="s">
        <v>356</v>
      </c>
      <c r="C392" s="30" t="s">
        <v>357</v>
      </c>
      <c r="D392" s="124" t="s">
        <v>357</v>
      </c>
      <c r="E392" s="119" t="s">
        <v>2952</v>
      </c>
      <c r="F392" s="99" t="s">
        <v>2295</v>
      </c>
      <c r="G392" s="99" t="s">
        <v>310</v>
      </c>
      <c r="H392" s="42" t="str">
        <f t="shared" si="110"/>
        <v>Rural MRSA Northeast</v>
      </c>
      <c r="I392" s="44">
        <f>INDEX(FeeCalc!M:M,MATCH(C:C,FeeCalc!F:F,0))</f>
        <v>272371.47505961708</v>
      </c>
      <c r="J392" s="44">
        <f>INDEX(FeeCalc!L:L,MATCH(C:C,FeeCalc!F:F,0))</f>
        <v>819784.22705053538</v>
      </c>
      <c r="K392" s="44">
        <f t="shared" si="111"/>
        <v>1092155.7021101525</v>
      </c>
      <c r="L392" s="44">
        <v>46086.03</v>
      </c>
      <c r="M392" s="44">
        <v>-220045.22</v>
      </c>
      <c r="N392" s="44">
        <f t="shared" si="112"/>
        <v>-173959.19</v>
      </c>
      <c r="O392" s="44">
        <v>283294.3754971872</v>
      </c>
      <c r="P392" s="44">
        <v>517240.16524738848</v>
      </c>
      <c r="Q392" s="44">
        <f t="shared" si="113"/>
        <v>800534.54074457567</v>
      </c>
      <c r="R392" s="44" t="str">
        <f t="shared" si="114"/>
        <v>Yes</v>
      </c>
      <c r="S392" s="45" t="str">
        <f t="shared" si="114"/>
        <v>Yes</v>
      </c>
      <c r="T392" s="46">
        <f>ROUND(INDEX(Summary!H:H,MATCH(H:H,Summary!A:A,0)),2)</f>
        <v>0</v>
      </c>
      <c r="U392" s="46">
        <f>ROUND(INDEX(Summary!I:I,MATCH(H:H,Summary!A:A,0)),2)</f>
        <v>0.32</v>
      </c>
      <c r="V392" s="79">
        <f t="shared" si="115"/>
        <v>0</v>
      </c>
      <c r="W392" s="79">
        <f t="shared" si="115"/>
        <v>262330.95265617134</v>
      </c>
      <c r="X392" s="44">
        <f t="shared" si="116"/>
        <v>262330.95265617134</v>
      </c>
      <c r="Y392" s="44" t="s">
        <v>2765</v>
      </c>
      <c r="Z392" s="44" t="str">
        <f t="shared" si="117"/>
        <v>Yes</v>
      </c>
      <c r="AA392" s="44" t="str">
        <f t="shared" si="117"/>
        <v>Yes</v>
      </c>
      <c r="AB392" s="44" t="str">
        <f t="shared" si="118"/>
        <v>Yes</v>
      </c>
      <c r="AC392" s="80">
        <f t="shared" si="125"/>
        <v>0.72</v>
      </c>
      <c r="AD392" s="80">
        <f t="shared" si="126"/>
        <v>0.22</v>
      </c>
      <c r="AE392" s="44">
        <f t="shared" si="119"/>
        <v>196107.46204292428</v>
      </c>
      <c r="AF392" s="44">
        <f t="shared" si="119"/>
        <v>180352.52995111779</v>
      </c>
      <c r="AG392" s="44">
        <f t="shared" si="120"/>
        <v>376459.99199404207</v>
      </c>
      <c r="AH392" s="46">
        <f>IF(Y392="No",0,IFERROR(ROUNDDOWN(INDEX('90% of ACR'!K:K,MATCH(H:H,'90% of ACR'!A:A,0))*IF(I392&gt;0,IF(O392&gt;0,$R$4*MAX(O392-V392,0),0),0)/I392,2),0))</f>
        <v>0.49</v>
      </c>
      <c r="AI392" s="80">
        <f>IF(Y392="No",0,IFERROR(ROUNDDOWN(INDEX('90% of ACR'!R:R,MATCH(H:H,'90% of ACR'!A:A,0))*IF(J392&gt;0,IF(P392&gt;0,$R$4*MAX(P392-W392,0),0),0)/J392,2),0))</f>
        <v>0.21</v>
      </c>
      <c r="AJ392" s="44">
        <f t="shared" si="121"/>
        <v>133462.02277921236</v>
      </c>
      <c r="AK392" s="44">
        <f t="shared" si="121"/>
        <v>172154.68768061243</v>
      </c>
      <c r="AL392" s="46">
        <f t="shared" si="122"/>
        <v>0.49</v>
      </c>
      <c r="AM392" s="46">
        <f t="shared" si="122"/>
        <v>0.53</v>
      </c>
      <c r="AN392" s="81">
        <f>IFERROR(INDEX(FeeCalc!P:P,MATCH(C392,FeeCalc!F:F,0)),0)</f>
        <v>567947.66311599617</v>
      </c>
      <c r="AO392" s="81">
        <f>IFERROR(INDEX(FeeCalc!S:S,MATCH(C392,FeeCalc!F:F,0)),0)</f>
        <v>35346.438457239441</v>
      </c>
      <c r="AP392" s="81">
        <f t="shared" si="123"/>
        <v>603294.10157323559</v>
      </c>
      <c r="AQ392" s="68">
        <f t="shared" si="124"/>
        <v>237427.60026235002</v>
      </c>
      <c r="AR392" s="68">
        <f>INDEX('IGT Commitment Suggestions'!H:H,MATCH(G392,'IGT Commitment Suggestions'!A:A,0))*AQ392</f>
        <v>108743.36547239532</v>
      </c>
    </row>
    <row r="393" spans="1:44">
      <c r="A393" s="103" t="s">
        <v>1500</v>
      </c>
      <c r="B393" s="123" t="s">
        <v>1500</v>
      </c>
      <c r="C393" s="30" t="s">
        <v>1501</v>
      </c>
      <c r="D393" s="124" t="s">
        <v>1501</v>
      </c>
      <c r="E393" s="119" t="s">
        <v>2953</v>
      </c>
      <c r="F393" s="99" t="s">
        <v>2283</v>
      </c>
      <c r="G393" s="99" t="s">
        <v>310</v>
      </c>
      <c r="H393" s="42" t="str">
        <f t="shared" si="110"/>
        <v>Urban MRSA Northeast</v>
      </c>
      <c r="I393" s="44">
        <f>INDEX(FeeCalc!M:M,MATCH(C:C,FeeCalc!F:F,0))</f>
        <v>43358.064811141216</v>
      </c>
      <c r="J393" s="44">
        <f>INDEX(FeeCalc!L:L,MATCH(C:C,FeeCalc!F:F,0))</f>
        <v>165754.63874317936</v>
      </c>
      <c r="K393" s="44">
        <f t="shared" si="111"/>
        <v>209112.70355432056</v>
      </c>
      <c r="L393" s="44">
        <v>-9636.84</v>
      </c>
      <c r="M393" s="44">
        <v>0</v>
      </c>
      <c r="N393" s="44">
        <f t="shared" si="112"/>
        <v>-9636.84</v>
      </c>
      <c r="O393" s="44">
        <v>-9143.9274089370974</v>
      </c>
      <c r="P393" s="44">
        <v>0</v>
      </c>
      <c r="Q393" s="44">
        <f t="shared" si="113"/>
        <v>-9143.9274089370974</v>
      </c>
      <c r="R393" s="44" t="str">
        <f t="shared" si="114"/>
        <v>No</v>
      </c>
      <c r="S393" s="45" t="str">
        <f t="shared" si="114"/>
        <v>No</v>
      </c>
      <c r="T393" s="46">
        <f>ROUND(INDEX(Summary!H:H,MATCH(H:H,Summary!A:A,0)),2)</f>
        <v>0.68</v>
      </c>
      <c r="U393" s="46">
        <f>ROUND(INDEX(Summary!I:I,MATCH(H:H,Summary!A:A,0)),2)</f>
        <v>1.06</v>
      </c>
      <c r="V393" s="79">
        <f t="shared" si="115"/>
        <v>29483.484071576029</v>
      </c>
      <c r="W393" s="79">
        <f t="shared" si="115"/>
        <v>175699.91706777012</v>
      </c>
      <c r="X393" s="44">
        <f t="shared" si="116"/>
        <v>205183.40113934616</v>
      </c>
      <c r="Y393" s="44" t="s">
        <v>2765</v>
      </c>
      <c r="Z393" s="44" t="str">
        <f t="shared" si="117"/>
        <v>No</v>
      </c>
      <c r="AA393" s="44" t="str">
        <f t="shared" si="117"/>
        <v>No</v>
      </c>
      <c r="AB393" s="44" t="str">
        <f t="shared" si="118"/>
        <v>No</v>
      </c>
      <c r="AC393" s="80">
        <f t="shared" si="125"/>
        <v>0</v>
      </c>
      <c r="AD393" s="80">
        <f t="shared" si="126"/>
        <v>0</v>
      </c>
      <c r="AE393" s="44">
        <f t="shared" si="119"/>
        <v>0</v>
      </c>
      <c r="AF393" s="44">
        <f t="shared" si="119"/>
        <v>0</v>
      </c>
      <c r="AG393" s="44">
        <f t="shared" si="120"/>
        <v>0</v>
      </c>
      <c r="AH393" s="46">
        <f>IF(Y393="No",0,IFERROR(ROUNDDOWN(INDEX('90% of ACR'!K:K,MATCH(H:H,'90% of ACR'!A:A,0))*IF(I393&gt;0,IF(O393&gt;0,$R$4*MAX(O393-V393,0),0),0)/I393,2),0))</f>
        <v>0</v>
      </c>
      <c r="AI393" s="80">
        <f>IF(Y393="No",0,IFERROR(ROUNDDOWN(INDEX('90% of ACR'!R:R,MATCH(H:H,'90% of ACR'!A:A,0))*IF(J393&gt;0,IF(P393&gt;0,$R$4*MAX(P393-W393,0),0),0)/J393,2),0))</f>
        <v>0</v>
      </c>
      <c r="AJ393" s="44">
        <f t="shared" si="121"/>
        <v>0</v>
      </c>
      <c r="AK393" s="44">
        <f t="shared" si="121"/>
        <v>0</v>
      </c>
      <c r="AL393" s="46">
        <f t="shared" si="122"/>
        <v>0.68</v>
      </c>
      <c r="AM393" s="46">
        <f t="shared" si="122"/>
        <v>1.06</v>
      </c>
      <c r="AN393" s="81">
        <f>IFERROR(INDEX(FeeCalc!P:P,MATCH(C393,FeeCalc!F:F,0)),0)</f>
        <v>205183.40113934616</v>
      </c>
      <c r="AO393" s="81">
        <f>IFERROR(INDEX(FeeCalc!S:S,MATCH(C393,FeeCalc!F:F,0)),0)</f>
        <v>12781.33568833203</v>
      </c>
      <c r="AP393" s="81">
        <f t="shared" si="123"/>
        <v>217964.73682767819</v>
      </c>
      <c r="AQ393" s="68">
        <f t="shared" si="124"/>
        <v>85780.458108006409</v>
      </c>
      <c r="AR393" s="68">
        <f>INDEX('IGT Commitment Suggestions'!H:H,MATCH(G393,'IGT Commitment Suggestions'!A:A,0))*AQ393</f>
        <v>39288.000620489067</v>
      </c>
    </row>
    <row r="394" spans="1:44">
      <c r="A394" s="103" t="s">
        <v>459</v>
      </c>
      <c r="B394" s="123" t="s">
        <v>459</v>
      </c>
      <c r="C394" s="30" t="s">
        <v>460</v>
      </c>
      <c r="D394" s="124" t="s">
        <v>460</v>
      </c>
      <c r="E394" s="119" t="s">
        <v>2954</v>
      </c>
      <c r="F394" s="99" t="s">
        <v>2283</v>
      </c>
      <c r="G394" s="99" t="s">
        <v>310</v>
      </c>
      <c r="H394" s="42" t="str">
        <f t="shared" si="110"/>
        <v>Urban MRSA Northeast</v>
      </c>
      <c r="I394" s="44">
        <f>INDEX(FeeCalc!M:M,MATCH(C:C,FeeCalc!F:F,0))</f>
        <v>11356363.008865714</v>
      </c>
      <c r="J394" s="44">
        <f>INDEX(FeeCalc!L:L,MATCH(C:C,FeeCalc!F:F,0))</f>
        <v>4132324.7500781957</v>
      </c>
      <c r="K394" s="44">
        <f t="shared" si="111"/>
        <v>15488687.75894391</v>
      </c>
      <c r="L394" s="44">
        <v>6071582.4299999997</v>
      </c>
      <c r="M394" s="44">
        <v>4875228.2699999996</v>
      </c>
      <c r="N394" s="44">
        <f t="shared" si="112"/>
        <v>10946810.699999999</v>
      </c>
      <c r="O394" s="44">
        <v>25585786.483520813</v>
      </c>
      <c r="P394" s="44">
        <v>7441586.7118407674</v>
      </c>
      <c r="Q394" s="44">
        <f t="shared" si="113"/>
        <v>33027373.195361581</v>
      </c>
      <c r="R394" s="44" t="str">
        <f t="shared" si="114"/>
        <v>Yes</v>
      </c>
      <c r="S394" s="45" t="str">
        <f t="shared" si="114"/>
        <v>Yes</v>
      </c>
      <c r="T394" s="46">
        <f>ROUND(INDEX(Summary!H:H,MATCH(H:H,Summary!A:A,0)),2)</f>
        <v>0.68</v>
      </c>
      <c r="U394" s="46">
        <f>ROUND(INDEX(Summary!I:I,MATCH(H:H,Summary!A:A,0)),2)</f>
        <v>1.06</v>
      </c>
      <c r="V394" s="79">
        <f t="shared" si="115"/>
        <v>7722326.8460286865</v>
      </c>
      <c r="W394" s="79">
        <f t="shared" si="115"/>
        <v>4380264.235082888</v>
      </c>
      <c r="X394" s="44">
        <f t="shared" si="116"/>
        <v>12102591.081111575</v>
      </c>
      <c r="Y394" s="44" t="s">
        <v>2765</v>
      </c>
      <c r="Z394" s="44" t="str">
        <f t="shared" si="117"/>
        <v>Yes</v>
      </c>
      <c r="AA394" s="44" t="str">
        <f t="shared" si="117"/>
        <v>Yes</v>
      </c>
      <c r="AB394" s="44" t="str">
        <f t="shared" si="118"/>
        <v>Yes</v>
      </c>
      <c r="AC394" s="80">
        <f t="shared" si="125"/>
        <v>1.1000000000000001</v>
      </c>
      <c r="AD394" s="80">
        <f t="shared" si="126"/>
        <v>0.52</v>
      </c>
      <c r="AE394" s="44">
        <f t="shared" si="119"/>
        <v>12491999.309752287</v>
      </c>
      <c r="AF394" s="44">
        <f t="shared" si="119"/>
        <v>2148808.8700406617</v>
      </c>
      <c r="AG394" s="44">
        <f t="shared" si="120"/>
        <v>14640808.179792948</v>
      </c>
      <c r="AH394" s="46">
        <f>IF(Y394="No",0,IFERROR(ROUNDDOWN(INDEX('90% of ACR'!K:K,MATCH(H:H,'90% of ACR'!A:A,0))*IF(I394&gt;0,IF(O394&gt;0,$R$4*MAX(O394-V394,0),0),0)/I394,2),0))</f>
        <v>1.0900000000000001</v>
      </c>
      <c r="AI394" s="80">
        <f>IF(Y394="No",0,IFERROR(ROUNDDOWN(INDEX('90% of ACR'!R:R,MATCH(H:H,'90% of ACR'!A:A,0))*IF(J394&gt;0,IF(P394&gt;0,$R$4*MAX(P394-W394,0),0),0)/J394,2),0))</f>
        <v>0.51</v>
      </c>
      <c r="AJ394" s="44">
        <f t="shared" si="121"/>
        <v>12378435.679663628</v>
      </c>
      <c r="AK394" s="44">
        <f t="shared" si="121"/>
        <v>2107485.6225398798</v>
      </c>
      <c r="AL394" s="46">
        <f t="shared" si="122"/>
        <v>1.77</v>
      </c>
      <c r="AM394" s="46">
        <f t="shared" si="122"/>
        <v>1.57</v>
      </c>
      <c r="AN394" s="81">
        <f>IFERROR(INDEX(FeeCalc!P:P,MATCH(C394,FeeCalc!F:F,0)),0)</f>
        <v>26588512.383315083</v>
      </c>
      <c r="AO394" s="81">
        <f>IFERROR(INDEX(FeeCalc!S:S,MATCH(C394,FeeCalc!F:F,0)),0)</f>
        <v>1669854.622915651</v>
      </c>
      <c r="AP394" s="81">
        <f t="shared" si="123"/>
        <v>28258367.006230734</v>
      </c>
      <c r="AQ394" s="68">
        <f t="shared" si="124"/>
        <v>11121136.852036119</v>
      </c>
      <c r="AR394" s="68">
        <f>INDEX('IGT Commitment Suggestions'!H:H,MATCH(G394,'IGT Commitment Suggestions'!A:A,0))*AQ394</f>
        <v>5093552.088439567</v>
      </c>
    </row>
    <row r="395" spans="1:44">
      <c r="A395" s="103" t="s">
        <v>46</v>
      </c>
      <c r="B395" s="123" t="s">
        <v>46</v>
      </c>
      <c r="C395" s="30" t="s">
        <v>47</v>
      </c>
      <c r="D395" s="124" t="s">
        <v>47</v>
      </c>
      <c r="E395" s="119" t="s">
        <v>2955</v>
      </c>
      <c r="F395" s="99" t="s">
        <v>2283</v>
      </c>
      <c r="G395" s="99" t="s">
        <v>1526</v>
      </c>
      <c r="H395" s="42" t="str">
        <f t="shared" si="110"/>
        <v>Urban Lubbock</v>
      </c>
      <c r="I395" s="44">
        <f>INDEX(FeeCalc!M:M,MATCH(C:C,FeeCalc!F:F,0))</f>
        <v>6727231.9563135654</v>
      </c>
      <c r="J395" s="44">
        <f>INDEX(FeeCalc!L:L,MATCH(C:C,FeeCalc!F:F,0))</f>
        <v>6312115.113537265</v>
      </c>
      <c r="K395" s="44">
        <f t="shared" si="111"/>
        <v>13039347.06985083</v>
      </c>
      <c r="L395" s="44">
        <v>3096514.45</v>
      </c>
      <c r="M395" s="44">
        <v>4616605.63</v>
      </c>
      <c r="N395" s="44">
        <f t="shared" si="112"/>
        <v>7713120.0800000001</v>
      </c>
      <c r="O395" s="44">
        <v>13184042.61690696</v>
      </c>
      <c r="P395" s="44">
        <v>9646179.5855668783</v>
      </c>
      <c r="Q395" s="44">
        <f t="shared" si="113"/>
        <v>22830222.202473838</v>
      </c>
      <c r="R395" s="44" t="str">
        <f t="shared" si="114"/>
        <v>Yes</v>
      </c>
      <c r="S395" s="45" t="str">
        <f t="shared" si="114"/>
        <v>Yes</v>
      </c>
      <c r="T395" s="46">
        <f>ROUND(INDEX(Summary!H:H,MATCH(H:H,Summary!A:A,0)),2)</f>
        <v>0</v>
      </c>
      <c r="U395" s="46">
        <f>ROUND(INDEX(Summary!I:I,MATCH(H:H,Summary!A:A,0)),2)</f>
        <v>0.66</v>
      </c>
      <c r="V395" s="79">
        <f t="shared" si="115"/>
        <v>0</v>
      </c>
      <c r="W395" s="79">
        <f t="shared" si="115"/>
        <v>4165995.9749345952</v>
      </c>
      <c r="X395" s="44">
        <f t="shared" si="116"/>
        <v>4165995.9749345952</v>
      </c>
      <c r="Y395" s="44" t="s">
        <v>2765</v>
      </c>
      <c r="Z395" s="44" t="str">
        <f t="shared" si="117"/>
        <v>Yes</v>
      </c>
      <c r="AA395" s="44" t="str">
        <f t="shared" si="117"/>
        <v>Yes</v>
      </c>
      <c r="AB395" s="44" t="str">
        <f t="shared" si="118"/>
        <v>Yes</v>
      </c>
      <c r="AC395" s="80">
        <f t="shared" si="125"/>
        <v>1.37</v>
      </c>
      <c r="AD395" s="80">
        <f t="shared" si="126"/>
        <v>0.6</v>
      </c>
      <c r="AE395" s="44">
        <f t="shared" si="119"/>
        <v>9216307.7801495846</v>
      </c>
      <c r="AF395" s="44">
        <f t="shared" si="119"/>
        <v>3787269.068122359</v>
      </c>
      <c r="AG395" s="44">
        <f t="shared" si="120"/>
        <v>13003576.848271944</v>
      </c>
      <c r="AH395" s="46">
        <f>IF(Y395="No",0,IFERROR(ROUNDDOWN(INDEX('90% of ACR'!K:K,MATCH(H:H,'90% of ACR'!A:A,0))*IF(I395&gt;0,IF(O395&gt;0,$R$4*MAX(O395-V395,0),0),0)/I395,2),0))</f>
        <v>0.5</v>
      </c>
      <c r="AI395" s="80">
        <f>IF(Y395="No",0,IFERROR(ROUNDDOWN(INDEX('90% of ACR'!R:R,MATCH(H:H,'90% of ACR'!A:A,0))*IF(J395&gt;0,IF(P395&gt;0,$R$4*MAX(P395-W395,0),0),0)/J395,2),0))</f>
        <v>0.54</v>
      </c>
      <c r="AJ395" s="44">
        <f t="shared" si="121"/>
        <v>3363615.9781567827</v>
      </c>
      <c r="AK395" s="44">
        <f t="shared" si="121"/>
        <v>3408542.1613101233</v>
      </c>
      <c r="AL395" s="46">
        <f t="shared" si="122"/>
        <v>0.5</v>
      </c>
      <c r="AM395" s="46">
        <f t="shared" si="122"/>
        <v>1.2000000000000002</v>
      </c>
      <c r="AN395" s="81">
        <f>IFERROR(INDEX(FeeCalc!P:P,MATCH(C395,FeeCalc!F:F,0)),0)</f>
        <v>10938154.114401501</v>
      </c>
      <c r="AO395" s="81">
        <f>IFERROR(INDEX(FeeCalc!S:S,MATCH(C395,FeeCalc!F:F,0)),0)</f>
        <v>679188.11706065107</v>
      </c>
      <c r="AP395" s="81">
        <f t="shared" si="123"/>
        <v>11617342.231462151</v>
      </c>
      <c r="AQ395" s="68">
        <f t="shared" si="124"/>
        <v>4572028.2698763935</v>
      </c>
      <c r="AR395" s="68">
        <f>INDEX('IGT Commitment Suggestions'!H:H,MATCH(G395,'IGT Commitment Suggestions'!A:A,0))*AQ395</f>
        <v>2093790.6513927979</v>
      </c>
    </row>
    <row r="396" spans="1:44">
      <c r="A396" s="103" t="s">
        <v>750</v>
      </c>
      <c r="B396" s="123" t="s">
        <v>750</v>
      </c>
      <c r="C396" s="30" t="s">
        <v>751</v>
      </c>
      <c r="D396" s="124" t="s">
        <v>751</v>
      </c>
      <c r="E396" s="119" t="s">
        <v>2673</v>
      </c>
      <c r="F396" s="99" t="s">
        <v>2283</v>
      </c>
      <c r="G396" s="99" t="s">
        <v>1486</v>
      </c>
      <c r="H396" s="42" t="str">
        <f t="shared" si="110"/>
        <v>Urban MRSA Central</v>
      </c>
      <c r="I396" s="44">
        <f>INDEX(FeeCalc!M:M,MATCH(C:C,FeeCalc!F:F,0))</f>
        <v>3292514.0617187619</v>
      </c>
      <c r="J396" s="44">
        <f>INDEX(FeeCalc!L:L,MATCH(C:C,FeeCalc!F:F,0))</f>
        <v>4289577.7360771382</v>
      </c>
      <c r="K396" s="44">
        <f t="shared" si="111"/>
        <v>7582091.7977959001</v>
      </c>
      <c r="L396" s="44">
        <v>2598514.2000000002</v>
      </c>
      <c r="M396" s="44">
        <v>4457038.87</v>
      </c>
      <c r="N396" s="44">
        <f t="shared" si="112"/>
        <v>7055553.0700000003</v>
      </c>
      <c r="O396" s="44">
        <v>4943213.8479150543</v>
      </c>
      <c r="P396" s="44">
        <v>6540356.408305835</v>
      </c>
      <c r="Q396" s="44">
        <f t="shared" si="113"/>
        <v>11483570.256220888</v>
      </c>
      <c r="R396" s="44" t="str">
        <f t="shared" si="114"/>
        <v>Yes</v>
      </c>
      <c r="S396" s="45" t="str">
        <f t="shared" si="114"/>
        <v>Yes</v>
      </c>
      <c r="T396" s="46">
        <f>ROUND(INDEX(Summary!H:H,MATCH(H:H,Summary!A:A,0)),2)</f>
        <v>0.48</v>
      </c>
      <c r="U396" s="46">
        <f>ROUND(INDEX(Summary!I:I,MATCH(H:H,Summary!A:A,0)),2)</f>
        <v>0.99</v>
      </c>
      <c r="V396" s="79">
        <f t="shared" si="115"/>
        <v>1580406.7496250058</v>
      </c>
      <c r="W396" s="79">
        <f t="shared" si="115"/>
        <v>4246681.9587163664</v>
      </c>
      <c r="X396" s="44">
        <f t="shared" si="116"/>
        <v>5827088.7083413722</v>
      </c>
      <c r="Y396" s="44" t="s">
        <v>2765</v>
      </c>
      <c r="Z396" s="44" t="str">
        <f t="shared" si="117"/>
        <v>Yes</v>
      </c>
      <c r="AA396" s="44" t="str">
        <f t="shared" si="117"/>
        <v>No</v>
      </c>
      <c r="AB396" s="44" t="str">
        <f t="shared" si="118"/>
        <v>Yes</v>
      </c>
      <c r="AC396" s="80">
        <f t="shared" si="125"/>
        <v>0.71</v>
      </c>
      <c r="AD396" s="80">
        <f t="shared" si="126"/>
        <v>0.37</v>
      </c>
      <c r="AE396" s="44">
        <f t="shared" si="119"/>
        <v>2337684.983820321</v>
      </c>
      <c r="AF396" s="44">
        <f t="shared" si="119"/>
        <v>1587143.7623485411</v>
      </c>
      <c r="AG396" s="44">
        <f t="shared" si="120"/>
        <v>3924828.7461688621</v>
      </c>
      <c r="AH396" s="46">
        <f>IF(Y396="No",0,IFERROR(ROUNDDOWN(INDEX('90% of ACR'!K:K,MATCH(H:H,'90% of ACR'!A:A,0))*IF(I396&gt;0,IF(O396&gt;0,$R$4*MAX(O396-V396,0),0),0)/I396,2),0))</f>
        <v>0.71</v>
      </c>
      <c r="AI396" s="80">
        <f>IF(Y396="No",0,IFERROR(ROUNDDOWN(INDEX('90% of ACR'!R:R,MATCH(H:H,'90% of ACR'!A:A,0))*IF(J396&gt;0,IF(P396&gt;0,$R$4*MAX(P396-W396,0),0),0)/J396,2),0))</f>
        <v>0</v>
      </c>
      <c r="AJ396" s="44">
        <f t="shared" si="121"/>
        <v>2337684.983820321</v>
      </c>
      <c r="AK396" s="44">
        <f t="shared" si="121"/>
        <v>0</v>
      </c>
      <c r="AL396" s="46">
        <f t="shared" si="122"/>
        <v>1.19</v>
      </c>
      <c r="AM396" s="46">
        <f t="shared" si="122"/>
        <v>0.99</v>
      </c>
      <c r="AN396" s="81">
        <f>IFERROR(INDEX(FeeCalc!P:P,MATCH(C396,FeeCalc!F:F,0)),0)</f>
        <v>8164773.6921616923</v>
      </c>
      <c r="AO396" s="81">
        <f>IFERROR(INDEX(FeeCalc!S:S,MATCH(C396,FeeCalc!F:F,0)),0)</f>
        <v>503167.00223183673</v>
      </c>
      <c r="AP396" s="81">
        <f t="shared" si="123"/>
        <v>8667940.6943935286</v>
      </c>
      <c r="AQ396" s="68">
        <f t="shared" si="124"/>
        <v>3411285.3961599623</v>
      </c>
      <c r="AR396" s="68">
        <f>INDEX('IGT Commitment Suggestions'!H:H,MATCH(G396,'IGT Commitment Suggestions'!A:A,0))*AQ396</f>
        <v>1558401.2630583106</v>
      </c>
    </row>
    <row r="397" spans="1:44">
      <c r="A397" s="103" t="s">
        <v>317</v>
      </c>
      <c r="B397" s="123" t="s">
        <v>317</v>
      </c>
      <c r="C397" s="30" t="s">
        <v>318</v>
      </c>
      <c r="D397" s="124" t="s">
        <v>318</v>
      </c>
      <c r="E397" s="119" t="s">
        <v>2956</v>
      </c>
      <c r="F397" s="99" t="s">
        <v>2283</v>
      </c>
      <c r="G397" s="99" t="s">
        <v>1526</v>
      </c>
      <c r="H397" s="42" t="str">
        <f t="shared" si="110"/>
        <v>Urban Lubbock</v>
      </c>
      <c r="I397" s="44">
        <f>INDEX(FeeCalc!M:M,MATCH(C:C,FeeCalc!F:F,0))</f>
        <v>44097.114055256439</v>
      </c>
      <c r="J397" s="44">
        <f>INDEX(FeeCalc!L:L,MATCH(C:C,FeeCalc!F:F,0))</f>
        <v>174290.30969261337</v>
      </c>
      <c r="K397" s="44">
        <f t="shared" si="111"/>
        <v>218387.42374786982</v>
      </c>
      <c r="L397" s="44">
        <v>5070.76</v>
      </c>
      <c r="M397" s="44">
        <v>734941.45</v>
      </c>
      <c r="N397" s="44">
        <f t="shared" si="112"/>
        <v>740012.21</v>
      </c>
      <c r="O397" s="44">
        <v>57286.930076824225</v>
      </c>
      <c r="P397" s="44">
        <v>900610.89823741105</v>
      </c>
      <c r="Q397" s="44">
        <f t="shared" si="113"/>
        <v>957897.82831423532</v>
      </c>
      <c r="R397" s="44" t="str">
        <f t="shared" si="114"/>
        <v>Yes</v>
      </c>
      <c r="S397" s="45" t="str">
        <f t="shared" si="114"/>
        <v>Yes</v>
      </c>
      <c r="T397" s="46">
        <f>ROUND(INDEX(Summary!H:H,MATCH(H:H,Summary!A:A,0)),2)</f>
        <v>0</v>
      </c>
      <c r="U397" s="46">
        <f>ROUND(INDEX(Summary!I:I,MATCH(H:H,Summary!A:A,0)),2)</f>
        <v>0.66</v>
      </c>
      <c r="V397" s="79">
        <f t="shared" si="115"/>
        <v>0</v>
      </c>
      <c r="W397" s="79">
        <f t="shared" si="115"/>
        <v>115031.60439712483</v>
      </c>
      <c r="X397" s="44">
        <f t="shared" si="116"/>
        <v>115031.60439712483</v>
      </c>
      <c r="Y397" s="44" t="s">
        <v>2765</v>
      </c>
      <c r="Z397" s="44" t="str">
        <f t="shared" si="117"/>
        <v>Yes</v>
      </c>
      <c r="AA397" s="44" t="str">
        <f t="shared" si="117"/>
        <v>Yes</v>
      </c>
      <c r="AB397" s="44" t="str">
        <f t="shared" si="118"/>
        <v>Yes</v>
      </c>
      <c r="AC397" s="80">
        <f t="shared" si="125"/>
        <v>0.91</v>
      </c>
      <c r="AD397" s="80">
        <f t="shared" si="126"/>
        <v>3.14</v>
      </c>
      <c r="AE397" s="44">
        <f t="shared" si="119"/>
        <v>40128.37379028336</v>
      </c>
      <c r="AF397" s="44">
        <f t="shared" si="119"/>
        <v>547271.57243480603</v>
      </c>
      <c r="AG397" s="44">
        <f t="shared" si="120"/>
        <v>587399.94622508937</v>
      </c>
      <c r="AH397" s="46">
        <f>IF(Y397="No",0,IFERROR(ROUNDDOWN(INDEX('90% of ACR'!K:K,MATCH(H:H,'90% of ACR'!A:A,0))*IF(I397&gt;0,IF(O397&gt;0,$R$4*MAX(O397-V397,0),0),0)/I397,2),0))</f>
        <v>0.33</v>
      </c>
      <c r="AI397" s="80">
        <f>IF(Y397="No",0,IFERROR(ROUNDDOWN(INDEX('90% of ACR'!R:R,MATCH(H:H,'90% of ACR'!A:A,0))*IF(J397&gt;0,IF(P397&gt;0,$R$4*MAX(P397-W397,0),0),0)/J397,2),0))</f>
        <v>2.85</v>
      </c>
      <c r="AJ397" s="44">
        <f t="shared" si="121"/>
        <v>14552.047638234626</v>
      </c>
      <c r="AK397" s="44">
        <f t="shared" si="121"/>
        <v>496727.38262394816</v>
      </c>
      <c r="AL397" s="46">
        <f t="shared" si="122"/>
        <v>0.33</v>
      </c>
      <c r="AM397" s="46">
        <f t="shared" si="122"/>
        <v>3.5100000000000002</v>
      </c>
      <c r="AN397" s="81">
        <f>IFERROR(INDEX(FeeCalc!P:P,MATCH(C397,FeeCalc!F:F,0)),0)</f>
        <v>626311.03465930768</v>
      </c>
      <c r="AO397" s="81">
        <f>IFERROR(INDEX(FeeCalc!S:S,MATCH(C397,FeeCalc!F:F,0)),0)</f>
        <v>38261.409899920764</v>
      </c>
      <c r="AP397" s="81">
        <f t="shared" si="123"/>
        <v>664572.44455922849</v>
      </c>
      <c r="AQ397" s="68">
        <f t="shared" si="124"/>
        <v>261543.81470117348</v>
      </c>
      <c r="AR397" s="68">
        <f>INDEX('IGT Commitment Suggestions'!H:H,MATCH(G397,'IGT Commitment Suggestions'!A:A,0))*AQ397</f>
        <v>119775.72355774877</v>
      </c>
    </row>
    <row r="398" spans="1:44">
      <c r="A398" s="103" t="s">
        <v>527</v>
      </c>
      <c r="B398" s="123" t="s">
        <v>527</v>
      </c>
      <c r="C398" s="30" t="s">
        <v>528</v>
      </c>
      <c r="D398" s="124" t="s">
        <v>528</v>
      </c>
      <c r="E398" s="119" t="s">
        <v>2957</v>
      </c>
      <c r="F398" s="99" t="s">
        <v>2295</v>
      </c>
      <c r="G398" s="99" t="s">
        <v>1550</v>
      </c>
      <c r="H398" s="42" t="str">
        <f t="shared" si="110"/>
        <v>Rural Jefferson</v>
      </c>
      <c r="I398" s="44">
        <f>INDEX(FeeCalc!M:M,MATCH(C:C,FeeCalc!F:F,0))</f>
        <v>78804.482958758861</v>
      </c>
      <c r="J398" s="44">
        <f>INDEX(FeeCalc!L:L,MATCH(C:C,FeeCalc!F:F,0))</f>
        <v>515346.14755999658</v>
      </c>
      <c r="K398" s="44">
        <f t="shared" si="111"/>
        <v>594150.63051875541</v>
      </c>
      <c r="L398" s="44">
        <v>113449.55</v>
      </c>
      <c r="M398" s="44">
        <v>-43062.54</v>
      </c>
      <c r="N398" s="44">
        <f t="shared" si="112"/>
        <v>70387.010000000009</v>
      </c>
      <c r="O398" s="44">
        <v>-23524.637460773298</v>
      </c>
      <c r="P398" s="44">
        <v>-129470.68148315419</v>
      </c>
      <c r="Q398" s="44">
        <f t="shared" si="113"/>
        <v>-152995.31894392747</v>
      </c>
      <c r="R398" s="44" t="str">
        <f t="shared" si="114"/>
        <v>No</v>
      </c>
      <c r="S398" s="45" t="str">
        <f t="shared" si="114"/>
        <v>No</v>
      </c>
      <c r="T398" s="46">
        <f>ROUND(INDEX(Summary!H:H,MATCH(H:H,Summary!A:A,0)),2)</f>
        <v>0</v>
      </c>
      <c r="U398" s="46">
        <f>ROUND(INDEX(Summary!I:I,MATCH(H:H,Summary!A:A,0)),2)</f>
        <v>0.23</v>
      </c>
      <c r="V398" s="79">
        <f t="shared" si="115"/>
        <v>0</v>
      </c>
      <c r="W398" s="79">
        <f t="shared" si="115"/>
        <v>118529.61393879922</v>
      </c>
      <c r="X398" s="44">
        <f t="shared" si="116"/>
        <v>118529.61393879922</v>
      </c>
      <c r="Y398" s="44" t="s">
        <v>2765</v>
      </c>
      <c r="Z398" s="44" t="str">
        <f t="shared" si="117"/>
        <v>No</v>
      </c>
      <c r="AA398" s="44" t="str">
        <f t="shared" si="117"/>
        <v>No</v>
      </c>
      <c r="AB398" s="44" t="str">
        <f t="shared" si="118"/>
        <v>No</v>
      </c>
      <c r="AC398" s="80">
        <f t="shared" si="125"/>
        <v>0</v>
      </c>
      <c r="AD398" s="80">
        <f t="shared" si="126"/>
        <v>0</v>
      </c>
      <c r="AE398" s="44">
        <f t="shared" si="119"/>
        <v>0</v>
      </c>
      <c r="AF398" s="44">
        <f t="shared" si="119"/>
        <v>0</v>
      </c>
      <c r="AG398" s="44">
        <f t="shared" si="120"/>
        <v>0</v>
      </c>
      <c r="AH398" s="46">
        <f>IF(Y398="No",0,IFERROR(ROUNDDOWN(INDEX('90% of ACR'!K:K,MATCH(H:H,'90% of ACR'!A:A,0))*IF(I398&gt;0,IF(O398&gt;0,$R$4*MAX(O398-V398,0),0),0)/I398,2),0))</f>
        <v>0</v>
      </c>
      <c r="AI398" s="80">
        <f>IF(Y398="No",0,IFERROR(ROUNDDOWN(INDEX('90% of ACR'!R:R,MATCH(H:H,'90% of ACR'!A:A,0))*IF(J398&gt;0,IF(P398&gt;0,$R$4*MAX(P398-W398,0),0),0)/J398,2),0))</f>
        <v>0</v>
      </c>
      <c r="AJ398" s="44">
        <f t="shared" si="121"/>
        <v>0</v>
      </c>
      <c r="AK398" s="44">
        <f t="shared" si="121"/>
        <v>0</v>
      </c>
      <c r="AL398" s="46">
        <f t="shared" si="122"/>
        <v>0</v>
      </c>
      <c r="AM398" s="46">
        <f t="shared" si="122"/>
        <v>0.23</v>
      </c>
      <c r="AN398" s="81">
        <f>IFERROR(INDEX(FeeCalc!P:P,MATCH(C398,FeeCalc!F:F,0)),0)</f>
        <v>118529.61393879922</v>
      </c>
      <c r="AO398" s="81">
        <f>IFERROR(INDEX(FeeCalc!S:S,MATCH(C398,FeeCalc!F:F,0)),0)</f>
        <v>7314.9314354100361</v>
      </c>
      <c r="AP398" s="81">
        <f t="shared" si="123"/>
        <v>125844.54537420925</v>
      </c>
      <c r="AQ398" s="68">
        <f t="shared" si="124"/>
        <v>49526.372521110803</v>
      </c>
      <c r="AR398" s="68">
        <f>INDEX('IGT Commitment Suggestions'!H:H,MATCH(G398,'IGT Commitment Suggestions'!A:A,0))*AQ398</f>
        <v>22665.309363104177</v>
      </c>
    </row>
    <row r="399" spans="1:44">
      <c r="A399" s="103" t="s">
        <v>1183</v>
      </c>
      <c r="B399" s="123" t="s">
        <v>1183</v>
      </c>
      <c r="C399" s="30" t="s">
        <v>1184</v>
      </c>
      <c r="D399" s="124" t="s">
        <v>1184</v>
      </c>
      <c r="E399" s="119" t="s">
        <v>2348</v>
      </c>
      <c r="F399" s="99" t="s">
        <v>2295</v>
      </c>
      <c r="G399" s="99" t="s">
        <v>1486</v>
      </c>
      <c r="H399" s="42" t="str">
        <f t="shared" si="110"/>
        <v>Rural MRSA Central</v>
      </c>
      <c r="I399" s="44">
        <f>INDEX(FeeCalc!M:M,MATCH(C:C,FeeCalc!F:F,0))</f>
        <v>176662.3968983246</v>
      </c>
      <c r="J399" s="44">
        <f>INDEX(FeeCalc!L:L,MATCH(C:C,FeeCalc!F:F,0))</f>
        <v>644735.08761332068</v>
      </c>
      <c r="K399" s="44">
        <f t="shared" si="111"/>
        <v>821397.48451164528</v>
      </c>
      <c r="L399" s="44">
        <v>269002.36</v>
      </c>
      <c r="M399" s="44">
        <v>56889.919999999998</v>
      </c>
      <c r="N399" s="44">
        <f t="shared" si="112"/>
        <v>325892.27999999997</v>
      </c>
      <c r="O399" s="44">
        <v>230128.23713584722</v>
      </c>
      <c r="P399" s="44">
        <v>504765.71048595151</v>
      </c>
      <c r="Q399" s="44">
        <f t="shared" si="113"/>
        <v>734893.94762179872</v>
      </c>
      <c r="R399" s="44" t="str">
        <f t="shared" si="114"/>
        <v>Yes</v>
      </c>
      <c r="S399" s="45" t="str">
        <f t="shared" si="114"/>
        <v>Yes</v>
      </c>
      <c r="T399" s="46">
        <f>ROUND(INDEX(Summary!H:H,MATCH(H:H,Summary!A:A,0)),2)</f>
        <v>0.11</v>
      </c>
      <c r="U399" s="46">
        <f>ROUND(INDEX(Summary!I:I,MATCH(H:H,Summary!A:A,0)),2)</f>
        <v>0.09</v>
      </c>
      <c r="V399" s="79">
        <f t="shared" si="115"/>
        <v>19432.863658815706</v>
      </c>
      <c r="W399" s="79">
        <f t="shared" si="115"/>
        <v>58026.15788519886</v>
      </c>
      <c r="X399" s="44">
        <f t="shared" si="116"/>
        <v>77459.021544014569</v>
      </c>
      <c r="Y399" s="44" t="s">
        <v>2765</v>
      </c>
      <c r="Z399" s="44" t="str">
        <f t="shared" si="117"/>
        <v>Yes</v>
      </c>
      <c r="AA399" s="44" t="str">
        <f t="shared" si="117"/>
        <v>Yes</v>
      </c>
      <c r="AB399" s="44" t="str">
        <f t="shared" si="118"/>
        <v>Yes</v>
      </c>
      <c r="AC399" s="80">
        <f t="shared" si="125"/>
        <v>0.83</v>
      </c>
      <c r="AD399" s="80">
        <f t="shared" si="126"/>
        <v>0.48</v>
      </c>
      <c r="AE399" s="44">
        <f t="shared" si="119"/>
        <v>146629.7894256094</v>
      </c>
      <c r="AF399" s="44">
        <f t="shared" si="119"/>
        <v>309472.8420543939</v>
      </c>
      <c r="AG399" s="44">
        <f t="shared" si="120"/>
        <v>456102.6314800033</v>
      </c>
      <c r="AH399" s="46">
        <f>IF(Y399="No",0,IFERROR(ROUNDDOWN(INDEX('90% of ACR'!K:K,MATCH(H:H,'90% of ACR'!A:A,0))*IF(I399&gt;0,IF(O399&gt;0,$R$4*MAX(O399-V399,0),0),0)/I399,2),0))</f>
        <v>0.43</v>
      </c>
      <c r="AI399" s="80">
        <f>IF(Y399="No",0,IFERROR(ROUNDDOWN(INDEX('90% of ACR'!R:R,MATCH(H:H,'90% of ACR'!A:A,0))*IF(J399&gt;0,IF(P399&gt;0,$R$4*MAX(P399-W399,0),0),0)/J399,2),0))</f>
        <v>0.48</v>
      </c>
      <c r="AJ399" s="44">
        <f t="shared" si="121"/>
        <v>75964.83066627958</v>
      </c>
      <c r="AK399" s="44">
        <f t="shared" si="121"/>
        <v>309472.8420543939</v>
      </c>
      <c r="AL399" s="46">
        <f t="shared" si="122"/>
        <v>0.54</v>
      </c>
      <c r="AM399" s="46">
        <f t="shared" si="122"/>
        <v>0.56999999999999995</v>
      </c>
      <c r="AN399" s="81">
        <f>IFERROR(INDEX(FeeCalc!P:P,MATCH(C399,FeeCalc!F:F,0)),0)</f>
        <v>462896.69426468801</v>
      </c>
      <c r="AO399" s="81">
        <f>IFERROR(INDEX(FeeCalc!S:S,MATCH(C399,FeeCalc!F:F,0)),0)</f>
        <v>28790.910773532451</v>
      </c>
      <c r="AP399" s="81">
        <f t="shared" si="123"/>
        <v>491687.60503822047</v>
      </c>
      <c r="AQ399" s="68">
        <f t="shared" si="124"/>
        <v>193504.64033800174</v>
      </c>
      <c r="AR399" s="68">
        <f>INDEX('IGT Commitment Suggestions'!H:H,MATCH(G399,'IGT Commitment Suggestions'!A:A,0))*AQ399</f>
        <v>88400.072374432712</v>
      </c>
    </row>
    <row r="400" spans="1:44">
      <c r="A400" s="103" t="s">
        <v>2336</v>
      </c>
      <c r="B400" s="123" t="s">
        <v>2336</v>
      </c>
      <c r="C400" s="30" t="s">
        <v>2289</v>
      </c>
      <c r="D400" s="124" t="s">
        <v>2289</v>
      </c>
      <c r="E400" s="119" t="s">
        <v>2958</v>
      </c>
      <c r="F400" s="99" t="s">
        <v>2283</v>
      </c>
      <c r="G400" s="99" t="s">
        <v>1550</v>
      </c>
      <c r="H400" s="42" t="str">
        <f t="shared" si="110"/>
        <v>Urban Jefferson</v>
      </c>
      <c r="I400" s="44">
        <f>INDEX(FeeCalc!M:M,MATCH(C:C,FeeCalc!F:F,0))</f>
        <v>679215.54996767896</v>
      </c>
      <c r="J400" s="44">
        <f>INDEX(FeeCalc!L:L,MATCH(C:C,FeeCalc!F:F,0))</f>
        <v>828764.43343532167</v>
      </c>
      <c r="K400" s="44">
        <f t="shared" si="111"/>
        <v>1507979.9834030005</v>
      </c>
      <c r="L400" s="44">
        <v>879454.22</v>
      </c>
      <c r="M400" s="44">
        <v>1014177.79</v>
      </c>
      <c r="N400" s="44">
        <f t="shared" si="112"/>
        <v>1893632.01</v>
      </c>
      <c r="O400" s="44">
        <v>1301205.3215398819</v>
      </c>
      <c r="P400" s="44">
        <v>1359998.2428177192</v>
      </c>
      <c r="Q400" s="44">
        <f t="shared" si="113"/>
        <v>2661203.5643576011</v>
      </c>
      <c r="R400" s="44" t="str">
        <f t="shared" si="114"/>
        <v>Yes</v>
      </c>
      <c r="S400" s="45" t="str">
        <f t="shared" si="114"/>
        <v>Yes</v>
      </c>
      <c r="T400" s="46">
        <f>ROUND(INDEX(Summary!H:H,MATCH(H:H,Summary!A:A,0)),2)</f>
        <v>0.84</v>
      </c>
      <c r="U400" s="46">
        <f>ROUND(INDEX(Summary!I:I,MATCH(H:H,Summary!A:A,0)),2)</f>
        <v>0.93</v>
      </c>
      <c r="V400" s="79">
        <f t="shared" si="115"/>
        <v>570541.06197285035</v>
      </c>
      <c r="W400" s="79">
        <f t="shared" si="115"/>
        <v>770750.92309484922</v>
      </c>
      <c r="X400" s="44">
        <f t="shared" si="116"/>
        <v>1341291.9850676996</v>
      </c>
      <c r="Y400" s="44" t="s">
        <v>2765</v>
      </c>
      <c r="Z400" s="44" t="str">
        <f t="shared" si="117"/>
        <v>Yes</v>
      </c>
      <c r="AA400" s="44" t="str">
        <f t="shared" si="117"/>
        <v>Yes</v>
      </c>
      <c r="AB400" s="44" t="str">
        <f t="shared" si="118"/>
        <v>Yes</v>
      </c>
      <c r="AC400" s="80">
        <f t="shared" si="125"/>
        <v>0.75</v>
      </c>
      <c r="AD400" s="80">
        <f t="shared" si="126"/>
        <v>0.5</v>
      </c>
      <c r="AE400" s="44">
        <f t="shared" si="119"/>
        <v>509411.66247575922</v>
      </c>
      <c r="AF400" s="44">
        <f t="shared" si="119"/>
        <v>414382.21671766083</v>
      </c>
      <c r="AG400" s="44">
        <f t="shared" si="120"/>
        <v>923793.87919342006</v>
      </c>
      <c r="AH400" s="46">
        <f>IF(Y400="No",0,IFERROR(ROUNDDOWN(INDEX('90% of ACR'!K:K,MATCH(H:H,'90% of ACR'!A:A,0))*IF(I400&gt;0,IF(O400&gt;0,$R$4*MAX(O400-V400,0),0),0)/I400,2),0))</f>
        <v>0.74</v>
      </c>
      <c r="AI400" s="80">
        <f>IF(Y400="No",0,IFERROR(ROUNDDOWN(INDEX('90% of ACR'!R:R,MATCH(H:H,'90% of ACR'!A:A,0))*IF(J400&gt;0,IF(P400&gt;0,$R$4*MAX(P400-W400,0),0),0)/J400,2),0))</f>
        <v>0.41</v>
      </c>
      <c r="AJ400" s="44">
        <f t="shared" si="121"/>
        <v>502619.5069760824</v>
      </c>
      <c r="AK400" s="44">
        <f t="shared" si="121"/>
        <v>339793.41770848184</v>
      </c>
      <c r="AL400" s="46">
        <f t="shared" si="122"/>
        <v>1.58</v>
      </c>
      <c r="AM400" s="46">
        <f t="shared" si="122"/>
        <v>1.34</v>
      </c>
      <c r="AN400" s="81">
        <f>IFERROR(INDEX(FeeCalc!P:P,MATCH(C400,FeeCalc!F:F,0)),0)</f>
        <v>2183704.9097522637</v>
      </c>
      <c r="AO400" s="81">
        <f>IFERROR(INDEX(FeeCalc!S:S,MATCH(C400,FeeCalc!F:F,0)),0)</f>
        <v>136954.14524325641</v>
      </c>
      <c r="AP400" s="81">
        <f t="shared" si="123"/>
        <v>2320659.05499552</v>
      </c>
      <c r="AQ400" s="68">
        <f t="shared" si="124"/>
        <v>913300.01241159695</v>
      </c>
      <c r="AR400" s="68">
        <f>INDEX('IGT Commitment Suggestions'!H:H,MATCH(G400,'IGT Commitment Suggestions'!A:A,0))*AQ400</f>
        <v>417963.72859353223</v>
      </c>
    </row>
    <row r="401" spans="1:44">
      <c r="A401" s="103" t="s">
        <v>1557</v>
      </c>
      <c r="B401" s="123" t="s">
        <v>1557</v>
      </c>
      <c r="C401" s="30" t="s">
        <v>1643</v>
      </c>
      <c r="D401" s="124" t="s">
        <v>1643</v>
      </c>
      <c r="E401" s="119" t="s">
        <v>2449</v>
      </c>
      <c r="F401" s="99" t="s">
        <v>2295</v>
      </c>
      <c r="G401" s="99" t="s">
        <v>310</v>
      </c>
      <c r="H401" s="42" t="str">
        <f t="shared" si="110"/>
        <v>Rural MRSA Northeast</v>
      </c>
      <c r="I401" s="44">
        <f>INDEX(FeeCalc!M:M,MATCH(C:C,FeeCalc!F:F,0))</f>
        <v>3361962.8692115997</v>
      </c>
      <c r="J401" s="44">
        <f>INDEX(FeeCalc!L:L,MATCH(C:C,FeeCalc!F:F,0))</f>
        <v>1968562.4240829279</v>
      </c>
      <c r="K401" s="44">
        <f t="shared" si="111"/>
        <v>5330525.2932945276</v>
      </c>
      <c r="L401" s="44">
        <v>298060.65999999997</v>
      </c>
      <c r="M401" s="44">
        <v>1087135.1299999999</v>
      </c>
      <c r="N401" s="44">
        <f t="shared" si="112"/>
        <v>1385195.7899999998</v>
      </c>
      <c r="O401" s="44">
        <v>1073872.5958561846</v>
      </c>
      <c r="P401" s="44">
        <v>2725087.5639915881</v>
      </c>
      <c r="Q401" s="44">
        <f t="shared" si="113"/>
        <v>3798960.1598477727</v>
      </c>
      <c r="R401" s="44" t="str">
        <f t="shared" si="114"/>
        <v>Yes</v>
      </c>
      <c r="S401" s="45" t="str">
        <f t="shared" si="114"/>
        <v>Yes</v>
      </c>
      <c r="T401" s="46">
        <f>ROUND(INDEX(Summary!H:H,MATCH(H:H,Summary!A:A,0)),2)</f>
        <v>0</v>
      </c>
      <c r="U401" s="46">
        <f>ROUND(INDEX(Summary!I:I,MATCH(H:H,Summary!A:A,0)),2)</f>
        <v>0.32</v>
      </c>
      <c r="V401" s="79">
        <f t="shared" si="115"/>
        <v>0</v>
      </c>
      <c r="W401" s="79">
        <f t="shared" si="115"/>
        <v>629939.9757065369</v>
      </c>
      <c r="X401" s="44">
        <f t="shared" si="116"/>
        <v>629939.9757065369</v>
      </c>
      <c r="Y401" s="44" t="s">
        <v>2765</v>
      </c>
      <c r="Z401" s="44" t="str">
        <f t="shared" si="117"/>
        <v>Yes</v>
      </c>
      <c r="AA401" s="44" t="str">
        <f t="shared" si="117"/>
        <v>Yes</v>
      </c>
      <c r="AB401" s="44" t="str">
        <f t="shared" si="118"/>
        <v>Yes</v>
      </c>
      <c r="AC401" s="80">
        <f t="shared" si="125"/>
        <v>0.22</v>
      </c>
      <c r="AD401" s="80">
        <f t="shared" si="126"/>
        <v>0.74</v>
      </c>
      <c r="AE401" s="44">
        <f t="shared" si="119"/>
        <v>739631.83122655191</v>
      </c>
      <c r="AF401" s="44">
        <f t="shared" si="119"/>
        <v>1456736.1938213666</v>
      </c>
      <c r="AG401" s="44">
        <f t="shared" si="120"/>
        <v>2196368.0250479188</v>
      </c>
      <c r="AH401" s="46">
        <f>IF(Y401="No",0,IFERROR(ROUNDDOWN(INDEX('90% of ACR'!K:K,MATCH(H:H,'90% of ACR'!A:A,0))*IF(I401&gt;0,IF(O401&gt;0,$R$4*MAX(O401-V401,0),0),0)/I401,2),0))</f>
        <v>0.15</v>
      </c>
      <c r="AI401" s="80">
        <f>IF(Y401="No",0,IFERROR(ROUNDDOWN(INDEX('90% of ACR'!R:R,MATCH(H:H,'90% of ACR'!A:A,0))*IF(J401&gt;0,IF(P401&gt;0,$R$4*MAX(P401-W401,0),0),0)/J401,2),0))</f>
        <v>0.74</v>
      </c>
      <c r="AJ401" s="44">
        <f t="shared" si="121"/>
        <v>504294.43038173992</v>
      </c>
      <c r="AK401" s="44">
        <f t="shared" si="121"/>
        <v>1456736.1938213666</v>
      </c>
      <c r="AL401" s="46">
        <f t="shared" si="122"/>
        <v>0.15</v>
      </c>
      <c r="AM401" s="46">
        <f t="shared" si="122"/>
        <v>1.06</v>
      </c>
      <c r="AN401" s="81">
        <f>IFERROR(INDEX(FeeCalc!P:P,MATCH(C401,FeeCalc!F:F,0)),0)</f>
        <v>2590970.5999096436</v>
      </c>
      <c r="AO401" s="81">
        <f>IFERROR(INDEX(FeeCalc!S:S,MATCH(C401,FeeCalc!F:F,0)),0)</f>
        <v>159184.74157441783</v>
      </c>
      <c r="AP401" s="81">
        <f t="shared" si="123"/>
        <v>2750155.3414840614</v>
      </c>
      <c r="AQ401" s="68">
        <f t="shared" si="124"/>
        <v>1082329.1349517354</v>
      </c>
      <c r="AR401" s="68">
        <f>INDEX('IGT Commitment Suggestions'!H:H,MATCH(G401,'IGT Commitment Suggestions'!A:A,0))*AQ401</f>
        <v>495713.6935782847</v>
      </c>
    </row>
    <row r="402" spans="1:44">
      <c r="A402" s="103" t="s">
        <v>158</v>
      </c>
      <c r="B402" s="123" t="s">
        <v>159</v>
      </c>
      <c r="C402" s="30" t="s">
        <v>160</v>
      </c>
      <c r="D402" s="124" t="s">
        <v>160</v>
      </c>
      <c r="E402" s="119" t="s">
        <v>2959</v>
      </c>
      <c r="F402" s="99" t="s">
        <v>2295</v>
      </c>
      <c r="G402" s="99" t="s">
        <v>1486</v>
      </c>
      <c r="H402" s="42" t="str">
        <f t="shared" si="110"/>
        <v>Rural MRSA Central</v>
      </c>
      <c r="I402" s="44">
        <f>INDEX(FeeCalc!M:M,MATCH(C:C,FeeCalc!F:F,0))</f>
        <v>339409.82662619976</v>
      </c>
      <c r="J402" s="44">
        <f>INDEX(FeeCalc!L:L,MATCH(C:C,FeeCalc!F:F,0))</f>
        <v>513050.95945200545</v>
      </c>
      <c r="K402" s="44">
        <f t="shared" si="111"/>
        <v>852460.78607820522</v>
      </c>
      <c r="L402" s="44">
        <v>96249.54</v>
      </c>
      <c r="M402" s="44">
        <v>-102852.17</v>
      </c>
      <c r="N402" s="44">
        <f t="shared" si="112"/>
        <v>-6602.6300000000047</v>
      </c>
      <c r="O402" s="44">
        <v>56803.709752067254</v>
      </c>
      <c r="P402" s="44">
        <v>185767.43071790042</v>
      </c>
      <c r="Q402" s="44">
        <f t="shared" si="113"/>
        <v>242571.14046996768</v>
      </c>
      <c r="R402" s="44" t="str">
        <f t="shared" si="114"/>
        <v>Yes</v>
      </c>
      <c r="S402" s="45" t="str">
        <f t="shared" si="114"/>
        <v>Yes</v>
      </c>
      <c r="T402" s="46">
        <f>ROUND(INDEX(Summary!H:H,MATCH(H:H,Summary!A:A,0)),2)</f>
        <v>0.11</v>
      </c>
      <c r="U402" s="46">
        <f>ROUND(INDEX(Summary!I:I,MATCH(H:H,Summary!A:A,0)),2)</f>
        <v>0.09</v>
      </c>
      <c r="V402" s="79">
        <f t="shared" si="115"/>
        <v>37335.080928881973</v>
      </c>
      <c r="W402" s="79">
        <f t="shared" si="115"/>
        <v>46174.586350680489</v>
      </c>
      <c r="X402" s="44">
        <f t="shared" si="116"/>
        <v>83509.667279562462</v>
      </c>
      <c r="Y402" s="44" t="s">
        <v>2765</v>
      </c>
      <c r="Z402" s="44" t="str">
        <f t="shared" si="117"/>
        <v>Yes</v>
      </c>
      <c r="AA402" s="44" t="str">
        <f t="shared" si="117"/>
        <v>Yes</v>
      </c>
      <c r="AB402" s="44" t="str">
        <f t="shared" si="118"/>
        <v>Yes</v>
      </c>
      <c r="AC402" s="80">
        <f t="shared" si="125"/>
        <v>0.04</v>
      </c>
      <c r="AD402" s="80">
        <f t="shared" si="126"/>
        <v>0.19</v>
      </c>
      <c r="AE402" s="44">
        <f t="shared" si="119"/>
        <v>13576.393065047991</v>
      </c>
      <c r="AF402" s="44">
        <f t="shared" si="119"/>
        <v>97479.682295881037</v>
      </c>
      <c r="AG402" s="44">
        <f t="shared" si="120"/>
        <v>111056.07536092903</v>
      </c>
      <c r="AH402" s="46">
        <f>IF(Y402="No",0,IFERROR(ROUNDDOWN(INDEX('90% of ACR'!K:K,MATCH(H:H,'90% of ACR'!A:A,0))*IF(I402&gt;0,IF(O402&gt;0,$R$4*MAX(O402-V402,0),0),0)/I402,2),0))</f>
        <v>0.02</v>
      </c>
      <c r="AI402" s="80">
        <f>IF(Y402="No",0,IFERROR(ROUNDDOWN(INDEX('90% of ACR'!R:R,MATCH(H:H,'90% of ACR'!A:A,0))*IF(J402&gt;0,IF(P402&gt;0,$R$4*MAX(P402-W402,0),0),0)/J402,2),0))</f>
        <v>0.18</v>
      </c>
      <c r="AJ402" s="44">
        <f t="shared" si="121"/>
        <v>6788.1965325239953</v>
      </c>
      <c r="AK402" s="44">
        <f t="shared" si="121"/>
        <v>92349.172701360978</v>
      </c>
      <c r="AL402" s="46">
        <f t="shared" si="122"/>
        <v>0.13</v>
      </c>
      <c r="AM402" s="46">
        <f t="shared" si="122"/>
        <v>0.27</v>
      </c>
      <c r="AN402" s="81">
        <f>IFERROR(INDEX(FeeCalc!P:P,MATCH(C402,FeeCalc!F:F,0)),0)</f>
        <v>182647.03651344744</v>
      </c>
      <c r="AO402" s="81">
        <f>IFERROR(INDEX(FeeCalc!S:S,MATCH(C402,FeeCalc!F:F,0)),0)</f>
        <v>11328.312223819248</v>
      </c>
      <c r="AP402" s="81">
        <f t="shared" si="123"/>
        <v>193975.3487372667</v>
      </c>
      <c r="AQ402" s="68">
        <f t="shared" si="124"/>
        <v>76339.386446248798</v>
      </c>
      <c r="AR402" s="68">
        <f>INDEX('IGT Commitment Suggestions'!H:H,MATCH(G402,'IGT Commitment Suggestions'!A:A,0))*AQ402</f>
        <v>34874.653522936133</v>
      </c>
    </row>
    <row r="403" spans="1:44">
      <c r="A403" s="103" t="s">
        <v>1152</v>
      </c>
      <c r="B403" s="123" t="s">
        <v>1152</v>
      </c>
      <c r="C403" s="30" t="s">
        <v>1153</v>
      </c>
      <c r="D403" s="124" t="s">
        <v>1153</v>
      </c>
      <c r="E403" s="119" t="s">
        <v>2446</v>
      </c>
      <c r="F403" s="99" t="s">
        <v>2283</v>
      </c>
      <c r="G403" s="99" t="s">
        <v>1526</v>
      </c>
      <c r="H403" s="42" t="str">
        <f t="shared" si="110"/>
        <v>Urban Lubbock</v>
      </c>
      <c r="I403" s="44">
        <f>INDEX(FeeCalc!M:M,MATCH(C:C,FeeCalc!F:F,0))</f>
        <v>29860007.977052454</v>
      </c>
      <c r="J403" s="44">
        <f>INDEX(FeeCalc!L:L,MATCH(C:C,FeeCalc!F:F,0))</f>
        <v>13047272.992870964</v>
      </c>
      <c r="K403" s="44">
        <f t="shared" si="111"/>
        <v>42907280.969923422</v>
      </c>
      <c r="L403" s="44">
        <v>-46584639.649999999</v>
      </c>
      <c r="M403" s="44">
        <v>9064291.2100000009</v>
      </c>
      <c r="N403" s="44">
        <f t="shared" si="112"/>
        <v>-37520348.439999998</v>
      </c>
      <c r="O403" s="44">
        <v>-26948733.551299863</v>
      </c>
      <c r="P403" s="44">
        <v>21089081.798948411</v>
      </c>
      <c r="Q403" s="44">
        <f t="shared" si="113"/>
        <v>-5859651.7523514517</v>
      </c>
      <c r="R403" s="44" t="str">
        <f t="shared" si="114"/>
        <v>No</v>
      </c>
      <c r="S403" s="45" t="str">
        <f t="shared" si="114"/>
        <v>Yes</v>
      </c>
      <c r="T403" s="46">
        <f>ROUND(INDEX(Summary!H:H,MATCH(H:H,Summary!A:A,0)),2)</f>
        <v>0</v>
      </c>
      <c r="U403" s="46">
        <f>ROUND(INDEX(Summary!I:I,MATCH(H:H,Summary!A:A,0)),2)</f>
        <v>0.66</v>
      </c>
      <c r="V403" s="79">
        <f t="shared" si="115"/>
        <v>0</v>
      </c>
      <c r="W403" s="79">
        <f t="shared" si="115"/>
        <v>8611200.175294837</v>
      </c>
      <c r="X403" s="44">
        <f t="shared" si="116"/>
        <v>8611200.175294837</v>
      </c>
      <c r="Y403" s="44" t="s">
        <v>2765</v>
      </c>
      <c r="Z403" s="44" t="str">
        <f t="shared" si="117"/>
        <v>No</v>
      </c>
      <c r="AA403" s="44" t="str">
        <f t="shared" si="117"/>
        <v>Yes</v>
      </c>
      <c r="AB403" s="44" t="str">
        <f t="shared" si="118"/>
        <v>Yes</v>
      </c>
      <c r="AC403" s="80">
        <f t="shared" si="125"/>
        <v>0</v>
      </c>
      <c r="AD403" s="80">
        <f t="shared" si="126"/>
        <v>0.67</v>
      </c>
      <c r="AE403" s="44">
        <f t="shared" si="119"/>
        <v>0</v>
      </c>
      <c r="AF403" s="44">
        <f t="shared" si="119"/>
        <v>8741672.9052235465</v>
      </c>
      <c r="AG403" s="44">
        <f t="shared" si="120"/>
        <v>8741672.9052235465</v>
      </c>
      <c r="AH403" s="46">
        <f>IF(Y403="No",0,IFERROR(ROUNDDOWN(INDEX('90% of ACR'!K:K,MATCH(H:H,'90% of ACR'!A:A,0))*IF(I403&gt;0,IF(O403&gt;0,$R$4*MAX(O403-V403,0),0),0)/I403,2),0))</f>
        <v>0</v>
      </c>
      <c r="AI403" s="80">
        <f>IF(Y403="No",0,IFERROR(ROUNDDOWN(INDEX('90% of ACR'!R:R,MATCH(H:H,'90% of ACR'!A:A,0))*IF(J403&gt;0,IF(P403&gt;0,$R$4*MAX(P403-W403,0),0),0)/J403,2),0))</f>
        <v>0.6</v>
      </c>
      <c r="AJ403" s="44">
        <f t="shared" si="121"/>
        <v>0</v>
      </c>
      <c r="AK403" s="44">
        <f t="shared" si="121"/>
        <v>7828363.7957225777</v>
      </c>
      <c r="AL403" s="46">
        <f t="shared" si="122"/>
        <v>0</v>
      </c>
      <c r="AM403" s="46">
        <f t="shared" si="122"/>
        <v>1.26</v>
      </c>
      <c r="AN403" s="81">
        <f>IFERROR(INDEX(FeeCalc!P:P,MATCH(C403,FeeCalc!F:F,0)),0)</f>
        <v>16439563.971017415</v>
      </c>
      <c r="AO403" s="81">
        <f>IFERROR(INDEX(FeeCalc!S:S,MATCH(C403,FeeCalc!F:F,0)),0)</f>
        <v>1021419.5732736567</v>
      </c>
      <c r="AP403" s="81">
        <f t="shared" si="123"/>
        <v>17460983.544291072</v>
      </c>
      <c r="AQ403" s="68">
        <f t="shared" si="124"/>
        <v>6871804.9958228404</v>
      </c>
      <c r="AR403" s="68">
        <f>INDEX('IGT Commitment Suggestions'!H:H,MATCH(G403,'IGT Commitment Suggestions'!A:A,0))*AQ403</f>
        <v>3146988.6468652952</v>
      </c>
    </row>
    <row r="404" spans="1:44">
      <c r="A404" s="103" t="s">
        <v>941</v>
      </c>
      <c r="B404" s="123" t="s">
        <v>941</v>
      </c>
      <c r="C404" s="30" t="s">
        <v>942</v>
      </c>
      <c r="D404" s="124" t="s">
        <v>942</v>
      </c>
      <c r="E404" s="119" t="s">
        <v>2697</v>
      </c>
      <c r="F404" s="99" t="s">
        <v>2295</v>
      </c>
      <c r="G404" s="99" t="s">
        <v>227</v>
      </c>
      <c r="H404" s="42" t="str">
        <f t="shared" si="110"/>
        <v>Rural MRSA West</v>
      </c>
      <c r="I404" s="44">
        <f>INDEX(FeeCalc!M:M,MATCH(C:C,FeeCalc!F:F,0))</f>
        <v>449296.94713682786</v>
      </c>
      <c r="J404" s="44">
        <f>INDEX(FeeCalc!L:L,MATCH(C:C,FeeCalc!F:F,0))</f>
        <v>312864.37285731902</v>
      </c>
      <c r="K404" s="44">
        <f t="shared" si="111"/>
        <v>762161.31999414694</v>
      </c>
      <c r="L404" s="44">
        <v>308430.28999999998</v>
      </c>
      <c r="M404" s="44">
        <v>-20063.990000000002</v>
      </c>
      <c r="N404" s="44">
        <f t="shared" si="112"/>
        <v>288366.3</v>
      </c>
      <c r="O404" s="44">
        <v>-43563.109845064493</v>
      </c>
      <c r="P404" s="44">
        <v>80680.914763817826</v>
      </c>
      <c r="Q404" s="44">
        <f t="shared" si="113"/>
        <v>37117.804918753332</v>
      </c>
      <c r="R404" s="44" t="str">
        <f t="shared" si="114"/>
        <v>No</v>
      </c>
      <c r="S404" s="45" t="str">
        <f t="shared" si="114"/>
        <v>Yes</v>
      </c>
      <c r="T404" s="46">
        <f>ROUND(INDEX(Summary!H:H,MATCH(H:H,Summary!A:A,0)),2)</f>
        <v>0</v>
      </c>
      <c r="U404" s="46">
        <f>ROUND(INDEX(Summary!I:I,MATCH(H:H,Summary!A:A,0)),2)</f>
        <v>0.18</v>
      </c>
      <c r="V404" s="79">
        <f t="shared" si="115"/>
        <v>0</v>
      </c>
      <c r="W404" s="79">
        <f t="shared" si="115"/>
        <v>56315.587114317423</v>
      </c>
      <c r="X404" s="44">
        <f t="shared" si="116"/>
        <v>56315.587114317423</v>
      </c>
      <c r="Y404" s="44" t="s">
        <v>2765</v>
      </c>
      <c r="Z404" s="44" t="str">
        <f t="shared" si="117"/>
        <v>No</v>
      </c>
      <c r="AA404" s="44" t="str">
        <f t="shared" si="117"/>
        <v>Yes</v>
      </c>
      <c r="AB404" s="44" t="str">
        <f t="shared" si="118"/>
        <v>Yes</v>
      </c>
      <c r="AC404" s="80">
        <f t="shared" si="125"/>
        <v>0</v>
      </c>
      <c r="AD404" s="80">
        <f t="shared" si="126"/>
        <v>0.05</v>
      </c>
      <c r="AE404" s="44">
        <f t="shared" si="119"/>
        <v>0</v>
      </c>
      <c r="AF404" s="44">
        <f t="shared" si="119"/>
        <v>15643.218642865952</v>
      </c>
      <c r="AG404" s="44">
        <f t="shared" si="120"/>
        <v>15643.218642865952</v>
      </c>
      <c r="AH404" s="46">
        <f>IF(Y404="No",0,IFERROR(ROUNDDOWN(INDEX('90% of ACR'!K:K,MATCH(H:H,'90% of ACR'!A:A,0))*IF(I404&gt;0,IF(O404&gt;0,$R$4*MAX(O404-V404,0),0),0)/I404,2),0))</f>
        <v>0</v>
      </c>
      <c r="AI404" s="80">
        <f>IF(Y404="No",0,IFERROR(ROUNDDOWN(INDEX('90% of ACR'!R:R,MATCH(H:H,'90% of ACR'!A:A,0))*IF(J404&gt;0,IF(P404&gt;0,$R$4*MAX(P404-W404,0),0),0)/J404,2),0))</f>
        <v>0.05</v>
      </c>
      <c r="AJ404" s="44">
        <f t="shared" si="121"/>
        <v>0</v>
      </c>
      <c r="AK404" s="44">
        <f t="shared" si="121"/>
        <v>15643.218642865952</v>
      </c>
      <c r="AL404" s="46">
        <f t="shared" si="122"/>
        <v>0</v>
      </c>
      <c r="AM404" s="46">
        <f t="shared" si="122"/>
        <v>0.22999999999999998</v>
      </c>
      <c r="AN404" s="81">
        <f>IFERROR(INDEX(FeeCalc!P:P,MATCH(C404,FeeCalc!F:F,0)),0)</f>
        <v>71958.805757183363</v>
      </c>
      <c r="AO404" s="81">
        <f>IFERROR(INDEX(FeeCalc!S:S,MATCH(C404,FeeCalc!F:F,0)),0)</f>
        <v>4418.1706450342626</v>
      </c>
      <c r="AP404" s="81">
        <f t="shared" si="123"/>
        <v>76376.976402217624</v>
      </c>
      <c r="AQ404" s="68">
        <f t="shared" si="124"/>
        <v>30058.311817045553</v>
      </c>
      <c r="AR404" s="68">
        <f>INDEX('IGT Commitment Suggestions'!H:H,MATCH(G404,'IGT Commitment Suggestions'!A:A,0))*AQ404</f>
        <v>14730.486022978808</v>
      </c>
    </row>
    <row r="405" spans="1:44">
      <c r="A405" s="103" t="s">
        <v>1122</v>
      </c>
      <c r="B405" s="123" t="s">
        <v>1122</v>
      </c>
      <c r="C405" s="30" t="s">
        <v>1123</v>
      </c>
      <c r="D405" s="124" t="s">
        <v>1123</v>
      </c>
      <c r="E405" s="119" t="s">
        <v>2960</v>
      </c>
      <c r="F405" s="99" t="s">
        <v>2295</v>
      </c>
      <c r="G405" s="99" t="s">
        <v>310</v>
      </c>
      <c r="H405" s="42" t="str">
        <f t="shared" si="110"/>
        <v>Rural MRSA Northeast</v>
      </c>
      <c r="I405" s="44">
        <f>INDEX(FeeCalc!M:M,MATCH(C:C,FeeCalc!F:F,0))</f>
        <v>4416850.7072474919</v>
      </c>
      <c r="J405" s="44">
        <f>INDEX(FeeCalc!L:L,MATCH(C:C,FeeCalc!F:F,0))</f>
        <v>2113655.854287304</v>
      </c>
      <c r="K405" s="44">
        <f t="shared" si="111"/>
        <v>6530506.5615347959</v>
      </c>
      <c r="L405" s="44">
        <v>-931242.48</v>
      </c>
      <c r="M405" s="44">
        <v>486440.13</v>
      </c>
      <c r="N405" s="44">
        <f t="shared" si="112"/>
        <v>-444802.35</v>
      </c>
      <c r="O405" s="44">
        <v>-1182527.4717833078</v>
      </c>
      <c r="P405" s="44">
        <v>733316.25974011689</v>
      </c>
      <c r="Q405" s="44">
        <f t="shared" si="113"/>
        <v>-449211.21204319096</v>
      </c>
      <c r="R405" s="44" t="str">
        <f t="shared" si="114"/>
        <v>No</v>
      </c>
      <c r="S405" s="45" t="str">
        <f t="shared" si="114"/>
        <v>Yes</v>
      </c>
      <c r="T405" s="46">
        <f>ROUND(INDEX(Summary!H:H,MATCH(H:H,Summary!A:A,0)),2)</f>
        <v>0</v>
      </c>
      <c r="U405" s="46">
        <f>ROUND(INDEX(Summary!I:I,MATCH(H:H,Summary!A:A,0)),2)</f>
        <v>0.32</v>
      </c>
      <c r="V405" s="79">
        <f t="shared" si="115"/>
        <v>0</v>
      </c>
      <c r="W405" s="79">
        <f t="shared" si="115"/>
        <v>676369.87337193731</v>
      </c>
      <c r="X405" s="44">
        <f t="shared" si="116"/>
        <v>676369.87337193731</v>
      </c>
      <c r="Y405" s="44" t="s">
        <v>2765</v>
      </c>
      <c r="Z405" s="44" t="str">
        <f t="shared" si="117"/>
        <v>No</v>
      </c>
      <c r="AA405" s="44" t="str">
        <f t="shared" si="117"/>
        <v>Yes</v>
      </c>
      <c r="AB405" s="44" t="str">
        <f t="shared" si="118"/>
        <v>Yes</v>
      </c>
      <c r="AC405" s="80">
        <f t="shared" si="125"/>
        <v>0</v>
      </c>
      <c r="AD405" s="80">
        <f t="shared" si="126"/>
        <v>0.02</v>
      </c>
      <c r="AE405" s="44">
        <f t="shared" si="119"/>
        <v>0</v>
      </c>
      <c r="AF405" s="44">
        <f t="shared" si="119"/>
        <v>42273.117085746082</v>
      </c>
      <c r="AG405" s="44">
        <f t="shared" si="120"/>
        <v>42273.117085746082</v>
      </c>
      <c r="AH405" s="46">
        <f>IF(Y405="No",0,IFERROR(ROUNDDOWN(INDEX('90% of ACR'!K:K,MATCH(H:H,'90% of ACR'!A:A,0))*IF(I405&gt;0,IF(O405&gt;0,$R$4*MAX(O405-V405,0),0),0)/I405,2),0))</f>
        <v>0</v>
      </c>
      <c r="AI405" s="80">
        <f>IF(Y405="No",0,IFERROR(ROUNDDOWN(INDEX('90% of ACR'!R:R,MATCH(H:H,'90% of ACR'!A:A,0))*IF(J405&gt;0,IF(P405&gt;0,$R$4*MAX(P405-W405,0),0),0)/J405,2),0))</f>
        <v>0.01</v>
      </c>
      <c r="AJ405" s="44">
        <f t="shared" si="121"/>
        <v>0</v>
      </c>
      <c r="AK405" s="44">
        <f t="shared" si="121"/>
        <v>21136.558542873041</v>
      </c>
      <c r="AL405" s="46">
        <f t="shared" si="122"/>
        <v>0</v>
      </c>
      <c r="AM405" s="46">
        <f t="shared" si="122"/>
        <v>0.33</v>
      </c>
      <c r="AN405" s="81">
        <f>IFERROR(INDEX(FeeCalc!P:P,MATCH(C405,FeeCalc!F:F,0)),0)</f>
        <v>697506.43191481032</v>
      </c>
      <c r="AO405" s="81">
        <f>IFERROR(INDEX(FeeCalc!S:S,MATCH(C405,FeeCalc!F:F,0)),0)</f>
        <v>42943.741223555946</v>
      </c>
      <c r="AP405" s="81">
        <f t="shared" si="123"/>
        <v>740450.17313836631</v>
      </c>
      <c r="AQ405" s="68">
        <f t="shared" si="124"/>
        <v>291405.64653895033</v>
      </c>
      <c r="AR405" s="68">
        <f>INDEX('IGT Commitment Suggestions'!H:H,MATCH(G405,'IGT Commitment Suggestions'!A:A,0))*AQ405</f>
        <v>133465.65726684686</v>
      </c>
    </row>
    <row r="406" spans="1:44">
      <c r="A406" s="103" t="s">
        <v>1047</v>
      </c>
      <c r="B406" s="123" t="s">
        <v>1047</v>
      </c>
      <c r="C406" s="30" t="s">
        <v>1048</v>
      </c>
      <c r="D406" s="124" t="s">
        <v>1048</v>
      </c>
      <c r="E406" s="119" t="s">
        <v>2685</v>
      </c>
      <c r="F406" s="99" t="s">
        <v>2283</v>
      </c>
      <c r="G406" s="99" t="s">
        <v>300</v>
      </c>
      <c r="H406" s="42" t="str">
        <f t="shared" si="110"/>
        <v>Urban Harris</v>
      </c>
      <c r="I406" s="44">
        <f>INDEX(FeeCalc!M:M,MATCH(C:C,FeeCalc!F:F,0))</f>
        <v>3079211.4992553792</v>
      </c>
      <c r="J406" s="44">
        <f>INDEX(FeeCalc!L:L,MATCH(C:C,FeeCalc!F:F,0))</f>
        <v>5725005.3521445738</v>
      </c>
      <c r="K406" s="44">
        <f t="shared" si="111"/>
        <v>8804216.8513999525</v>
      </c>
      <c r="L406" s="44">
        <v>3459264.42</v>
      </c>
      <c r="M406" s="44">
        <v>1359763.69</v>
      </c>
      <c r="N406" s="44">
        <f t="shared" si="112"/>
        <v>4819028.1099999994</v>
      </c>
      <c r="O406" s="44">
        <v>3080205.2702855049</v>
      </c>
      <c r="P406" s="44">
        <v>3206649.9251222955</v>
      </c>
      <c r="Q406" s="44">
        <f t="shared" si="113"/>
        <v>6286855.1954078004</v>
      </c>
      <c r="R406" s="44" t="str">
        <f t="shared" si="114"/>
        <v>Yes</v>
      </c>
      <c r="S406" s="45" t="str">
        <f t="shared" si="114"/>
        <v>Yes</v>
      </c>
      <c r="T406" s="46">
        <f>ROUND(INDEX(Summary!H:H,MATCH(H:H,Summary!A:A,0)),2)</f>
        <v>1.74</v>
      </c>
      <c r="U406" s="46">
        <f>ROUND(INDEX(Summary!I:I,MATCH(H:H,Summary!A:A,0)),2)</f>
        <v>0.33</v>
      </c>
      <c r="V406" s="79">
        <f t="shared" si="115"/>
        <v>5357828.0087043596</v>
      </c>
      <c r="W406" s="79">
        <f t="shared" si="115"/>
        <v>1889251.7662077094</v>
      </c>
      <c r="X406" s="44">
        <f t="shared" si="116"/>
        <v>7247079.7749120686</v>
      </c>
      <c r="Y406" s="44" t="s">
        <v>2765</v>
      </c>
      <c r="Z406" s="44" t="str">
        <f t="shared" si="117"/>
        <v>No</v>
      </c>
      <c r="AA406" s="44" t="str">
        <f t="shared" si="117"/>
        <v>Yes</v>
      </c>
      <c r="AB406" s="44" t="str">
        <f t="shared" si="118"/>
        <v>Yes</v>
      </c>
      <c r="AC406" s="80">
        <f t="shared" si="125"/>
        <v>0</v>
      </c>
      <c r="AD406" s="80">
        <f t="shared" si="126"/>
        <v>0.16</v>
      </c>
      <c r="AE406" s="44">
        <f t="shared" si="119"/>
        <v>0</v>
      </c>
      <c r="AF406" s="44">
        <f t="shared" si="119"/>
        <v>916000.85634313186</v>
      </c>
      <c r="AG406" s="44">
        <f t="shared" si="120"/>
        <v>916000.85634313186</v>
      </c>
      <c r="AH406" s="46">
        <f>IF(Y406="No",0,IFERROR(ROUNDDOWN(INDEX('90% of ACR'!K:K,MATCH(H:H,'90% of ACR'!A:A,0))*IF(I406&gt;0,IF(O406&gt;0,$R$4*MAX(O406-V406,0),0),0)/I406,2),0))</f>
        <v>0</v>
      </c>
      <c r="AI406" s="80">
        <f>IF(Y406="No",0,IFERROR(ROUNDDOWN(INDEX('90% of ACR'!R:R,MATCH(H:H,'90% of ACR'!A:A,0))*IF(J406&gt;0,IF(P406&gt;0,$R$4*MAX(P406-W406,0),0),0)/J406,2),0))</f>
        <v>0.14000000000000001</v>
      </c>
      <c r="AJ406" s="44">
        <f t="shared" si="121"/>
        <v>0</v>
      </c>
      <c r="AK406" s="44">
        <f t="shared" si="121"/>
        <v>801500.74930024042</v>
      </c>
      <c r="AL406" s="46">
        <f t="shared" si="122"/>
        <v>1.74</v>
      </c>
      <c r="AM406" s="46">
        <f t="shared" si="122"/>
        <v>0.47000000000000003</v>
      </c>
      <c r="AN406" s="81">
        <f>IFERROR(INDEX(FeeCalc!P:P,MATCH(C406,FeeCalc!F:F,0)),0)</f>
        <v>8048580.5242123101</v>
      </c>
      <c r="AO406" s="81">
        <f>IFERROR(INDEX(FeeCalc!S:S,MATCH(C406,FeeCalc!F:F,0)),0)</f>
        <v>497463.66708339739</v>
      </c>
      <c r="AP406" s="81">
        <f t="shared" si="123"/>
        <v>8546044.1912957076</v>
      </c>
      <c r="AQ406" s="68">
        <f t="shared" si="124"/>
        <v>3363312.7835728088</v>
      </c>
      <c r="AR406" s="68">
        <f>INDEX('IGT Commitment Suggestions'!H:H,MATCH(G406,'IGT Commitment Suggestions'!A:A,0))*AQ406</f>
        <v>1543067.1480752381</v>
      </c>
    </row>
    <row r="407" spans="1:44">
      <c r="A407" s="103" t="s">
        <v>530</v>
      </c>
      <c r="B407" s="123" t="s">
        <v>530</v>
      </c>
      <c r="C407" s="30" t="s">
        <v>531</v>
      </c>
      <c r="D407" s="124" t="s">
        <v>531</v>
      </c>
      <c r="E407" s="119" t="s">
        <v>2610</v>
      </c>
      <c r="F407" s="99" t="s">
        <v>2295</v>
      </c>
      <c r="G407" s="99" t="s">
        <v>300</v>
      </c>
      <c r="H407" s="42" t="str">
        <f t="shared" si="110"/>
        <v>Rural Harris</v>
      </c>
      <c r="I407" s="44">
        <f>INDEX(FeeCalc!M:M,MATCH(C:C,FeeCalc!F:F,0))</f>
        <v>7728.8740492300349</v>
      </c>
      <c r="J407" s="44">
        <f>INDEX(FeeCalc!L:L,MATCH(C:C,FeeCalc!F:F,0))</f>
        <v>359603.94429647358</v>
      </c>
      <c r="K407" s="44">
        <f t="shared" si="111"/>
        <v>367332.81834570359</v>
      </c>
      <c r="L407" s="44">
        <v>15610.88</v>
      </c>
      <c r="M407" s="44">
        <v>106117.87</v>
      </c>
      <c r="N407" s="44">
        <f t="shared" si="112"/>
        <v>121728.75</v>
      </c>
      <c r="O407" s="44">
        <v>7803.9706368652969</v>
      </c>
      <c r="P407" s="44">
        <v>104629.97471161865</v>
      </c>
      <c r="Q407" s="44">
        <f t="shared" si="113"/>
        <v>112433.94534848395</v>
      </c>
      <c r="R407" s="44" t="str">
        <f t="shared" si="114"/>
        <v>Yes</v>
      </c>
      <c r="S407" s="45" t="str">
        <f t="shared" si="114"/>
        <v>Yes</v>
      </c>
      <c r="T407" s="46">
        <f>ROUND(INDEX(Summary!H:H,MATCH(H:H,Summary!A:A,0)),2)</f>
        <v>0.01</v>
      </c>
      <c r="U407" s="46">
        <f>ROUND(INDEX(Summary!I:I,MATCH(H:H,Summary!A:A,0)),2)</f>
        <v>0.3</v>
      </c>
      <c r="V407" s="79">
        <f t="shared" si="115"/>
        <v>77.288740492300349</v>
      </c>
      <c r="W407" s="79">
        <f t="shared" si="115"/>
        <v>107881.18328894208</v>
      </c>
      <c r="X407" s="44">
        <f t="shared" si="116"/>
        <v>107958.47202943437</v>
      </c>
      <c r="Y407" s="44" t="s">
        <v>2765</v>
      </c>
      <c r="Z407" s="44" t="str">
        <f t="shared" si="117"/>
        <v>No</v>
      </c>
      <c r="AA407" s="44" t="str">
        <f t="shared" si="117"/>
        <v>No</v>
      </c>
      <c r="AB407" s="44" t="str">
        <f t="shared" si="118"/>
        <v>Yes</v>
      </c>
      <c r="AC407" s="80">
        <f t="shared" si="125"/>
        <v>0.7</v>
      </c>
      <c r="AD407" s="80">
        <f t="shared" si="126"/>
        <v>0</v>
      </c>
      <c r="AE407" s="44">
        <f t="shared" si="119"/>
        <v>5410.2118344610244</v>
      </c>
      <c r="AF407" s="44">
        <f t="shared" si="119"/>
        <v>0</v>
      </c>
      <c r="AG407" s="44">
        <f t="shared" si="120"/>
        <v>5410.2118344610244</v>
      </c>
      <c r="AH407" s="46">
        <f>IF(Y407="No",0,IFERROR(ROUNDDOWN(INDEX('90% of ACR'!K:K,MATCH(H:H,'90% of ACR'!A:A,0))*IF(I407&gt;0,IF(O407&gt;0,$R$4*MAX(O407-V407,0),0),0)/I407,2),0))</f>
        <v>0</v>
      </c>
      <c r="AI407" s="80">
        <f>IF(Y407="No",0,IFERROR(ROUNDDOWN(INDEX('90% of ACR'!R:R,MATCH(H:H,'90% of ACR'!A:A,0))*IF(J407&gt;0,IF(P407&gt;0,$R$4*MAX(P407-W407,0),0),0)/J407,2),0))</f>
        <v>0</v>
      </c>
      <c r="AJ407" s="44">
        <f t="shared" si="121"/>
        <v>0</v>
      </c>
      <c r="AK407" s="44">
        <f t="shared" si="121"/>
        <v>0</v>
      </c>
      <c r="AL407" s="46">
        <f t="shared" si="122"/>
        <v>0.01</v>
      </c>
      <c r="AM407" s="46">
        <f t="shared" si="122"/>
        <v>0.3</v>
      </c>
      <c r="AN407" s="81">
        <f>IFERROR(INDEX(FeeCalc!P:P,MATCH(C407,FeeCalc!F:F,0)),0)</f>
        <v>107958.47202943437</v>
      </c>
      <c r="AO407" s="81">
        <f>IFERROR(INDEX(FeeCalc!S:S,MATCH(C407,FeeCalc!F:F,0)),0)</f>
        <v>6657.8732453395924</v>
      </c>
      <c r="AP407" s="81">
        <f t="shared" si="123"/>
        <v>114616.34527477396</v>
      </c>
      <c r="AQ407" s="68">
        <f t="shared" si="124"/>
        <v>45107.491915577848</v>
      </c>
      <c r="AR407" s="68">
        <f>INDEX('IGT Commitment Suggestions'!H:H,MATCH(G407,'IGT Commitment Suggestions'!A:A,0))*AQ407</f>
        <v>20695.038905378926</v>
      </c>
    </row>
    <row r="408" spans="1:44" ht="25.5">
      <c r="A408" s="103" t="s">
        <v>1586</v>
      </c>
      <c r="B408" s="123" t="s">
        <v>1586</v>
      </c>
      <c r="C408" s="30" t="s">
        <v>1587</v>
      </c>
      <c r="D408" s="124" t="s">
        <v>1587</v>
      </c>
      <c r="E408" s="119" t="s">
        <v>2686</v>
      </c>
      <c r="F408" s="99" t="s">
        <v>2963</v>
      </c>
      <c r="G408" s="99" t="s">
        <v>310</v>
      </c>
      <c r="H408" s="42" t="str">
        <f t="shared" si="110"/>
        <v>State-owned non-IMD MRSA Northeast</v>
      </c>
      <c r="I408" s="44">
        <f>INDEX(FeeCalc!M:M,MATCH(C:C,FeeCalc!F:F,0))</f>
        <v>631765.43307706655</v>
      </c>
      <c r="J408" s="44">
        <f>INDEX(FeeCalc!L:L,MATCH(C:C,FeeCalc!F:F,0))</f>
        <v>3093345.8815706917</v>
      </c>
      <c r="K408" s="44">
        <f t="shared" si="111"/>
        <v>3725111.3146477584</v>
      </c>
      <c r="L408" s="44">
        <v>34741.65</v>
      </c>
      <c r="M408" s="44">
        <v>1877004.34</v>
      </c>
      <c r="N408" s="44">
        <f t="shared" si="112"/>
        <v>1911745.99</v>
      </c>
      <c r="O408" s="44">
        <v>88648.222188610991</v>
      </c>
      <c r="P408" s="44">
        <v>1426677.9002117133</v>
      </c>
      <c r="Q408" s="44">
        <f t="shared" si="113"/>
        <v>1515326.1224003243</v>
      </c>
      <c r="R408" s="44" t="str">
        <f t="shared" si="114"/>
        <v>Yes</v>
      </c>
      <c r="S408" s="45" t="str">
        <f t="shared" si="114"/>
        <v>Yes</v>
      </c>
      <c r="T408" s="46">
        <f>ROUND(INDEX(Summary!H:H,MATCH(H:H,Summary!A:A,0)),2)</f>
        <v>0.05</v>
      </c>
      <c r="U408" s="46">
        <f>ROUND(INDEX(Summary!I:I,MATCH(H:H,Summary!A:A,0)),2)</f>
        <v>0.61</v>
      </c>
      <c r="V408" s="79">
        <f t="shared" si="115"/>
        <v>31588.271653853328</v>
      </c>
      <c r="W408" s="79">
        <f t="shared" si="115"/>
        <v>1886940.9877581219</v>
      </c>
      <c r="X408" s="44">
        <f t="shared" si="116"/>
        <v>1918529.2594119753</v>
      </c>
      <c r="Y408" s="44" t="s">
        <v>2765</v>
      </c>
      <c r="Z408" s="44" t="str">
        <f t="shared" si="117"/>
        <v>No</v>
      </c>
      <c r="AA408" s="44" t="str">
        <f t="shared" si="117"/>
        <v>No</v>
      </c>
      <c r="AB408" s="44" t="str">
        <f t="shared" si="118"/>
        <v>Yes</v>
      </c>
      <c r="AC408" s="80">
        <f t="shared" si="125"/>
        <v>0.06</v>
      </c>
      <c r="AD408" s="80">
        <f t="shared" si="126"/>
        <v>0</v>
      </c>
      <c r="AE408" s="44">
        <f t="shared" si="119"/>
        <v>37905.925984623995</v>
      </c>
      <c r="AF408" s="44">
        <f t="shared" si="119"/>
        <v>0</v>
      </c>
      <c r="AG408" s="44">
        <f t="shared" si="120"/>
        <v>37905.925984623995</v>
      </c>
      <c r="AH408" s="46">
        <f>IF(Y408="No",0,IFERROR(ROUNDDOWN(INDEX('90% of ACR'!K:K,MATCH(H:H,'90% of ACR'!A:A,0))*IF(I408&gt;0,IF(O408&gt;0,$R$4*MAX(O408-V408,0),0),0)/I408,2),0))</f>
        <v>0</v>
      </c>
      <c r="AI408" s="80">
        <f>IF(Y408="No",0,IFERROR(ROUNDDOWN(INDEX('90% of ACR'!R:R,MATCH(H:H,'90% of ACR'!A:A,0))*IF(J408&gt;0,IF(P408&gt;0,$R$4*MAX(P408-W408,0),0),0)/J408,2),0))</f>
        <v>0</v>
      </c>
      <c r="AJ408" s="44">
        <f t="shared" si="121"/>
        <v>0</v>
      </c>
      <c r="AK408" s="44">
        <f t="shared" si="121"/>
        <v>0</v>
      </c>
      <c r="AL408" s="46">
        <f t="shared" si="122"/>
        <v>0.05</v>
      </c>
      <c r="AM408" s="46">
        <f t="shared" si="122"/>
        <v>0.61</v>
      </c>
      <c r="AN408" s="81">
        <f>IFERROR(INDEX(FeeCalc!P:P,MATCH(C408,FeeCalc!F:F,0)),0)</f>
        <v>1918529.2594119753</v>
      </c>
      <c r="AO408" s="81">
        <f>IFERROR(INDEX(FeeCalc!S:S,MATCH(C408,FeeCalc!F:F,0)),0)</f>
        <v>120078.61830614164</v>
      </c>
      <c r="AP408" s="81">
        <f t="shared" si="123"/>
        <v>2038607.8777181169</v>
      </c>
      <c r="AQ408" s="68">
        <f t="shared" si="124"/>
        <v>802298.20749172033</v>
      </c>
      <c r="AR408" s="68">
        <f>INDEX('IGT Commitment Suggestions'!H:H,MATCH(G408,'IGT Commitment Suggestions'!A:A,0))*AQ408</f>
        <v>367457.73068808031</v>
      </c>
    </row>
    <row r="409" spans="1:44">
      <c r="A409" s="103" t="s">
        <v>716</v>
      </c>
      <c r="B409" s="123" t="s">
        <v>716</v>
      </c>
      <c r="C409" s="30" t="s">
        <v>717</v>
      </c>
      <c r="D409" s="124" t="s">
        <v>717</v>
      </c>
      <c r="E409" s="119" t="s">
        <v>2961</v>
      </c>
      <c r="F409" s="99" t="s">
        <v>2295</v>
      </c>
      <c r="G409" s="99" t="s">
        <v>227</v>
      </c>
      <c r="H409" s="42" t="str">
        <f t="shared" si="110"/>
        <v>Rural MRSA West</v>
      </c>
      <c r="I409" s="44">
        <f>INDEX(FeeCalc!M:M,MATCH(C:C,FeeCalc!F:F,0))</f>
        <v>17483.898078473438</v>
      </c>
      <c r="J409" s="44">
        <f>INDEX(FeeCalc!L:L,MATCH(C:C,FeeCalc!F:F,0))</f>
        <v>79574.453492840083</v>
      </c>
      <c r="K409" s="44">
        <f t="shared" si="111"/>
        <v>97058.351571313513</v>
      </c>
      <c r="L409" s="44">
        <v>0</v>
      </c>
      <c r="M409" s="44">
        <v>8719.86</v>
      </c>
      <c r="N409" s="44">
        <f t="shared" si="112"/>
        <v>8719.86</v>
      </c>
      <c r="O409" s="44">
        <v>0</v>
      </c>
      <c r="P409" s="44">
        <v>102.34282385780534</v>
      </c>
      <c r="Q409" s="44">
        <f t="shared" si="113"/>
        <v>102.34282385780534</v>
      </c>
      <c r="R409" s="44" t="str">
        <f t="shared" si="114"/>
        <v>No</v>
      </c>
      <c r="S409" s="45" t="str">
        <f t="shared" si="114"/>
        <v>Yes</v>
      </c>
      <c r="T409" s="46">
        <f>ROUND(INDEX(Summary!H:H,MATCH(H:H,Summary!A:A,0)),2)</f>
        <v>0</v>
      </c>
      <c r="U409" s="46">
        <f>ROUND(INDEX(Summary!I:I,MATCH(H:H,Summary!A:A,0)),2)</f>
        <v>0.18</v>
      </c>
      <c r="V409" s="79">
        <f t="shared" si="115"/>
        <v>0</v>
      </c>
      <c r="W409" s="79">
        <f t="shared" si="115"/>
        <v>14323.401628711214</v>
      </c>
      <c r="X409" s="44">
        <f t="shared" si="116"/>
        <v>14323.401628711214</v>
      </c>
      <c r="Y409" s="44" t="s">
        <v>2765</v>
      </c>
      <c r="Z409" s="44" t="str">
        <f t="shared" si="117"/>
        <v>No</v>
      </c>
      <c r="AA409" s="44" t="str">
        <f t="shared" si="117"/>
        <v>No</v>
      </c>
      <c r="AB409" s="44" t="str">
        <f t="shared" si="118"/>
        <v>No</v>
      </c>
      <c r="AC409" s="80">
        <f t="shared" si="125"/>
        <v>0</v>
      </c>
      <c r="AD409" s="80">
        <f t="shared" si="126"/>
        <v>0</v>
      </c>
      <c r="AE409" s="44">
        <f t="shared" si="119"/>
        <v>0</v>
      </c>
      <c r="AF409" s="44">
        <f t="shared" si="119"/>
        <v>0</v>
      </c>
      <c r="AG409" s="44">
        <f t="shared" si="120"/>
        <v>0</v>
      </c>
      <c r="AH409" s="46">
        <f>IF(Y409="No",0,IFERROR(ROUNDDOWN(INDEX('90% of ACR'!K:K,MATCH(H:H,'90% of ACR'!A:A,0))*IF(I409&gt;0,IF(O409&gt;0,$R$4*MAX(O409-V409,0),0),0)/I409,2),0))</f>
        <v>0</v>
      </c>
      <c r="AI409" s="80">
        <f>IF(Y409="No",0,IFERROR(ROUNDDOWN(INDEX('90% of ACR'!R:R,MATCH(H:H,'90% of ACR'!A:A,0))*IF(J409&gt;0,IF(P409&gt;0,$R$4*MAX(P409-W409,0),0),0)/J409,2),0))</f>
        <v>0</v>
      </c>
      <c r="AJ409" s="44">
        <f t="shared" si="121"/>
        <v>0</v>
      </c>
      <c r="AK409" s="44">
        <f t="shared" si="121"/>
        <v>0</v>
      </c>
      <c r="AL409" s="46">
        <f t="shared" si="122"/>
        <v>0</v>
      </c>
      <c r="AM409" s="46">
        <f t="shared" si="122"/>
        <v>0.18</v>
      </c>
      <c r="AN409" s="81">
        <f>IFERROR(INDEX(FeeCalc!P:P,MATCH(C409,FeeCalc!F:F,0)),0)</f>
        <v>14323.401628711214</v>
      </c>
      <c r="AO409" s="81">
        <f>IFERROR(INDEX(FeeCalc!S:S,MATCH(C409,FeeCalc!F:F,0)),0)</f>
        <v>881.02260130675268</v>
      </c>
      <c r="AP409" s="81">
        <f t="shared" si="123"/>
        <v>15204.424230017967</v>
      </c>
      <c r="AQ409" s="68">
        <f t="shared" si="124"/>
        <v>5983.7315645720319</v>
      </c>
      <c r="AR409" s="68">
        <f>INDEX('IGT Commitment Suggestions'!H:H,MATCH(G409,'IGT Commitment Suggestions'!A:A,0))*AQ409</f>
        <v>2932.4093353506601</v>
      </c>
    </row>
    <row r="410" spans="1:44">
      <c r="A410" s="103" t="s">
        <v>2791</v>
      </c>
      <c r="B410" s="123" t="s">
        <v>2557</v>
      </c>
      <c r="C410" s="30" t="s">
        <v>2558</v>
      </c>
      <c r="D410" s="124" t="s">
        <v>2558</v>
      </c>
      <c r="E410" s="119" t="s">
        <v>2962</v>
      </c>
      <c r="F410" s="99" t="s">
        <v>2295</v>
      </c>
      <c r="G410" s="99" t="s">
        <v>227</v>
      </c>
      <c r="H410" s="42" t="str">
        <f t="shared" si="110"/>
        <v>Rural MRSA West</v>
      </c>
      <c r="I410" s="44">
        <f>INDEX(FeeCalc!M:M,MATCH(C:C,FeeCalc!F:F,0))</f>
        <v>1022875.0496981719</v>
      </c>
      <c r="J410" s="44">
        <f>INDEX(FeeCalc!L:L,MATCH(C:C,FeeCalc!F:F,0))</f>
        <v>598375.37095343776</v>
      </c>
      <c r="K410" s="44">
        <f t="shared" si="111"/>
        <v>1621250.4206516095</v>
      </c>
      <c r="L410" s="44">
        <v>28704.959999999999</v>
      </c>
      <c r="M410" s="44">
        <v>1911155.65</v>
      </c>
      <c r="N410" s="44">
        <f t="shared" si="112"/>
        <v>1939860.6099999999</v>
      </c>
      <c r="O410" s="44">
        <v>940273.54658561433</v>
      </c>
      <c r="P410" s="44">
        <v>3904144.7524557095</v>
      </c>
      <c r="Q410" s="44">
        <f t="shared" si="113"/>
        <v>4844418.2990413234</v>
      </c>
      <c r="R410" s="44" t="str">
        <f t="shared" si="114"/>
        <v>Yes</v>
      </c>
      <c r="S410" s="45" t="str">
        <f t="shared" si="114"/>
        <v>Yes</v>
      </c>
      <c r="T410" s="46">
        <f>ROUND(INDEX(Summary!H:H,MATCH(H:H,Summary!A:A,0)),2)</f>
        <v>0</v>
      </c>
      <c r="U410" s="46">
        <f>ROUND(INDEX(Summary!I:I,MATCH(H:H,Summary!A:A,0)),2)</f>
        <v>0.18</v>
      </c>
      <c r="V410" s="79">
        <f t="shared" si="115"/>
        <v>0</v>
      </c>
      <c r="W410" s="79">
        <f t="shared" si="115"/>
        <v>107707.56677161879</v>
      </c>
      <c r="X410" s="44">
        <f t="shared" si="116"/>
        <v>107707.56677161879</v>
      </c>
      <c r="Y410" s="44" t="s">
        <v>2765</v>
      </c>
      <c r="Z410" s="44" t="str">
        <f t="shared" si="117"/>
        <v>No</v>
      </c>
      <c r="AA410" s="44" t="str">
        <f t="shared" si="117"/>
        <v>Yes</v>
      </c>
      <c r="AB410" s="44" t="str">
        <f t="shared" si="118"/>
        <v>Yes</v>
      </c>
      <c r="AC410" s="80">
        <f t="shared" si="125"/>
        <v>0.64</v>
      </c>
      <c r="AD410" s="80">
        <f t="shared" si="126"/>
        <v>4.42</v>
      </c>
      <c r="AE410" s="44">
        <f t="shared" si="119"/>
        <v>654640.03180683008</v>
      </c>
      <c r="AF410" s="44">
        <f t="shared" si="119"/>
        <v>2644819.1396141946</v>
      </c>
      <c r="AG410" s="44">
        <f t="shared" si="120"/>
        <v>3299459.1714210249</v>
      </c>
      <c r="AH410" s="46">
        <f>IF(Y410="No",0,IFERROR(ROUNDDOWN(INDEX('90% of ACR'!K:K,MATCH(H:H,'90% of ACR'!A:A,0))*IF(I410&gt;0,IF(O410&gt;0,$R$4*MAX(O410-V410,0),0),0)/I410,2),0))</f>
        <v>0</v>
      </c>
      <c r="AI410" s="80">
        <f>IF(Y410="No",0,IFERROR(ROUNDDOWN(INDEX('90% of ACR'!R:R,MATCH(H:H,'90% of ACR'!A:A,0))*IF(J410&gt;0,IF(P410&gt;0,$R$4*MAX(P410-W410,0),0),0)/J410,2),0))</f>
        <v>4.32</v>
      </c>
      <c r="AJ410" s="44">
        <f t="shared" si="121"/>
        <v>0</v>
      </c>
      <c r="AK410" s="44">
        <f t="shared" si="121"/>
        <v>2584981.6025188514</v>
      </c>
      <c r="AL410" s="46">
        <f t="shared" si="122"/>
        <v>0</v>
      </c>
      <c r="AM410" s="46">
        <f t="shared" si="122"/>
        <v>4.5</v>
      </c>
      <c r="AN410" s="81">
        <f>IFERROR(INDEX(FeeCalc!P:P,MATCH(C410,FeeCalc!F:F,0)),0)</f>
        <v>2692689.16929047</v>
      </c>
      <c r="AO410" s="81">
        <f>IFERROR(INDEX(FeeCalc!S:S,MATCH(C410,FeeCalc!F:F,0)),0)</f>
        <v>164275.46656148756</v>
      </c>
      <c r="AP410" s="81">
        <f t="shared" si="123"/>
        <v>2856964.6358519574</v>
      </c>
      <c r="AQ410" s="68">
        <f t="shared" si="124"/>
        <v>1124364.1463688095</v>
      </c>
      <c r="AR410" s="68">
        <f>INDEX('IGT Commitment Suggestions'!H:H,MATCH(G410,'IGT Commitment Suggestions'!A:A,0))*AQ410</f>
        <v>551009.99828712863</v>
      </c>
    </row>
    <row r="411" spans="1:44">
      <c r="A411" s="103" t="s">
        <v>650</v>
      </c>
      <c r="B411" s="123" t="s">
        <v>650</v>
      </c>
      <c r="C411" s="30" t="s">
        <v>651</v>
      </c>
      <c r="D411" s="124" t="s">
        <v>651</v>
      </c>
      <c r="E411" s="119" t="s">
        <v>2345</v>
      </c>
      <c r="F411" s="99" t="s">
        <v>2295</v>
      </c>
      <c r="G411" s="99" t="s">
        <v>227</v>
      </c>
      <c r="H411" s="42" t="str">
        <f t="shared" si="110"/>
        <v>Rural MRSA West</v>
      </c>
      <c r="I411" s="44">
        <f>INDEX(FeeCalc!M:M,MATCH(C:C,FeeCalc!F:F,0))</f>
        <v>16647.685962294319</v>
      </c>
      <c r="J411" s="44">
        <f>INDEX(FeeCalc!L:L,MATCH(C:C,FeeCalc!F:F,0))</f>
        <v>118716.69000553698</v>
      </c>
      <c r="K411" s="44">
        <f t="shared" si="111"/>
        <v>135364.37596783129</v>
      </c>
      <c r="L411" s="44">
        <v>36150.79</v>
      </c>
      <c r="M411" s="44">
        <v>46629.73</v>
      </c>
      <c r="N411" s="44">
        <f t="shared" si="112"/>
        <v>82780.52</v>
      </c>
      <c r="O411" s="44">
        <v>-14679.43051678242</v>
      </c>
      <c r="P411" s="44">
        <v>14998.929499714948</v>
      </c>
      <c r="Q411" s="44">
        <f t="shared" si="113"/>
        <v>319.49898293252772</v>
      </c>
      <c r="R411" s="44" t="str">
        <f t="shared" si="114"/>
        <v>No</v>
      </c>
      <c r="S411" s="45" t="str">
        <f t="shared" si="114"/>
        <v>Yes</v>
      </c>
      <c r="T411" s="46">
        <f>ROUND(INDEX(Summary!H:H,MATCH(H:H,Summary!A:A,0)),2)</f>
        <v>0</v>
      </c>
      <c r="U411" s="46">
        <f>ROUND(INDEX(Summary!I:I,MATCH(H:H,Summary!A:A,0)),2)</f>
        <v>0.18</v>
      </c>
      <c r="V411" s="79">
        <f t="shared" si="115"/>
        <v>0</v>
      </c>
      <c r="W411" s="79">
        <f t="shared" si="115"/>
        <v>21369.004200996656</v>
      </c>
      <c r="X411" s="44">
        <f t="shared" si="116"/>
        <v>21369.004200996656</v>
      </c>
      <c r="Y411" s="44" t="s">
        <v>2765</v>
      </c>
      <c r="Z411" s="44" t="str">
        <f t="shared" si="117"/>
        <v>No</v>
      </c>
      <c r="AA411" s="44" t="str">
        <f t="shared" si="117"/>
        <v>No</v>
      </c>
      <c r="AB411" s="44" t="str">
        <f t="shared" si="118"/>
        <v>No</v>
      </c>
      <c r="AC411" s="80">
        <f t="shared" si="125"/>
        <v>0</v>
      </c>
      <c r="AD411" s="80">
        <f t="shared" si="126"/>
        <v>0</v>
      </c>
      <c r="AE411" s="44">
        <f t="shared" si="119"/>
        <v>0</v>
      </c>
      <c r="AF411" s="44">
        <f t="shared" si="119"/>
        <v>0</v>
      </c>
      <c r="AG411" s="44">
        <f t="shared" si="120"/>
        <v>0</v>
      </c>
      <c r="AH411" s="46">
        <f>IF(Y411="No",0,IFERROR(ROUNDDOWN(INDEX('90% of ACR'!K:K,MATCH(H:H,'90% of ACR'!A:A,0))*IF(I411&gt;0,IF(O411&gt;0,$R$4*MAX(O411-V411,0),0),0)/I411,2),0))</f>
        <v>0</v>
      </c>
      <c r="AI411" s="80">
        <f>IF(Y411="No",0,IFERROR(ROUNDDOWN(INDEX('90% of ACR'!R:R,MATCH(H:H,'90% of ACR'!A:A,0))*IF(J411&gt;0,IF(P411&gt;0,$R$4*MAX(P411-W411,0),0),0)/J411,2),0))</f>
        <v>0</v>
      </c>
      <c r="AJ411" s="44">
        <f t="shared" si="121"/>
        <v>0</v>
      </c>
      <c r="AK411" s="44">
        <f t="shared" si="121"/>
        <v>0</v>
      </c>
      <c r="AL411" s="46">
        <f t="shared" si="122"/>
        <v>0</v>
      </c>
      <c r="AM411" s="46">
        <f t="shared" si="122"/>
        <v>0.18</v>
      </c>
      <c r="AN411" s="81">
        <f>IFERROR(INDEX(FeeCalc!P:P,MATCH(C411,FeeCalc!F:F,0)),0)</f>
        <v>21369.004200996656</v>
      </c>
      <c r="AO411" s="81">
        <f>IFERROR(INDEX(FeeCalc!S:S,MATCH(C411,FeeCalc!F:F,0)),0)</f>
        <v>1319.3321708347394</v>
      </c>
      <c r="AP411" s="81">
        <f t="shared" si="123"/>
        <v>22688.336371831396</v>
      </c>
      <c r="AQ411" s="68">
        <f t="shared" si="124"/>
        <v>8929.0401558069898</v>
      </c>
      <c r="AR411" s="68">
        <f>INDEX('IGT Commitment Suggestions'!H:H,MATCH(G411,'IGT Commitment Suggestions'!A:A,0))*AQ411</f>
        <v>4375.798016013111</v>
      </c>
    </row>
  </sheetData>
  <scenarios current="0" sqref="X4 AJ4 AK4 AN4 AO4 AP4">
    <scenario name="80 PCT" locked="1" count="1" user="Gonzalez,Meredith (HHSC)" comment="Created by Gonzalez,Meredith (HHSC) on 5/3/2022">
      <inputCells r="R4" val="0.8" numFmtId="9"/>
    </scenario>
    <scenario name="100 PCT" locked="1" count="1" user="Gonzalez,Meredith (HHSC)" comment="Created by Gonzalez,Meredith (HHSC) on 5/3/2022">
      <inputCells r="R4" val="1" numFmtId="9"/>
    </scenario>
    <scenario name="90 PCT" locked="1" count="1" user="Gonzalez,Meredith (HHSC)" comment="Created by Gonzalez,Meredith (HHSC) on 5/3/2022">
      <inputCells r="R4" val="0.9" numFmtId="9"/>
    </scenario>
    <scenario name="5.02B" locked="1" count="1" user="Gonzalez,Meredith (HHSC)" comment="Created by Gonzalez,Meredith (HHSC) on 5/3/2022">
      <inputCells r="R4" val="0.61" numFmtId="9"/>
    </scenario>
    <scenario name="4.7B" locked="1" count="1" user="Gonzalez,Meredith (HHSC)" comment="Created by Gonzalez,Meredith (HHSC) on 5/3/2022">
      <inputCells r="R4" val="0.52" numFmtId="9"/>
    </scenario>
  </scenarios>
  <autoFilter ref="A5:AR411" xr:uid="{CFD91686-16E2-4E00-82C6-9FB658861CB0}"/>
  <sortState xmlns:xlrd2="http://schemas.microsoft.com/office/spreadsheetml/2017/richdata2" ref="F6:O52">
    <sortCondition ref="I6:I52"/>
  </sortState>
  <dataConsolidate link="1"/>
  <phoneticPr fontId="25" type="noConversion"/>
  <conditionalFormatting sqref="A412:A1048576 A1:A2 A4:A5">
    <cfRule type="duplicateValues" dxfId="10" priority="23"/>
  </conditionalFormatting>
  <conditionalFormatting sqref="C226:C411 C5:C224">
    <cfRule type="duplicateValues" dxfId="9" priority="105"/>
  </conditionalFormatting>
  <conditionalFormatting sqref="C1:C1048576">
    <cfRule type="duplicateValues" dxfId="8" priority="2"/>
  </conditionalFormatting>
  <conditionalFormatting sqref="A1:A1048576">
    <cfRule type="duplicateValues" dxfId="7" priority="1"/>
  </conditionalFormatting>
  <conditionalFormatting sqref="B6:B52">
    <cfRule type="duplicateValues" dxfId="6" priority="310"/>
  </conditionalFormatting>
  <pageMargins left="0.7" right="0.7" top="0.75" bottom="0.75" header="0.3" footer="0.3"/>
  <pageSetup scale="23" fitToHeight="0" orientation="landscape" r:id="rId1"/>
  <cellWatches>
    <cellWatch r="AP4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82DFC-524D-4412-850A-3055C2B2DCAA}">
  <sheetPr>
    <tabColor rgb="FF7030A0"/>
  </sheetPr>
  <dimension ref="A1:X411"/>
  <sheetViews>
    <sheetView zoomScale="70" zoomScaleNormal="70" workbookViewId="0">
      <pane ySplit="4" topLeftCell="A5" activePane="bottomLeft" state="frozen"/>
      <selection pane="bottomLeft" activeCell="C10" sqref="C10"/>
    </sheetView>
  </sheetViews>
  <sheetFormatPr defaultColWidth="9.09765625" defaultRowHeight="15"/>
  <cols>
    <col min="1" max="1" width="23.296875" style="9" customWidth="1"/>
    <col min="2" max="2" width="7" style="9" bestFit="1" customWidth="1"/>
    <col min="3" max="3" width="18.796875" style="9" customWidth="1"/>
    <col min="4" max="4" width="14.19921875" style="9" customWidth="1"/>
    <col min="5" max="5" width="19.09765625" style="9" bestFit="1" customWidth="1"/>
    <col min="6" max="6" width="11" style="9" bestFit="1" customWidth="1"/>
    <col min="7" max="7" width="25.59765625" style="9" customWidth="1"/>
    <col min="8" max="8" width="14.19921875" style="9" customWidth="1"/>
    <col min="9" max="9" width="14.19921875" style="9" bestFit="1" customWidth="1"/>
    <col min="10" max="11" width="12.3984375" style="9" bestFit="1" customWidth="1"/>
    <col min="12" max="12" width="14.19921875" style="9" bestFit="1" customWidth="1"/>
    <col min="13" max="13" width="14.19921875" style="9" customWidth="1"/>
    <col min="14" max="14" width="9.19921875" style="9" bestFit="1" customWidth="1"/>
    <col min="15" max="15" width="9.19921875" style="9" customWidth="1"/>
    <col min="16" max="16" width="14.19921875" style="9" bestFit="1" customWidth="1"/>
    <col min="17" max="18" width="14.19921875" style="9" customWidth="1"/>
    <col min="19" max="19" width="13.09765625" style="9" customWidth="1"/>
    <col min="20" max="20" width="14.19921875" style="9" bestFit="1" customWidth="1"/>
    <col min="21" max="21" width="14.19921875" style="9" customWidth="1"/>
    <col min="22" max="22" width="14.3984375" style="9" customWidth="1"/>
    <col min="23" max="23" width="12.3984375" style="9" customWidth="1"/>
    <col min="24" max="24" width="14.19921875" style="9" bestFit="1" customWidth="1"/>
    <col min="25" max="16384" width="9.09765625" style="9"/>
  </cols>
  <sheetData>
    <row r="1" spans="1:24">
      <c r="A1" s="1" t="s">
        <v>2978</v>
      </c>
      <c r="B1" s="9" t="s">
        <v>2979</v>
      </c>
    </row>
    <row r="2" spans="1:24">
      <c r="H2" s="125" t="s">
        <v>2980</v>
      </c>
      <c r="I2" s="126"/>
      <c r="J2" s="126"/>
      <c r="K2" s="126"/>
      <c r="L2" s="127"/>
      <c r="M2" s="152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H3" s="128" t="s">
        <v>2399</v>
      </c>
      <c r="I3" s="129"/>
      <c r="J3" s="129" t="s">
        <v>2400</v>
      </c>
      <c r="K3" s="129"/>
      <c r="L3" s="157" t="s">
        <v>2278</v>
      </c>
      <c r="M3" s="158" t="s">
        <v>3035</v>
      </c>
      <c r="N3" s="1"/>
      <c r="O3" s="1"/>
      <c r="P3" s="125" t="s">
        <v>2981</v>
      </c>
      <c r="Q3" s="126"/>
      <c r="R3" s="126"/>
      <c r="S3" s="126"/>
      <c r="T3" s="126"/>
      <c r="U3" s="126"/>
      <c r="V3" s="126"/>
      <c r="W3" s="126"/>
      <c r="X3" s="127"/>
    </row>
    <row r="4" spans="1:24" ht="45">
      <c r="A4" s="1" t="s">
        <v>2752</v>
      </c>
      <c r="D4" s="130" t="s">
        <v>2978</v>
      </c>
      <c r="E4" s="1" t="s">
        <v>2282</v>
      </c>
      <c r="F4" s="5" t="s">
        <v>1760</v>
      </c>
      <c r="G4" s="1" t="s">
        <v>2281</v>
      </c>
      <c r="H4" s="131" t="s">
        <v>2280</v>
      </c>
      <c r="I4" s="147" t="s">
        <v>2279</v>
      </c>
      <c r="J4" s="147" t="s">
        <v>2280</v>
      </c>
      <c r="K4" s="147" t="s">
        <v>2279</v>
      </c>
      <c r="L4" s="157"/>
      <c r="M4" s="158"/>
      <c r="N4" s="132" t="s">
        <v>3036</v>
      </c>
      <c r="O4" s="132" t="s">
        <v>3037</v>
      </c>
      <c r="P4" s="133" t="s">
        <v>2749</v>
      </c>
      <c r="Q4" s="154" t="s">
        <v>3042</v>
      </c>
      <c r="R4" s="154" t="s">
        <v>3043</v>
      </c>
      <c r="S4" s="132" t="s">
        <v>2727</v>
      </c>
      <c r="T4" s="132" t="s">
        <v>2751</v>
      </c>
      <c r="U4" s="132" t="s">
        <v>3038</v>
      </c>
      <c r="V4" s="132" t="s">
        <v>2750</v>
      </c>
      <c r="W4" s="132" t="s">
        <v>3019</v>
      </c>
      <c r="X4" s="134" t="s">
        <v>2401</v>
      </c>
    </row>
    <row r="5" spans="1:24">
      <c r="A5" s="9" t="s">
        <v>2753</v>
      </c>
      <c r="B5" s="135">
        <v>1.4999999999999999E-2</v>
      </c>
      <c r="C5" s="8"/>
      <c r="D5" s="9" t="s">
        <v>487</v>
      </c>
      <c r="E5" s="9" t="s">
        <v>1547</v>
      </c>
      <c r="F5" s="4" t="s">
        <v>71</v>
      </c>
      <c r="G5" s="9" t="s">
        <v>2982</v>
      </c>
      <c r="H5" s="136">
        <v>26737245.30047521</v>
      </c>
      <c r="I5" s="137">
        <v>69731511.90416047</v>
      </c>
      <c r="J5" s="137">
        <v>93926.358252811391</v>
      </c>
      <c r="K5" s="137">
        <v>153793.69439010686</v>
      </c>
      <c r="L5" s="149">
        <f>H5+J5</f>
        <v>26831171.658728022</v>
      </c>
      <c r="M5" s="138">
        <f>I5+K5</f>
        <v>69885305.598550573</v>
      </c>
      <c r="N5" s="139">
        <f>INDEX('CHIRP Payment Calc'!AM:AM,MATCH(F:F,'CHIRP Payment Calc'!C:C,0))</f>
        <v>1.1499999999999999</v>
      </c>
      <c r="O5" s="139">
        <f>INDEX('CHIRP Payment Calc'!AL:AL,MATCH(F:F,'CHIRP Payment Calc'!C:C,0))</f>
        <v>0.74</v>
      </c>
      <c r="P5" s="136">
        <f>(L5*N5)+(M5*O5)</f>
        <v>82570973.550464645</v>
      </c>
      <c r="Q5" s="149">
        <f>(T5+V5)*$B$10</f>
        <v>5023953.5034652008</v>
      </c>
      <c r="R5" s="149">
        <f>(U5+W5)*$B$11</f>
        <v>14158.892287622057</v>
      </c>
      <c r="S5" s="137">
        <f>(T5+V5)*$B$10+(U5+W5)*$B$11</f>
        <v>5038112.395752823</v>
      </c>
      <c r="T5" s="137">
        <f>H5/(1-$B$10)*N5</f>
        <v>32623694.531083807</v>
      </c>
      <c r="U5" s="137">
        <f>J5/(1-$B$11)*N5</f>
        <v>114909.90637312032</v>
      </c>
      <c r="V5" s="137">
        <f>I5/(1-$B$10)*O5</f>
        <v>54749409.877006628</v>
      </c>
      <c r="W5" s="137">
        <f>K5/(1-$B$11)*O5</f>
        <v>121071.63175391393</v>
      </c>
      <c r="X5" s="138">
        <f>SUM(T5:W5)</f>
        <v>87609085.946217462</v>
      </c>
    </row>
    <row r="6" spans="1:24">
      <c r="A6" s="9" t="s">
        <v>2754</v>
      </c>
      <c r="B6" s="135">
        <v>1.7500000000000002E-2</v>
      </c>
      <c r="C6" s="8"/>
      <c r="D6" s="9" t="s">
        <v>487</v>
      </c>
      <c r="E6" s="9" t="s">
        <v>2544</v>
      </c>
      <c r="F6" s="4" t="s">
        <v>1340</v>
      </c>
      <c r="G6" s="9" t="s">
        <v>2843</v>
      </c>
      <c r="H6" s="136">
        <v>0</v>
      </c>
      <c r="I6" s="137">
        <v>4458940.906364847</v>
      </c>
      <c r="J6" s="137">
        <v>0</v>
      </c>
      <c r="K6" s="137">
        <v>0</v>
      </c>
      <c r="L6" s="149">
        <f t="shared" ref="L6:L69" si="0">H6+J6</f>
        <v>0</v>
      </c>
      <c r="M6" s="138">
        <f t="shared" ref="M6:M69" si="1">I6+K6</f>
        <v>4458940.906364847</v>
      </c>
      <c r="N6" s="139">
        <f>INDEX('CHIRP Payment Calc'!AM:AM,MATCH(F:F,'CHIRP Payment Calc'!C:C,0))</f>
        <v>0</v>
      </c>
      <c r="O6" s="139">
        <f>INDEX('CHIRP Payment Calc'!AL:AL,MATCH(F:F,'CHIRP Payment Calc'!C:C,0))</f>
        <v>7.0000000000000007E-2</v>
      </c>
      <c r="P6" s="136">
        <f t="shared" ref="P6:P69" si="2">(L6*N6)+(M6*O6)</f>
        <v>312125.86344553932</v>
      </c>
      <c r="Q6" s="149">
        <f t="shared" ref="Q6:Q69" si="3">(T6+V6)*$B$10</f>
        <v>19042.161430364467</v>
      </c>
      <c r="R6" s="149">
        <f t="shared" ref="R6:R69" si="4">(U6+W6)*$B$11</f>
        <v>0</v>
      </c>
      <c r="S6" s="137">
        <f t="shared" ref="S6:S69" si="5">(T6+V6)*$B$10+(U6+W6)*$B$11</f>
        <v>19042.161430364467</v>
      </c>
      <c r="T6" s="137">
        <f t="shared" ref="T6:T69" si="6">H6/(1-$B$10)*N6</f>
        <v>0</v>
      </c>
      <c r="U6" s="137">
        <f t="shared" ref="U6:U69" si="7">J6/(1-$B$11)*N6</f>
        <v>0</v>
      </c>
      <c r="V6" s="137">
        <f t="shared" ref="V6:V69" si="8">I6/(1-$B$10)*O6</f>
        <v>331168.02487590379</v>
      </c>
      <c r="W6" s="137">
        <f t="shared" ref="W6:W69" si="9">K6/(1-$B$11)*O6</f>
        <v>0</v>
      </c>
      <c r="X6" s="138">
        <f t="shared" ref="X6:X69" si="10">SUM(T6:W6)</f>
        <v>331168.02487590379</v>
      </c>
    </row>
    <row r="7" spans="1:24">
      <c r="A7" s="9" t="s">
        <v>2755</v>
      </c>
      <c r="B7" s="135">
        <v>2.5000000000000001E-2</v>
      </c>
      <c r="C7" s="8"/>
      <c r="D7" s="9" t="s">
        <v>487</v>
      </c>
      <c r="E7" s="9" t="s">
        <v>2544</v>
      </c>
      <c r="F7" s="4" t="s">
        <v>2332</v>
      </c>
      <c r="G7" s="9" t="s">
        <v>2543</v>
      </c>
      <c r="H7" s="136">
        <v>0</v>
      </c>
      <c r="I7" s="137">
        <v>8753877.1514494829</v>
      </c>
      <c r="J7" s="137">
        <v>0</v>
      </c>
      <c r="K7" s="137">
        <v>0</v>
      </c>
      <c r="L7" s="149">
        <f t="shared" si="0"/>
        <v>0</v>
      </c>
      <c r="M7" s="138">
        <f t="shared" si="1"/>
        <v>8753877.1514494829</v>
      </c>
      <c r="N7" s="139">
        <f>INDEX('CHIRP Payment Calc'!AM:AM,MATCH(F:F,'CHIRP Payment Calc'!C:C,0))</f>
        <v>0</v>
      </c>
      <c r="O7" s="139">
        <f>INDEX('CHIRP Payment Calc'!AL:AL,MATCH(F:F,'CHIRP Payment Calc'!C:C,0))</f>
        <v>7.0000000000000007E-2</v>
      </c>
      <c r="P7" s="136">
        <f t="shared" si="2"/>
        <v>612771.40060146386</v>
      </c>
      <c r="Q7" s="149">
        <f t="shared" si="3"/>
        <v>37383.931601680822</v>
      </c>
      <c r="R7" s="149">
        <f t="shared" si="4"/>
        <v>0</v>
      </c>
      <c r="S7" s="137">
        <f t="shared" si="5"/>
        <v>37383.931601680822</v>
      </c>
      <c r="T7" s="137">
        <f t="shared" si="6"/>
        <v>0</v>
      </c>
      <c r="U7" s="137">
        <f t="shared" si="7"/>
        <v>0</v>
      </c>
      <c r="V7" s="137">
        <f t="shared" si="8"/>
        <v>650155.33220314467</v>
      </c>
      <c r="W7" s="137">
        <f t="shared" si="9"/>
        <v>0</v>
      </c>
      <c r="X7" s="138">
        <f t="shared" si="10"/>
        <v>650155.33220314467</v>
      </c>
    </row>
    <row r="8" spans="1:24">
      <c r="A8" s="9" t="s">
        <v>2756</v>
      </c>
      <c r="B8" s="135">
        <v>1.7500000000000002E-2</v>
      </c>
      <c r="C8" s="8"/>
      <c r="D8" s="9" t="s">
        <v>487</v>
      </c>
      <c r="E8" s="9" t="s">
        <v>2544</v>
      </c>
      <c r="F8" s="4" t="s">
        <v>1307</v>
      </c>
      <c r="G8" s="9" t="s">
        <v>2731</v>
      </c>
      <c r="H8" s="136">
        <v>0</v>
      </c>
      <c r="I8" s="137">
        <v>5178829.9501364185</v>
      </c>
      <c r="J8" s="137">
        <v>0</v>
      </c>
      <c r="K8" s="137">
        <v>0</v>
      </c>
      <c r="L8" s="149">
        <f t="shared" si="0"/>
        <v>0</v>
      </c>
      <c r="M8" s="138">
        <f t="shared" si="1"/>
        <v>5178829.9501364185</v>
      </c>
      <c r="N8" s="139">
        <f>INDEX('CHIRP Payment Calc'!AM:AM,MATCH(F:F,'CHIRP Payment Calc'!C:C,0))</f>
        <v>0</v>
      </c>
      <c r="O8" s="139">
        <f>INDEX('CHIRP Payment Calc'!AL:AL,MATCH(F:F,'CHIRP Payment Calc'!C:C,0))</f>
        <v>7.0000000000000007E-2</v>
      </c>
      <c r="P8" s="136">
        <f t="shared" si="2"/>
        <v>362518.0965095493</v>
      </c>
      <c r="Q8" s="149">
        <f t="shared" si="3"/>
        <v>22116.488646471182</v>
      </c>
      <c r="R8" s="149">
        <f t="shared" si="4"/>
        <v>0</v>
      </c>
      <c r="S8" s="137">
        <f t="shared" si="5"/>
        <v>22116.488646471182</v>
      </c>
      <c r="T8" s="137">
        <f t="shared" si="6"/>
        <v>0</v>
      </c>
      <c r="U8" s="137">
        <f t="shared" si="7"/>
        <v>0</v>
      </c>
      <c r="V8" s="137">
        <f t="shared" si="8"/>
        <v>384634.58515602053</v>
      </c>
      <c r="W8" s="137">
        <f t="shared" si="9"/>
        <v>0</v>
      </c>
      <c r="X8" s="138">
        <f t="shared" si="10"/>
        <v>384634.58515602053</v>
      </c>
    </row>
    <row r="9" spans="1:24">
      <c r="A9" s="9" t="s">
        <v>2757</v>
      </c>
      <c r="B9" s="135">
        <v>0</v>
      </c>
      <c r="D9" s="9" t="s">
        <v>487</v>
      </c>
      <c r="E9" s="9" t="s">
        <v>2295</v>
      </c>
      <c r="F9" s="4" t="s">
        <v>863</v>
      </c>
      <c r="G9" s="9" t="s">
        <v>2441</v>
      </c>
      <c r="H9" s="136">
        <v>2142392.4437669655</v>
      </c>
      <c r="I9" s="137">
        <v>1152338.3180285078</v>
      </c>
      <c r="J9" s="137">
        <v>460936.49980006507</v>
      </c>
      <c r="K9" s="137">
        <v>431458.63967977237</v>
      </c>
      <c r="L9" s="149">
        <f t="shared" si="0"/>
        <v>2603328.9435670306</v>
      </c>
      <c r="M9" s="138">
        <f t="shared" si="1"/>
        <v>1583796.9577082801</v>
      </c>
      <c r="N9" s="139">
        <f>INDEX('CHIRP Payment Calc'!AM:AM,MATCH(F:F,'CHIRP Payment Calc'!C:C,0))</f>
        <v>0.37</v>
      </c>
      <c r="O9" s="139">
        <f>INDEX('CHIRP Payment Calc'!AL:AL,MATCH(F:F,'CHIRP Payment Calc'!C:C,0))</f>
        <v>0.53</v>
      </c>
      <c r="P9" s="136">
        <f t="shared" si="2"/>
        <v>1802644.0967051899</v>
      </c>
      <c r="Q9" s="149">
        <f t="shared" si="3"/>
        <v>85620.063112001022</v>
      </c>
      <c r="R9" s="149">
        <f t="shared" si="4"/>
        <v>25482.101103593839</v>
      </c>
      <c r="S9" s="137">
        <f t="shared" si="5"/>
        <v>111102.16421559486</v>
      </c>
      <c r="T9" s="137">
        <f t="shared" si="6"/>
        <v>841045.30948941875</v>
      </c>
      <c r="U9" s="137">
        <f t="shared" si="7"/>
        <v>181432.4520489618</v>
      </c>
      <c r="V9" s="137">
        <f t="shared" si="8"/>
        <v>647999.26637146855</v>
      </c>
      <c r="W9" s="137">
        <f t="shared" si="9"/>
        <v>243269.23301093551</v>
      </c>
      <c r="X9" s="138">
        <f t="shared" si="10"/>
        <v>1913746.2609207847</v>
      </c>
    </row>
    <row r="10" spans="1:24">
      <c r="A10" s="1" t="s">
        <v>2983</v>
      </c>
      <c r="B10" s="140">
        <v>5.7500000000000002E-2</v>
      </c>
      <c r="C10" s="137"/>
      <c r="D10" s="9" t="s">
        <v>487</v>
      </c>
      <c r="E10" s="9" t="s">
        <v>2295</v>
      </c>
      <c r="F10" s="4" t="s">
        <v>832</v>
      </c>
      <c r="G10" s="9" t="s">
        <v>2707</v>
      </c>
      <c r="H10" s="136">
        <v>1778242.1489992274</v>
      </c>
      <c r="I10" s="137">
        <v>407312.59345585055</v>
      </c>
      <c r="J10" s="137">
        <v>187508.90626106414</v>
      </c>
      <c r="K10" s="137">
        <v>59298.249200585509</v>
      </c>
      <c r="L10" s="149">
        <f t="shared" si="0"/>
        <v>1965751.0552602916</v>
      </c>
      <c r="M10" s="138">
        <f t="shared" si="1"/>
        <v>466610.84265643609</v>
      </c>
      <c r="N10" s="139">
        <f>INDEX('CHIRP Payment Calc'!AM:AM,MATCH(F:F,'CHIRP Payment Calc'!C:C,0))</f>
        <v>0.17</v>
      </c>
      <c r="O10" s="139">
        <f>INDEX('CHIRP Payment Calc'!AL:AL,MATCH(F:F,'CHIRP Payment Calc'!C:C,0))</f>
        <v>0.53</v>
      </c>
      <c r="P10" s="136">
        <f t="shared" si="2"/>
        <v>581481.42600216065</v>
      </c>
      <c r="Q10" s="149">
        <f t="shared" si="3"/>
        <v>31612.910654678515</v>
      </c>
      <c r="R10" s="149">
        <f t="shared" si="4"/>
        <v>4040.7182642994399</v>
      </c>
      <c r="S10" s="137">
        <f t="shared" si="5"/>
        <v>35653.628918977956</v>
      </c>
      <c r="T10" s="137">
        <f t="shared" si="6"/>
        <v>320743.94199455564</v>
      </c>
      <c r="U10" s="137">
        <f t="shared" si="7"/>
        <v>33911.185174873302</v>
      </c>
      <c r="V10" s="137">
        <f t="shared" si="8"/>
        <v>229045.80852159238</v>
      </c>
      <c r="W10" s="137">
        <f t="shared" si="9"/>
        <v>33434.119230117365</v>
      </c>
      <c r="X10" s="138">
        <f t="shared" si="10"/>
        <v>617135.0549211388</v>
      </c>
    </row>
    <row r="11" spans="1:24">
      <c r="A11" s="1" t="s">
        <v>2984</v>
      </c>
      <c r="B11" s="140">
        <v>6.0000000000000005E-2</v>
      </c>
      <c r="C11" s="137"/>
      <c r="D11" s="9" t="s">
        <v>487</v>
      </c>
      <c r="E11" s="9" t="s">
        <v>2295</v>
      </c>
      <c r="F11" s="4" t="s">
        <v>1172</v>
      </c>
      <c r="G11" s="9" t="s">
        <v>2666</v>
      </c>
      <c r="H11" s="136">
        <v>1579547.764801156</v>
      </c>
      <c r="I11" s="137">
        <v>283931.34597225342</v>
      </c>
      <c r="J11" s="137">
        <v>164909.50872053875</v>
      </c>
      <c r="K11" s="137">
        <v>154917.21531899704</v>
      </c>
      <c r="L11" s="149">
        <f t="shared" si="0"/>
        <v>1744457.2735216948</v>
      </c>
      <c r="M11" s="138">
        <f t="shared" si="1"/>
        <v>438848.56129125046</v>
      </c>
      <c r="N11" s="139">
        <f>INDEX('CHIRP Payment Calc'!AM:AM,MATCH(F:F,'CHIRP Payment Calc'!C:C,0))</f>
        <v>0.24000000000000002</v>
      </c>
      <c r="O11" s="139">
        <f>INDEX('CHIRP Payment Calc'!AL:AL,MATCH(F:F,'CHIRP Payment Calc'!C:C,0))</f>
        <v>0.53</v>
      </c>
      <c r="P11" s="136">
        <f t="shared" si="2"/>
        <v>651259.48312956956</v>
      </c>
      <c r="Q11" s="149">
        <f t="shared" si="3"/>
        <v>32308.293817252386</v>
      </c>
      <c r="R11" s="149">
        <f t="shared" si="4"/>
        <v>7767.0897582126236</v>
      </c>
      <c r="S11" s="137">
        <f t="shared" si="5"/>
        <v>40075.383575465006</v>
      </c>
      <c r="T11" s="137">
        <f t="shared" si="6"/>
        <v>402219.05947191239</v>
      </c>
      <c r="U11" s="137">
        <f t="shared" si="7"/>
        <v>42104.555418009906</v>
      </c>
      <c r="V11" s="137">
        <f t="shared" si="8"/>
        <v>159664.31126291174</v>
      </c>
      <c r="W11" s="137">
        <f t="shared" si="9"/>
        <v>87346.940552200482</v>
      </c>
      <c r="X11" s="138">
        <f t="shared" si="10"/>
        <v>691334.86670503463</v>
      </c>
    </row>
    <row r="12" spans="1:24">
      <c r="D12" s="9" t="s">
        <v>487</v>
      </c>
      <c r="E12" s="9" t="s">
        <v>2964</v>
      </c>
      <c r="F12" s="4" t="s">
        <v>2317</v>
      </c>
      <c r="G12" s="9" t="s">
        <v>2715</v>
      </c>
      <c r="H12" s="136">
        <v>0</v>
      </c>
      <c r="I12" s="137">
        <v>127118.69229477836</v>
      </c>
      <c r="J12" s="137">
        <v>0</v>
      </c>
      <c r="K12" s="137">
        <v>0</v>
      </c>
      <c r="L12" s="149">
        <f t="shared" si="0"/>
        <v>0</v>
      </c>
      <c r="M12" s="138">
        <f t="shared" si="1"/>
        <v>127118.69229477836</v>
      </c>
      <c r="N12" s="139">
        <f>INDEX('CHIRP Payment Calc'!AM:AM,MATCH(F:F,'CHIRP Payment Calc'!C:C,0))</f>
        <v>0</v>
      </c>
      <c r="O12" s="139">
        <f>INDEX('CHIRP Payment Calc'!AL:AL,MATCH(F:F,'CHIRP Payment Calc'!C:C,0))</f>
        <v>0.37</v>
      </c>
      <c r="P12" s="136">
        <f t="shared" si="2"/>
        <v>47033.916149067991</v>
      </c>
      <c r="Q12" s="149">
        <f t="shared" si="3"/>
        <v>2869.4431602879681</v>
      </c>
      <c r="R12" s="149">
        <f t="shared" si="4"/>
        <v>0</v>
      </c>
      <c r="S12" s="137">
        <f t="shared" si="5"/>
        <v>2869.4431602879681</v>
      </c>
      <c r="T12" s="137">
        <f t="shared" si="6"/>
        <v>0</v>
      </c>
      <c r="U12" s="137">
        <f t="shared" si="7"/>
        <v>0</v>
      </c>
      <c r="V12" s="137">
        <f t="shared" si="8"/>
        <v>49903.359309355961</v>
      </c>
      <c r="W12" s="137">
        <f t="shared" si="9"/>
        <v>0</v>
      </c>
      <c r="X12" s="138">
        <f t="shared" si="10"/>
        <v>49903.359309355961</v>
      </c>
    </row>
    <row r="13" spans="1:24">
      <c r="D13" s="9" t="s">
        <v>487</v>
      </c>
      <c r="E13" s="9" t="s">
        <v>2283</v>
      </c>
      <c r="F13" s="4" t="s">
        <v>869</v>
      </c>
      <c r="G13" s="9" t="s">
        <v>2447</v>
      </c>
      <c r="H13" s="136">
        <v>17868155.423544191</v>
      </c>
      <c r="I13" s="137">
        <v>67858746.42271091</v>
      </c>
      <c r="J13" s="137">
        <v>5415330.6183284223</v>
      </c>
      <c r="K13" s="137">
        <v>24016001.079955827</v>
      </c>
      <c r="L13" s="149">
        <f t="shared" si="0"/>
        <v>23283486.041872613</v>
      </c>
      <c r="M13" s="138">
        <f t="shared" si="1"/>
        <v>91874747.502666742</v>
      </c>
      <c r="N13" s="139">
        <f>INDEX('CHIRP Payment Calc'!AM:AM,MATCH(F:F,'CHIRP Payment Calc'!C:C,0))</f>
        <v>0.67999999999999994</v>
      </c>
      <c r="O13" s="139">
        <f>INDEX('CHIRP Payment Calc'!AL:AL,MATCH(F:F,'CHIRP Payment Calc'!C:C,0))</f>
        <v>1.1200000000000001</v>
      </c>
      <c r="P13" s="136">
        <f t="shared" si="2"/>
        <v>118732487.71146014</v>
      </c>
      <c r="Q13" s="149">
        <f t="shared" si="3"/>
        <v>5377982.1184967225</v>
      </c>
      <c r="R13" s="149">
        <f t="shared" si="4"/>
        <v>1951936.9806391825</v>
      </c>
      <c r="S13" s="137">
        <f t="shared" si="5"/>
        <v>7329919.0991359055</v>
      </c>
      <c r="T13" s="137">
        <f t="shared" si="6"/>
        <v>12891613.462079626</v>
      </c>
      <c r="U13" s="137">
        <f t="shared" si="7"/>
        <v>3917473.2132588588</v>
      </c>
      <c r="V13" s="137">
        <f t="shared" si="8"/>
        <v>80638510.337863371</v>
      </c>
      <c r="W13" s="137">
        <f t="shared" si="9"/>
        <v>28614809.797394179</v>
      </c>
      <c r="X13" s="138">
        <f t="shared" si="10"/>
        <v>126062406.81059605</v>
      </c>
    </row>
    <row r="14" spans="1:24">
      <c r="A14" s="9" t="s">
        <v>3044</v>
      </c>
      <c r="D14" s="9" t="s">
        <v>487</v>
      </c>
      <c r="E14" s="9" t="s">
        <v>2283</v>
      </c>
      <c r="F14" s="4" t="s">
        <v>62</v>
      </c>
      <c r="G14" s="9" t="s">
        <v>2985</v>
      </c>
      <c r="H14" s="136">
        <v>4566186.0306147933</v>
      </c>
      <c r="I14" s="137">
        <v>5850051.2105704332</v>
      </c>
      <c r="J14" s="137">
        <v>1650739.629484829</v>
      </c>
      <c r="K14" s="137">
        <v>4462965.3815686628</v>
      </c>
      <c r="L14" s="149">
        <f t="shared" si="0"/>
        <v>6216925.6600996219</v>
      </c>
      <c r="M14" s="138">
        <f t="shared" si="1"/>
        <v>10313016.592139095</v>
      </c>
      <c r="N14" s="139">
        <f>INDEX('CHIRP Payment Calc'!AM:AM,MATCH(F:F,'CHIRP Payment Calc'!C:C,0))</f>
        <v>0.88</v>
      </c>
      <c r="O14" s="139">
        <f>INDEX('CHIRP Payment Calc'!AL:AL,MATCH(F:F,'CHIRP Payment Calc'!C:C,0))</f>
        <v>1.21</v>
      </c>
      <c r="P14" s="136">
        <f t="shared" si="2"/>
        <v>17949644.657375973</v>
      </c>
      <c r="Q14" s="149">
        <f t="shared" si="3"/>
        <v>676993.44946901477</v>
      </c>
      <c r="R14" s="149">
        <f t="shared" si="4"/>
        <v>437415.25440285524</v>
      </c>
      <c r="S14" s="137">
        <f t="shared" si="5"/>
        <v>1114408.7038718699</v>
      </c>
      <c r="T14" s="137">
        <f t="shared" si="6"/>
        <v>4263388.5484785335</v>
      </c>
      <c r="U14" s="137">
        <f t="shared" si="7"/>
        <v>1545373.2701560103</v>
      </c>
      <c r="V14" s="137">
        <f t="shared" si="8"/>
        <v>7510410.5727217235</v>
      </c>
      <c r="W14" s="137">
        <f t="shared" si="9"/>
        <v>5744880.969891577</v>
      </c>
      <c r="X14" s="138">
        <f t="shared" si="10"/>
        <v>19064053.361247845</v>
      </c>
    </row>
    <row r="15" spans="1:24">
      <c r="A15" s="9" t="s">
        <v>2986</v>
      </c>
      <c r="D15" s="9" t="s">
        <v>487</v>
      </c>
      <c r="E15" s="9" t="s">
        <v>2283</v>
      </c>
      <c r="F15" s="4" t="s">
        <v>363</v>
      </c>
      <c r="G15" s="9" t="s">
        <v>2669</v>
      </c>
      <c r="H15" s="136">
        <v>906953.90456392011</v>
      </c>
      <c r="I15" s="137">
        <v>893643.26315287733</v>
      </c>
      <c r="J15" s="137">
        <v>196791.55706558682</v>
      </c>
      <c r="K15" s="137">
        <v>554638.12438771012</v>
      </c>
      <c r="L15" s="149">
        <f t="shared" si="0"/>
        <v>1103745.4616295069</v>
      </c>
      <c r="M15" s="138">
        <f t="shared" si="1"/>
        <v>1448281.3875405875</v>
      </c>
      <c r="N15" s="139">
        <f>INDEX('CHIRP Payment Calc'!AM:AM,MATCH(F:F,'CHIRP Payment Calc'!C:C,0))</f>
        <v>0.65</v>
      </c>
      <c r="O15" s="139">
        <f>INDEX('CHIRP Payment Calc'!AL:AL,MATCH(F:F,'CHIRP Payment Calc'!C:C,0))</f>
        <v>1.7</v>
      </c>
      <c r="P15" s="136">
        <f t="shared" si="2"/>
        <v>3179512.9088781783</v>
      </c>
      <c r="Q15" s="149">
        <f t="shared" si="3"/>
        <v>128648.30891911965</v>
      </c>
      <c r="R15" s="149">
        <f t="shared" si="4"/>
        <v>68348.892992664187</v>
      </c>
      <c r="S15" s="137">
        <f t="shared" si="5"/>
        <v>196997.20191178384</v>
      </c>
      <c r="T15" s="137">
        <f t="shared" si="6"/>
        <v>625485.45142339321</v>
      </c>
      <c r="U15" s="137">
        <f t="shared" si="7"/>
        <v>136079.26818365048</v>
      </c>
      <c r="V15" s="137">
        <f t="shared" si="8"/>
        <v>1611876.4428221658</v>
      </c>
      <c r="W15" s="137">
        <f t="shared" si="9"/>
        <v>1003068.9483607524</v>
      </c>
      <c r="X15" s="138">
        <f t="shared" si="10"/>
        <v>3376510.1107899616</v>
      </c>
    </row>
    <row r="16" spans="1:24">
      <c r="D16" s="9" t="s">
        <v>487</v>
      </c>
      <c r="E16" s="9" t="s">
        <v>2283</v>
      </c>
      <c r="F16" s="4" t="s">
        <v>1463</v>
      </c>
      <c r="G16" s="9" t="s">
        <v>2663</v>
      </c>
      <c r="H16" s="136">
        <v>0</v>
      </c>
      <c r="I16" s="137">
        <v>235015.99545692609</v>
      </c>
      <c r="J16" s="137">
        <v>0</v>
      </c>
      <c r="K16" s="137">
        <v>380788.83803111658</v>
      </c>
      <c r="L16" s="149">
        <f t="shared" si="0"/>
        <v>0</v>
      </c>
      <c r="M16" s="138">
        <f t="shared" si="1"/>
        <v>615804.8334880427</v>
      </c>
      <c r="N16" s="139">
        <f>INDEX('CHIRP Payment Calc'!AM:AM,MATCH(F:F,'CHIRP Payment Calc'!C:C,0))</f>
        <v>0.49</v>
      </c>
      <c r="O16" s="139">
        <f>INDEX('CHIRP Payment Calc'!AL:AL,MATCH(F:F,'CHIRP Payment Calc'!C:C,0))</f>
        <v>0.44</v>
      </c>
      <c r="P16" s="136">
        <f t="shared" si="2"/>
        <v>270954.12673473876</v>
      </c>
      <c r="Q16" s="149">
        <f t="shared" si="3"/>
        <v>6308.6521857402977</v>
      </c>
      <c r="R16" s="149">
        <f t="shared" si="4"/>
        <v>10694.495025554765</v>
      </c>
      <c r="S16" s="137">
        <f t="shared" si="5"/>
        <v>17003.147211295061</v>
      </c>
      <c r="T16" s="137">
        <f t="shared" si="6"/>
        <v>0</v>
      </c>
      <c r="U16" s="137">
        <f t="shared" si="7"/>
        <v>0</v>
      </c>
      <c r="V16" s="137">
        <f t="shared" si="8"/>
        <v>109715.69018678778</v>
      </c>
      <c r="W16" s="137">
        <f t="shared" si="9"/>
        <v>178241.58375924607</v>
      </c>
      <c r="X16" s="138">
        <f t="shared" si="10"/>
        <v>287957.27394603385</v>
      </c>
    </row>
    <row r="17" spans="4:24">
      <c r="D17" s="9" t="s">
        <v>487</v>
      </c>
      <c r="E17" s="9" t="s">
        <v>2283</v>
      </c>
      <c r="F17" s="4" t="s">
        <v>1295</v>
      </c>
      <c r="G17" s="9" t="s">
        <v>2670</v>
      </c>
      <c r="H17" s="136">
        <v>14998100.955506371</v>
      </c>
      <c r="I17" s="137">
        <v>39230691.372203492</v>
      </c>
      <c r="J17" s="137">
        <v>5678510.1039658617</v>
      </c>
      <c r="K17" s="137">
        <v>14474682.825899463</v>
      </c>
      <c r="L17" s="149">
        <f t="shared" si="0"/>
        <v>20676611.059472233</v>
      </c>
      <c r="M17" s="138">
        <f t="shared" si="1"/>
        <v>53705374.198102951</v>
      </c>
      <c r="N17" s="139">
        <f>INDEX('CHIRP Payment Calc'!AM:AM,MATCH(F:F,'CHIRP Payment Calc'!C:C,0))</f>
        <v>0.59</v>
      </c>
      <c r="O17" s="139">
        <f>INDEX('CHIRP Payment Calc'!AL:AL,MATCH(F:F,'CHIRP Payment Calc'!C:C,0))</f>
        <v>1.43</v>
      </c>
      <c r="P17" s="136">
        <f t="shared" si="2"/>
        <v>88997885.628375843</v>
      </c>
      <c r="Q17" s="149">
        <f t="shared" si="3"/>
        <v>3962391.6954853958</v>
      </c>
      <c r="R17" s="149">
        <f t="shared" si="4"/>
        <v>1535050.046960176</v>
      </c>
      <c r="S17" s="137">
        <f t="shared" si="5"/>
        <v>5497441.7424455713</v>
      </c>
      <c r="T17" s="137">
        <f t="shared" si="6"/>
        <v>9388731.6326246765</v>
      </c>
      <c r="U17" s="137">
        <f t="shared" si="7"/>
        <v>3564171.2354679345</v>
      </c>
      <c r="V17" s="137">
        <f t="shared" si="8"/>
        <v>59522428.288860463</v>
      </c>
      <c r="W17" s="137">
        <f t="shared" si="9"/>
        <v>22019996.213868331</v>
      </c>
      <c r="X17" s="138">
        <f t="shared" si="10"/>
        <v>94495327.370821401</v>
      </c>
    </row>
    <row r="18" spans="4:24">
      <c r="D18" s="9" t="s">
        <v>487</v>
      </c>
      <c r="E18" s="9" t="s">
        <v>2283</v>
      </c>
      <c r="F18" s="4" t="s">
        <v>866</v>
      </c>
      <c r="G18" s="9" t="s">
        <v>2442</v>
      </c>
      <c r="H18" s="136">
        <v>1379634.543768839</v>
      </c>
      <c r="I18" s="137">
        <v>6134417.0161523502</v>
      </c>
      <c r="J18" s="137">
        <v>623089.93012661941</v>
      </c>
      <c r="K18" s="137">
        <v>2513307.7325012949</v>
      </c>
      <c r="L18" s="149">
        <f t="shared" si="0"/>
        <v>2002724.4738954585</v>
      </c>
      <c r="M18" s="138">
        <f t="shared" si="1"/>
        <v>8647724.7486536447</v>
      </c>
      <c r="N18" s="139">
        <f>INDEX('CHIRP Payment Calc'!AM:AM,MATCH(F:F,'CHIRP Payment Calc'!C:C,0))</f>
        <v>0.65</v>
      </c>
      <c r="O18" s="139">
        <f>INDEX('CHIRP Payment Calc'!AL:AL,MATCH(F:F,'CHIRP Payment Calc'!C:C,0))</f>
        <v>1.18</v>
      </c>
      <c r="P18" s="136">
        <f t="shared" si="2"/>
        <v>11506086.111443348</v>
      </c>
      <c r="Q18" s="149">
        <f t="shared" si="3"/>
        <v>496322.58421145607</v>
      </c>
      <c r="R18" s="149">
        <f t="shared" si="4"/>
        <v>215151.80291067009</v>
      </c>
      <c r="S18" s="137">
        <f t="shared" si="5"/>
        <v>711474.38712212618</v>
      </c>
      <c r="T18" s="137">
        <f t="shared" si="6"/>
        <v>951472.09915092343</v>
      </c>
      <c r="U18" s="137">
        <f t="shared" si="7"/>
        <v>430860.05806627939</v>
      </c>
      <c r="V18" s="137">
        <f t="shared" si="8"/>
        <v>7680225.0175700514</v>
      </c>
      <c r="W18" s="137">
        <f t="shared" si="9"/>
        <v>3155003.3237782214</v>
      </c>
      <c r="X18" s="138">
        <f t="shared" si="10"/>
        <v>12217560.498565475</v>
      </c>
    </row>
    <row r="19" spans="4:24">
      <c r="D19" s="9" t="s">
        <v>487</v>
      </c>
      <c r="E19" s="9" t="s">
        <v>2283</v>
      </c>
      <c r="F19" s="4" t="s">
        <v>133</v>
      </c>
      <c r="G19" s="9" t="s">
        <v>2805</v>
      </c>
      <c r="H19" s="136">
        <v>4221923.8446873752</v>
      </c>
      <c r="I19" s="137">
        <v>87815.085485619638</v>
      </c>
      <c r="J19" s="137">
        <v>1043311.1413981287</v>
      </c>
      <c r="K19" s="137">
        <v>92586.315037838693</v>
      </c>
      <c r="L19" s="149">
        <f t="shared" si="0"/>
        <v>5265234.9860855043</v>
      </c>
      <c r="M19" s="138">
        <f t="shared" si="1"/>
        <v>180401.40052345832</v>
      </c>
      <c r="N19" s="139">
        <f>INDEX('CHIRP Payment Calc'!AM:AM,MATCH(F:F,'CHIRP Payment Calc'!C:C,0))</f>
        <v>0.74</v>
      </c>
      <c r="O19" s="139">
        <f>INDEX('CHIRP Payment Calc'!AL:AL,MATCH(F:F,'CHIRP Payment Calc'!C:C,0))</f>
        <v>2.3000000000000003</v>
      </c>
      <c r="P19" s="136">
        <f t="shared" si="2"/>
        <v>4311197.1109072277</v>
      </c>
      <c r="Q19" s="149">
        <f t="shared" si="3"/>
        <v>202924.56726463768</v>
      </c>
      <c r="R19" s="149">
        <f t="shared" si="4"/>
        <v>62872.261865211352</v>
      </c>
      <c r="S19" s="137">
        <f t="shared" si="5"/>
        <v>265796.82912984904</v>
      </c>
      <c r="T19" s="137">
        <f t="shared" si="6"/>
        <v>3314826.14861396</v>
      </c>
      <c r="U19" s="137">
        <f t="shared" si="7"/>
        <v>821330.04748363339</v>
      </c>
      <c r="V19" s="137">
        <f t="shared" si="8"/>
        <v>214296.76033626017</v>
      </c>
      <c r="W19" s="137">
        <f t="shared" si="9"/>
        <v>226540.98360322238</v>
      </c>
      <c r="X19" s="138">
        <f t="shared" si="10"/>
        <v>4576993.9400370754</v>
      </c>
    </row>
    <row r="20" spans="4:24">
      <c r="D20" s="9" t="s">
        <v>487</v>
      </c>
      <c r="E20" s="9" t="s">
        <v>2283</v>
      </c>
      <c r="F20" s="4" t="s">
        <v>1280</v>
      </c>
      <c r="G20" s="9" t="s">
        <v>2838</v>
      </c>
      <c r="H20" s="136">
        <v>3065987.7578754341</v>
      </c>
      <c r="I20" s="137">
        <v>1973898.5816031059</v>
      </c>
      <c r="J20" s="137">
        <v>667725.4295600343</v>
      </c>
      <c r="K20" s="137">
        <v>476555.14262267202</v>
      </c>
      <c r="L20" s="149">
        <f t="shared" si="0"/>
        <v>3733713.1874354687</v>
      </c>
      <c r="M20" s="138">
        <f t="shared" si="1"/>
        <v>2450453.7242257781</v>
      </c>
      <c r="N20" s="139">
        <f>INDEX('CHIRP Payment Calc'!AM:AM,MATCH(F:F,'CHIRP Payment Calc'!C:C,0))</f>
        <v>0.49</v>
      </c>
      <c r="O20" s="139">
        <f>INDEX('CHIRP Payment Calc'!AL:AL,MATCH(F:F,'CHIRP Payment Calc'!C:C,0))</f>
        <v>0.67999999999999994</v>
      </c>
      <c r="P20" s="136">
        <f t="shared" si="2"/>
        <v>3495827.9943169085</v>
      </c>
      <c r="Q20" s="149">
        <f t="shared" si="3"/>
        <v>173542.32320299395</v>
      </c>
      <c r="R20" s="149">
        <f t="shared" si="4"/>
        <v>41568.699412840455</v>
      </c>
      <c r="S20" s="137">
        <f t="shared" si="5"/>
        <v>215111.0226158344</v>
      </c>
      <c r="T20" s="137">
        <f t="shared" si="6"/>
        <v>1593988.3303543371</v>
      </c>
      <c r="U20" s="137">
        <f t="shared" si="7"/>
        <v>348069.63881320937</v>
      </c>
      <c r="V20" s="137">
        <f t="shared" si="8"/>
        <v>1424139.0296977314</v>
      </c>
      <c r="W20" s="137">
        <f t="shared" si="9"/>
        <v>344742.01806746487</v>
      </c>
      <c r="X20" s="138">
        <f t="shared" si="10"/>
        <v>3710939.0169327422</v>
      </c>
    </row>
    <row r="21" spans="4:24">
      <c r="D21" s="9" t="s">
        <v>487</v>
      </c>
      <c r="E21" s="9" t="s">
        <v>2283</v>
      </c>
      <c r="F21" s="4" t="s">
        <v>1204</v>
      </c>
      <c r="G21" s="9" t="s">
        <v>2601</v>
      </c>
      <c r="H21" s="136">
        <v>28779352.530423522</v>
      </c>
      <c r="I21" s="137">
        <v>40620833.118104585</v>
      </c>
      <c r="J21" s="137">
        <v>12676729.995852418</v>
      </c>
      <c r="K21" s="137">
        <v>18399624.365715496</v>
      </c>
      <c r="L21" s="149">
        <f t="shared" si="0"/>
        <v>41456082.52627594</v>
      </c>
      <c r="M21" s="138">
        <f t="shared" si="1"/>
        <v>59020457.483820081</v>
      </c>
      <c r="N21" s="139">
        <f>INDEX('CHIRP Payment Calc'!AM:AM,MATCH(F:F,'CHIRP Payment Calc'!C:C,0))</f>
        <v>0.49</v>
      </c>
      <c r="O21" s="139">
        <f>INDEX('CHIRP Payment Calc'!AL:AL,MATCH(F:F,'CHIRP Payment Calc'!C:C,0))</f>
        <v>0.44</v>
      </c>
      <c r="P21" s="136">
        <f t="shared" si="2"/>
        <v>46282481.730756044</v>
      </c>
      <c r="Q21" s="149">
        <f t="shared" si="3"/>
        <v>1950732.4513875109</v>
      </c>
      <c r="R21" s="149">
        <f t="shared" si="4"/>
        <v>913240.36716271308</v>
      </c>
      <c r="S21" s="137">
        <f t="shared" si="5"/>
        <v>2863972.818550224</v>
      </c>
      <c r="T21" s="137">
        <f t="shared" si="6"/>
        <v>14962209.803615412</v>
      </c>
      <c r="U21" s="137">
        <f t="shared" si="7"/>
        <v>6608082.6574124312</v>
      </c>
      <c r="V21" s="137">
        <f t="shared" si="8"/>
        <v>18963571.959645644</v>
      </c>
      <c r="W21" s="137">
        <f t="shared" si="9"/>
        <v>8612590.1286327858</v>
      </c>
      <c r="X21" s="138">
        <f t="shared" si="10"/>
        <v>49146454.549306273</v>
      </c>
    </row>
    <row r="22" spans="4:24">
      <c r="D22" s="9" t="s">
        <v>487</v>
      </c>
      <c r="E22" s="9" t="s">
        <v>2283</v>
      </c>
      <c r="F22" s="4" t="s">
        <v>2291</v>
      </c>
      <c r="G22" s="9" t="s">
        <v>2895</v>
      </c>
      <c r="H22" s="136">
        <v>0</v>
      </c>
      <c r="I22" s="137">
        <v>0</v>
      </c>
      <c r="J22" s="137">
        <v>0</v>
      </c>
      <c r="K22" s="137">
        <v>0</v>
      </c>
      <c r="L22" s="149">
        <f t="shared" si="0"/>
        <v>0</v>
      </c>
      <c r="M22" s="138">
        <f t="shared" si="1"/>
        <v>0</v>
      </c>
      <c r="N22" s="139">
        <f>INDEX('CHIRP Payment Calc'!AM:AM,MATCH(F:F,'CHIRP Payment Calc'!C:C,0))</f>
        <v>0</v>
      </c>
      <c r="O22" s="139">
        <f>INDEX('CHIRP Payment Calc'!AL:AL,MATCH(F:F,'CHIRP Payment Calc'!C:C,0))</f>
        <v>0</v>
      </c>
      <c r="P22" s="136">
        <f t="shared" si="2"/>
        <v>0</v>
      </c>
      <c r="Q22" s="149">
        <f t="shared" si="3"/>
        <v>0</v>
      </c>
      <c r="R22" s="149">
        <f t="shared" si="4"/>
        <v>0</v>
      </c>
      <c r="S22" s="137">
        <f t="shared" si="5"/>
        <v>0</v>
      </c>
      <c r="T22" s="137">
        <f t="shared" si="6"/>
        <v>0</v>
      </c>
      <c r="U22" s="137">
        <f t="shared" si="7"/>
        <v>0</v>
      </c>
      <c r="V22" s="137">
        <f t="shared" si="8"/>
        <v>0</v>
      </c>
      <c r="W22" s="137">
        <f t="shared" si="9"/>
        <v>0</v>
      </c>
      <c r="X22" s="138">
        <f t="shared" si="10"/>
        <v>0</v>
      </c>
    </row>
    <row r="23" spans="4:24">
      <c r="D23" s="9" t="s">
        <v>487</v>
      </c>
      <c r="E23" s="9" t="s">
        <v>2283</v>
      </c>
      <c r="F23" s="4" t="s">
        <v>1226</v>
      </c>
      <c r="G23" s="9" t="s">
        <v>2929</v>
      </c>
      <c r="H23" s="136">
        <v>2209299.4370584404</v>
      </c>
      <c r="I23" s="137">
        <v>6533044.6899022665</v>
      </c>
      <c r="J23" s="137">
        <v>869864.43929176999</v>
      </c>
      <c r="K23" s="137">
        <v>4056109.8877644422</v>
      </c>
      <c r="L23" s="149">
        <f t="shared" si="0"/>
        <v>3079163.8763502105</v>
      </c>
      <c r="M23" s="138">
        <f t="shared" si="1"/>
        <v>10589154.577666709</v>
      </c>
      <c r="N23" s="139">
        <f>INDEX('CHIRP Payment Calc'!AM:AM,MATCH(F:F,'CHIRP Payment Calc'!C:C,0))</f>
        <v>0.96</v>
      </c>
      <c r="O23" s="139">
        <f>INDEX('CHIRP Payment Calc'!AL:AL,MATCH(F:F,'CHIRP Payment Calc'!C:C,0))</f>
        <v>1.06</v>
      </c>
      <c r="P23" s="136">
        <f t="shared" si="2"/>
        <v>14180501.173622914</v>
      </c>
      <c r="Q23" s="149">
        <f t="shared" si="3"/>
        <v>551875.22840866749</v>
      </c>
      <c r="R23" s="149">
        <f t="shared" si="4"/>
        <v>327737.00060108991</v>
      </c>
      <c r="S23" s="137">
        <f t="shared" si="5"/>
        <v>879612.2290097574</v>
      </c>
      <c r="T23" s="137">
        <f t="shared" si="6"/>
        <v>2250320.9120170851</v>
      </c>
      <c r="U23" s="137">
        <f t="shared" si="7"/>
        <v>888372.19331925444</v>
      </c>
      <c r="V23" s="137">
        <f t="shared" si="8"/>
        <v>7347509.1472640885</v>
      </c>
      <c r="W23" s="137">
        <f t="shared" si="9"/>
        <v>4573911.1500322437</v>
      </c>
      <c r="X23" s="138">
        <f t="shared" si="10"/>
        <v>15060113.402632672</v>
      </c>
    </row>
    <row r="24" spans="4:24">
      <c r="D24" s="9" t="s">
        <v>223</v>
      </c>
      <c r="E24" s="9" t="s">
        <v>1547</v>
      </c>
      <c r="F24" s="4" t="s">
        <v>56</v>
      </c>
      <c r="G24" s="9" t="s">
        <v>2987</v>
      </c>
      <c r="H24" s="136">
        <v>213314383.77922085</v>
      </c>
      <c r="I24" s="137">
        <v>170122702.27876651</v>
      </c>
      <c r="J24" s="137">
        <v>378405.8800240843</v>
      </c>
      <c r="K24" s="137">
        <v>567271.26935634506</v>
      </c>
      <c r="L24" s="149">
        <f t="shared" si="0"/>
        <v>213692789.65924492</v>
      </c>
      <c r="M24" s="138">
        <f t="shared" si="1"/>
        <v>170689973.54812285</v>
      </c>
      <c r="N24" s="139">
        <f>INDEX('CHIRP Payment Calc'!AM:AM,MATCH(F:F,'CHIRP Payment Calc'!C:C,0))</f>
        <v>0.28999999999999998</v>
      </c>
      <c r="O24" s="139">
        <f>INDEX('CHIRP Payment Calc'!AL:AL,MATCH(F:F,'CHIRP Payment Calc'!C:C,0))</f>
        <v>1.05</v>
      </c>
      <c r="P24" s="136">
        <f t="shared" si="2"/>
        <v>241195381.22671002</v>
      </c>
      <c r="Q24" s="149">
        <f t="shared" si="3"/>
        <v>14671804.243606405</v>
      </c>
      <c r="R24" s="149">
        <f t="shared" si="4"/>
        <v>45023.779023264695</v>
      </c>
      <c r="S24" s="137">
        <f t="shared" si="5"/>
        <v>14716828.022629671</v>
      </c>
      <c r="T24" s="137">
        <f t="shared" si="6"/>
        <v>65635195.008991025</v>
      </c>
      <c r="U24" s="137">
        <f t="shared" si="7"/>
        <v>116742.23958189835</v>
      </c>
      <c r="V24" s="137">
        <f t="shared" si="8"/>
        <v>189526617.92329428</v>
      </c>
      <c r="W24" s="137">
        <f t="shared" si="9"/>
        <v>633654.07747251319</v>
      </c>
      <c r="X24" s="138">
        <f t="shared" si="10"/>
        <v>255912209.2493397</v>
      </c>
    </row>
    <row r="25" spans="4:24">
      <c r="D25" s="9" t="s">
        <v>223</v>
      </c>
      <c r="E25" s="9" t="s">
        <v>1547</v>
      </c>
      <c r="F25" s="4" t="s">
        <v>59</v>
      </c>
      <c r="G25" s="9" t="s">
        <v>2587</v>
      </c>
      <c r="H25" s="136">
        <v>56328610.988014981</v>
      </c>
      <c r="I25" s="137">
        <v>11982053.771844156</v>
      </c>
      <c r="J25" s="137">
        <v>13642.156377937994</v>
      </c>
      <c r="K25" s="137">
        <v>0</v>
      </c>
      <c r="L25" s="149">
        <f t="shared" si="0"/>
        <v>56342253.144392923</v>
      </c>
      <c r="M25" s="138">
        <f t="shared" si="1"/>
        <v>11982053.771844156</v>
      </c>
      <c r="N25" s="139">
        <f>INDEX('CHIRP Payment Calc'!AM:AM,MATCH(F:F,'CHIRP Payment Calc'!C:C,0))</f>
        <v>0.27</v>
      </c>
      <c r="O25" s="139">
        <f>INDEX('CHIRP Payment Calc'!AL:AL,MATCH(F:F,'CHIRP Payment Calc'!C:C,0))</f>
        <v>0.71</v>
      </c>
      <c r="P25" s="136">
        <f t="shared" si="2"/>
        <v>23719666.526995439</v>
      </c>
      <c r="Q25" s="149">
        <f t="shared" si="3"/>
        <v>1446863.6931824619</v>
      </c>
      <c r="R25" s="149">
        <f t="shared" si="4"/>
        <v>235.10950353467612</v>
      </c>
      <c r="S25" s="137">
        <f t="shared" si="5"/>
        <v>1447098.8026859965</v>
      </c>
      <c r="T25" s="137">
        <f t="shared" si="6"/>
        <v>16136578.214073259</v>
      </c>
      <c r="U25" s="137">
        <f t="shared" si="7"/>
        <v>3918.4917255779351</v>
      </c>
      <c r="V25" s="137">
        <f t="shared" si="8"/>
        <v>9026268.6238825992</v>
      </c>
      <c r="W25" s="137">
        <f t="shared" si="9"/>
        <v>0</v>
      </c>
      <c r="X25" s="138">
        <f t="shared" si="10"/>
        <v>25166765.329681434</v>
      </c>
    </row>
    <row r="26" spans="4:24">
      <c r="D26" s="9" t="s">
        <v>223</v>
      </c>
      <c r="E26" s="9" t="s">
        <v>1547</v>
      </c>
      <c r="F26" s="4" t="s">
        <v>438</v>
      </c>
      <c r="G26" s="9" t="s">
        <v>2932</v>
      </c>
      <c r="H26" s="136">
        <v>2506205.8127984316</v>
      </c>
      <c r="I26" s="137">
        <v>5192872.875718764</v>
      </c>
      <c r="J26" s="137">
        <v>1132.0595903550447</v>
      </c>
      <c r="K26" s="137">
        <v>23.074911776184372</v>
      </c>
      <c r="L26" s="149">
        <f t="shared" si="0"/>
        <v>2507337.8723887866</v>
      </c>
      <c r="M26" s="138">
        <f t="shared" si="1"/>
        <v>5192895.95063054</v>
      </c>
      <c r="N26" s="139">
        <f>INDEX('CHIRP Payment Calc'!AM:AM,MATCH(F:F,'CHIRP Payment Calc'!C:C,0))</f>
        <v>0.32</v>
      </c>
      <c r="O26" s="139">
        <f>INDEX('CHIRP Payment Calc'!AL:AL,MATCH(F:F,'CHIRP Payment Calc'!C:C,0))</f>
        <v>0.71</v>
      </c>
      <c r="P26" s="136">
        <f t="shared" si="2"/>
        <v>4489304.2441120949</v>
      </c>
      <c r="Q26" s="149">
        <f t="shared" si="3"/>
        <v>273860.18260658853</v>
      </c>
      <c r="R26" s="149">
        <f t="shared" si="4"/>
        <v>24.168654655832253</v>
      </c>
      <c r="S26" s="137">
        <f t="shared" si="5"/>
        <v>273884.35126124433</v>
      </c>
      <c r="T26" s="137">
        <f t="shared" si="6"/>
        <v>850913.3794116691</v>
      </c>
      <c r="U26" s="137">
        <f t="shared" si="7"/>
        <v>385.38198820597268</v>
      </c>
      <c r="V26" s="137">
        <f t="shared" si="8"/>
        <v>3911872.4050507401</v>
      </c>
      <c r="W26" s="137">
        <f t="shared" si="9"/>
        <v>17.428922724564792</v>
      </c>
      <c r="X26" s="138">
        <f t="shared" si="10"/>
        <v>4763188.59537334</v>
      </c>
    </row>
    <row r="27" spans="4:24">
      <c r="D27" s="9" t="s">
        <v>223</v>
      </c>
      <c r="E27" s="9" t="s">
        <v>2544</v>
      </c>
      <c r="F27" s="4" t="s">
        <v>1257</v>
      </c>
      <c r="G27" s="9" t="s">
        <v>2586</v>
      </c>
      <c r="H27" s="136">
        <v>0</v>
      </c>
      <c r="I27" s="137">
        <v>1863300.1856801799</v>
      </c>
      <c r="J27" s="137">
        <v>0</v>
      </c>
      <c r="K27" s="137">
        <v>0</v>
      </c>
      <c r="L27" s="149">
        <f t="shared" si="0"/>
        <v>0</v>
      </c>
      <c r="M27" s="138">
        <f t="shared" si="1"/>
        <v>1863300.1856801799</v>
      </c>
      <c r="N27" s="139">
        <f>INDEX('CHIRP Payment Calc'!AM:AM,MATCH(F:F,'CHIRP Payment Calc'!C:C,0))</f>
        <v>0</v>
      </c>
      <c r="O27" s="139">
        <f>INDEX('CHIRP Payment Calc'!AL:AL,MATCH(F:F,'CHIRP Payment Calc'!C:C,0))</f>
        <v>0.27</v>
      </c>
      <c r="P27" s="136">
        <f t="shared" si="2"/>
        <v>503091.05013364862</v>
      </c>
      <c r="Q27" s="149">
        <f t="shared" si="3"/>
        <v>30692.557435209335</v>
      </c>
      <c r="R27" s="149">
        <f t="shared" si="4"/>
        <v>0</v>
      </c>
      <c r="S27" s="137">
        <f t="shared" si="5"/>
        <v>30692.557435209335</v>
      </c>
      <c r="T27" s="137">
        <f t="shared" si="6"/>
        <v>0</v>
      </c>
      <c r="U27" s="137">
        <f t="shared" si="7"/>
        <v>0</v>
      </c>
      <c r="V27" s="137">
        <f t="shared" si="8"/>
        <v>533783.60756885796</v>
      </c>
      <c r="W27" s="137">
        <f t="shared" si="9"/>
        <v>0</v>
      </c>
      <c r="X27" s="138">
        <f t="shared" si="10"/>
        <v>533783.60756885796</v>
      </c>
    </row>
    <row r="28" spans="4:24">
      <c r="D28" s="9" t="s">
        <v>223</v>
      </c>
      <c r="E28" s="9" t="s">
        <v>2544</v>
      </c>
      <c r="F28" s="4" t="s">
        <v>1235</v>
      </c>
      <c r="G28" s="9" t="s">
        <v>2562</v>
      </c>
      <c r="H28" s="136">
        <v>0</v>
      </c>
      <c r="I28" s="137">
        <v>4868973.7243280746</v>
      </c>
      <c r="J28" s="137">
        <v>0</v>
      </c>
      <c r="K28" s="137">
        <v>0</v>
      </c>
      <c r="L28" s="149">
        <f t="shared" si="0"/>
        <v>0</v>
      </c>
      <c r="M28" s="138">
        <f t="shared" si="1"/>
        <v>4868973.7243280746</v>
      </c>
      <c r="N28" s="139">
        <f>INDEX('CHIRP Payment Calc'!AM:AM,MATCH(F:F,'CHIRP Payment Calc'!C:C,0))</f>
        <v>0</v>
      </c>
      <c r="O28" s="139">
        <f>INDEX('CHIRP Payment Calc'!AL:AL,MATCH(F:F,'CHIRP Payment Calc'!C:C,0))</f>
        <v>0.27</v>
      </c>
      <c r="P28" s="136">
        <f t="shared" si="2"/>
        <v>1314622.9055685801</v>
      </c>
      <c r="Q28" s="149">
        <f t="shared" si="3"/>
        <v>80202.458429913371</v>
      </c>
      <c r="R28" s="149">
        <f t="shared" si="4"/>
        <v>0</v>
      </c>
      <c r="S28" s="137">
        <f t="shared" si="5"/>
        <v>80202.458429913371</v>
      </c>
      <c r="T28" s="137">
        <f t="shared" si="6"/>
        <v>0</v>
      </c>
      <c r="U28" s="137">
        <f t="shared" si="7"/>
        <v>0</v>
      </c>
      <c r="V28" s="137">
        <f t="shared" si="8"/>
        <v>1394825.3639984934</v>
      </c>
      <c r="W28" s="137">
        <f t="shared" si="9"/>
        <v>0</v>
      </c>
      <c r="X28" s="138">
        <f t="shared" si="10"/>
        <v>1394825.3639984934</v>
      </c>
    </row>
    <row r="29" spans="4:24">
      <c r="D29" s="9" t="s">
        <v>223</v>
      </c>
      <c r="E29" s="9" t="s">
        <v>2544</v>
      </c>
      <c r="F29" s="4" t="s">
        <v>1251</v>
      </c>
      <c r="G29" s="9" t="s">
        <v>2430</v>
      </c>
      <c r="H29" s="136">
        <v>0</v>
      </c>
      <c r="I29" s="137">
        <v>701907.21106323227</v>
      </c>
      <c r="J29" s="137">
        <v>0</v>
      </c>
      <c r="K29" s="137">
        <v>0</v>
      </c>
      <c r="L29" s="149">
        <f t="shared" si="0"/>
        <v>0</v>
      </c>
      <c r="M29" s="138">
        <f t="shared" si="1"/>
        <v>701907.21106323227</v>
      </c>
      <c r="N29" s="139">
        <f>INDEX('CHIRP Payment Calc'!AM:AM,MATCH(F:F,'CHIRP Payment Calc'!C:C,0))</f>
        <v>0</v>
      </c>
      <c r="O29" s="139">
        <f>INDEX('CHIRP Payment Calc'!AL:AL,MATCH(F:F,'CHIRP Payment Calc'!C:C,0))</f>
        <v>0.27</v>
      </c>
      <c r="P29" s="136">
        <f t="shared" si="2"/>
        <v>189514.94698707273</v>
      </c>
      <c r="Q29" s="149">
        <f t="shared" si="3"/>
        <v>11561.919842712659</v>
      </c>
      <c r="R29" s="149">
        <f t="shared" si="4"/>
        <v>0</v>
      </c>
      <c r="S29" s="137">
        <f t="shared" si="5"/>
        <v>11561.919842712659</v>
      </c>
      <c r="T29" s="137">
        <f t="shared" si="6"/>
        <v>0</v>
      </c>
      <c r="U29" s="137">
        <f t="shared" si="7"/>
        <v>0</v>
      </c>
      <c r="V29" s="137">
        <f t="shared" si="8"/>
        <v>201076.86682978537</v>
      </c>
      <c r="W29" s="137">
        <f t="shared" si="9"/>
        <v>0</v>
      </c>
      <c r="X29" s="138">
        <f t="shared" si="10"/>
        <v>201076.86682978537</v>
      </c>
    </row>
    <row r="30" spans="4:24">
      <c r="D30" s="9" t="s">
        <v>223</v>
      </c>
      <c r="E30" s="9" t="s">
        <v>2544</v>
      </c>
      <c r="F30" s="4" t="s">
        <v>1248</v>
      </c>
      <c r="G30" s="9" t="s">
        <v>2839</v>
      </c>
      <c r="H30" s="136">
        <v>0</v>
      </c>
      <c r="I30" s="137">
        <v>112154.16045657291</v>
      </c>
      <c r="J30" s="137">
        <v>0</v>
      </c>
      <c r="K30" s="137">
        <v>0</v>
      </c>
      <c r="L30" s="149">
        <f t="shared" si="0"/>
        <v>0</v>
      </c>
      <c r="M30" s="138">
        <f t="shared" si="1"/>
        <v>112154.16045657291</v>
      </c>
      <c r="N30" s="139">
        <f>INDEX('CHIRP Payment Calc'!AM:AM,MATCH(F:F,'CHIRP Payment Calc'!C:C,0))</f>
        <v>0</v>
      </c>
      <c r="O30" s="139">
        <f>INDEX('CHIRP Payment Calc'!AL:AL,MATCH(F:F,'CHIRP Payment Calc'!C:C,0))</f>
        <v>0.27</v>
      </c>
      <c r="P30" s="136">
        <f t="shared" si="2"/>
        <v>30281.623323274685</v>
      </c>
      <c r="Q30" s="149">
        <f t="shared" si="3"/>
        <v>1847.4199905446096</v>
      </c>
      <c r="R30" s="149">
        <f t="shared" si="4"/>
        <v>0</v>
      </c>
      <c r="S30" s="137">
        <f t="shared" si="5"/>
        <v>1847.4199905446096</v>
      </c>
      <c r="T30" s="137">
        <f t="shared" si="6"/>
        <v>0</v>
      </c>
      <c r="U30" s="137">
        <f t="shared" si="7"/>
        <v>0</v>
      </c>
      <c r="V30" s="137">
        <f t="shared" si="8"/>
        <v>32129.043313819297</v>
      </c>
      <c r="W30" s="137">
        <f t="shared" si="9"/>
        <v>0</v>
      </c>
      <c r="X30" s="138">
        <f t="shared" si="10"/>
        <v>32129.043313819297</v>
      </c>
    </row>
    <row r="31" spans="4:24">
      <c r="D31" s="9" t="s">
        <v>223</v>
      </c>
      <c r="E31" s="9" t="s">
        <v>2295</v>
      </c>
      <c r="F31" s="4" t="s">
        <v>912</v>
      </c>
      <c r="G31" s="9" t="s">
        <v>2458</v>
      </c>
      <c r="H31" s="136">
        <v>2079156.1547346315</v>
      </c>
      <c r="I31" s="137">
        <v>2102508.2915408807</v>
      </c>
      <c r="J31" s="137">
        <v>588029.02414381434</v>
      </c>
      <c r="K31" s="137">
        <v>1033900.4535237561</v>
      </c>
      <c r="L31" s="149">
        <f t="shared" si="0"/>
        <v>2667185.1788784461</v>
      </c>
      <c r="M31" s="138">
        <f t="shared" si="1"/>
        <v>3136408.7450646367</v>
      </c>
      <c r="N31" s="139">
        <f>INDEX('CHIRP Payment Calc'!AM:AM,MATCH(F:F,'CHIRP Payment Calc'!C:C,0))</f>
        <v>1.07</v>
      </c>
      <c r="O31" s="139">
        <f>INDEX('CHIRP Payment Calc'!AL:AL,MATCH(F:F,'CHIRP Payment Calc'!C:C,0))</f>
        <v>1.3699999999999999</v>
      </c>
      <c r="P31" s="136">
        <f t="shared" si="2"/>
        <v>7150768.12213849</v>
      </c>
      <c r="Q31" s="149">
        <f t="shared" si="3"/>
        <v>311453.76454767224</v>
      </c>
      <c r="R31" s="149">
        <f t="shared" si="4"/>
        <v>130572.42620179325</v>
      </c>
      <c r="S31" s="137">
        <f t="shared" si="5"/>
        <v>442026.19074946549</v>
      </c>
      <c r="T31" s="137">
        <f t="shared" si="6"/>
        <v>2360421.3109454173</v>
      </c>
      <c r="U31" s="137">
        <f t="shared" si="7"/>
        <v>669352.18705732073</v>
      </c>
      <c r="V31" s="137">
        <f t="shared" si="8"/>
        <v>3056165.8985793167</v>
      </c>
      <c r="W31" s="137">
        <f t="shared" si="9"/>
        <v>1506854.9163058999</v>
      </c>
      <c r="X31" s="138">
        <f t="shared" si="10"/>
        <v>7592794.3128879536</v>
      </c>
    </row>
    <row r="32" spans="4:24">
      <c r="D32" s="9" t="s">
        <v>223</v>
      </c>
      <c r="E32" s="9" t="s">
        <v>2964</v>
      </c>
      <c r="F32" s="4" t="s">
        <v>2321</v>
      </c>
      <c r="G32" s="9" t="s">
        <v>2714</v>
      </c>
      <c r="H32" s="136">
        <v>0</v>
      </c>
      <c r="I32" s="137">
        <v>356082.10916071507</v>
      </c>
      <c r="J32" s="137">
        <v>0</v>
      </c>
      <c r="K32" s="137">
        <v>0</v>
      </c>
      <c r="L32" s="149">
        <f t="shared" si="0"/>
        <v>0</v>
      </c>
      <c r="M32" s="138">
        <f t="shared" si="1"/>
        <v>356082.10916071507</v>
      </c>
      <c r="N32" s="139">
        <f>INDEX('CHIRP Payment Calc'!AM:AM,MATCH(F:F,'CHIRP Payment Calc'!C:C,0))</f>
        <v>0</v>
      </c>
      <c r="O32" s="139">
        <f>INDEX('CHIRP Payment Calc'!AL:AL,MATCH(F:F,'CHIRP Payment Calc'!C:C,0))</f>
        <v>3.66</v>
      </c>
      <c r="P32" s="136">
        <f t="shared" si="2"/>
        <v>1303260.5195282171</v>
      </c>
      <c r="Q32" s="149">
        <f t="shared" si="3"/>
        <v>79509.262464586209</v>
      </c>
      <c r="R32" s="149">
        <f t="shared" si="4"/>
        <v>0</v>
      </c>
      <c r="S32" s="137">
        <f t="shared" si="5"/>
        <v>79509.262464586209</v>
      </c>
      <c r="T32" s="137">
        <f t="shared" si="6"/>
        <v>0</v>
      </c>
      <c r="U32" s="137">
        <f t="shared" si="7"/>
        <v>0</v>
      </c>
      <c r="V32" s="137">
        <f t="shared" si="8"/>
        <v>1382769.7819928036</v>
      </c>
      <c r="W32" s="137">
        <f t="shared" si="9"/>
        <v>0</v>
      </c>
      <c r="X32" s="138">
        <f t="shared" si="10"/>
        <v>1382769.7819928036</v>
      </c>
    </row>
    <row r="33" spans="4:24">
      <c r="D33" s="9" t="s">
        <v>223</v>
      </c>
      <c r="E33" s="9" t="s">
        <v>2283</v>
      </c>
      <c r="F33" s="4" t="s">
        <v>268</v>
      </c>
      <c r="G33" s="9" t="s">
        <v>2875</v>
      </c>
      <c r="H33" s="136">
        <v>903999.76398018375</v>
      </c>
      <c r="I33" s="137">
        <v>4182907.4322654977</v>
      </c>
      <c r="J33" s="137">
        <v>719068.91571465251</v>
      </c>
      <c r="K33" s="137">
        <v>1310748.1617942418</v>
      </c>
      <c r="L33" s="149">
        <f t="shared" si="0"/>
        <v>1623068.6796948363</v>
      </c>
      <c r="M33" s="138">
        <f t="shared" si="1"/>
        <v>5493655.5940597393</v>
      </c>
      <c r="N33" s="139">
        <f>INDEX('CHIRP Payment Calc'!AM:AM,MATCH(F:F,'CHIRP Payment Calc'!C:C,0))</f>
        <v>0.83000000000000007</v>
      </c>
      <c r="O33" s="139">
        <f>INDEX('CHIRP Payment Calc'!AL:AL,MATCH(F:F,'CHIRP Payment Calc'!C:C,0))</f>
        <v>1.83</v>
      </c>
      <c r="P33" s="136">
        <f t="shared" si="2"/>
        <v>11400536.741276037</v>
      </c>
      <c r="Q33" s="149">
        <f t="shared" si="3"/>
        <v>512774.34832476522</v>
      </c>
      <c r="R33" s="149">
        <f t="shared" si="4"/>
        <v>191201.89379531646</v>
      </c>
      <c r="S33" s="137">
        <f t="shared" si="5"/>
        <v>703976.24212008168</v>
      </c>
      <c r="T33" s="137">
        <f t="shared" si="6"/>
        <v>796095.28286849079</v>
      </c>
      <c r="U33" s="137">
        <f t="shared" si="7"/>
        <v>634922.55323740595</v>
      </c>
      <c r="V33" s="137">
        <f t="shared" si="8"/>
        <v>8121719.4706056872</v>
      </c>
      <c r="W33" s="137">
        <f t="shared" si="9"/>
        <v>2551775.6766845346</v>
      </c>
      <c r="X33" s="138">
        <f t="shared" si="10"/>
        <v>12104512.983396119</v>
      </c>
    </row>
    <row r="34" spans="4:24">
      <c r="D34" s="9" t="s">
        <v>223</v>
      </c>
      <c r="E34" s="9" t="s">
        <v>2283</v>
      </c>
      <c r="F34" s="82" t="s">
        <v>972</v>
      </c>
      <c r="G34" s="9" t="s">
        <v>2913</v>
      </c>
      <c r="H34" s="136">
        <v>5223123.5766318319</v>
      </c>
      <c r="I34" s="137">
        <v>4407929.0968612814</v>
      </c>
      <c r="J34" s="137">
        <v>2179176.5541560096</v>
      </c>
      <c r="K34" s="137">
        <v>6001962.0100595159</v>
      </c>
      <c r="L34" s="149">
        <f t="shared" si="0"/>
        <v>7402300.130787842</v>
      </c>
      <c r="M34" s="138">
        <f t="shared" si="1"/>
        <v>10409891.106920797</v>
      </c>
      <c r="N34" s="139">
        <f>INDEX('CHIRP Payment Calc'!AM:AM,MATCH(F:F,'CHIRP Payment Calc'!C:C,0))</f>
        <v>0.42</v>
      </c>
      <c r="O34" s="139">
        <f>INDEX('CHIRP Payment Calc'!AL:AL,MATCH(F:F,'CHIRP Payment Calc'!C:C,0))</f>
        <v>0.6</v>
      </c>
      <c r="P34" s="136">
        <f t="shared" si="2"/>
        <v>9354900.7190833725</v>
      </c>
      <c r="Q34" s="149">
        <f t="shared" si="3"/>
        <v>295185.13338713307</v>
      </c>
      <c r="R34" s="149">
        <f t="shared" si="4"/>
        <v>288282.85268816387</v>
      </c>
      <c r="S34" s="137">
        <f t="shared" si="5"/>
        <v>583467.986075297</v>
      </c>
      <c r="T34" s="137">
        <f t="shared" si="6"/>
        <v>2327545.784812063</v>
      </c>
      <c r="U34" s="137">
        <f t="shared" si="7"/>
        <v>973674.6305803447</v>
      </c>
      <c r="V34" s="137">
        <f t="shared" si="8"/>
        <v>2806108.7088772082</v>
      </c>
      <c r="W34" s="137">
        <f t="shared" si="9"/>
        <v>3831039.5808890527</v>
      </c>
      <c r="X34" s="138">
        <f t="shared" si="10"/>
        <v>9938368.7051586695</v>
      </c>
    </row>
    <row r="35" spans="4:24">
      <c r="D35" s="9" t="s">
        <v>223</v>
      </c>
      <c r="E35" s="9" t="s">
        <v>2283</v>
      </c>
      <c r="F35" s="4" t="s">
        <v>35</v>
      </c>
      <c r="G35" s="9" t="s">
        <v>2860</v>
      </c>
      <c r="H35" s="136">
        <v>366767.64940601267</v>
      </c>
      <c r="I35" s="137">
        <v>1501082.103384003</v>
      </c>
      <c r="J35" s="137">
        <v>123417.14902261843</v>
      </c>
      <c r="K35" s="137">
        <v>299230.03522972116</v>
      </c>
      <c r="L35" s="149">
        <f t="shared" si="0"/>
        <v>490184.7984286311</v>
      </c>
      <c r="M35" s="138">
        <f t="shared" si="1"/>
        <v>1800312.1386137241</v>
      </c>
      <c r="N35" s="139">
        <f>INDEX('CHIRP Payment Calc'!AM:AM,MATCH(F:F,'CHIRP Payment Calc'!C:C,0))</f>
        <v>2.4699999999999998</v>
      </c>
      <c r="O35" s="139">
        <f>INDEX('CHIRP Payment Calc'!AL:AL,MATCH(F:F,'CHIRP Payment Calc'!C:C,0))</f>
        <v>2.2000000000000002</v>
      </c>
      <c r="P35" s="136">
        <f t="shared" si="2"/>
        <v>5171443.1570689119</v>
      </c>
      <c r="Q35" s="149">
        <f t="shared" si="3"/>
        <v>256739.58778245663</v>
      </c>
      <c r="R35" s="149">
        <f t="shared" si="4"/>
        <v>61477.432059016232</v>
      </c>
      <c r="S35" s="137">
        <f t="shared" si="5"/>
        <v>318217.01984147285</v>
      </c>
      <c r="T35" s="137">
        <f t="shared" si="6"/>
        <v>961184.18465024</v>
      </c>
      <c r="U35" s="137">
        <f t="shared" si="7"/>
        <v>324298.2532828378</v>
      </c>
      <c r="V35" s="137">
        <f t="shared" si="8"/>
        <v>3503852.1246098746</v>
      </c>
      <c r="W35" s="137">
        <f t="shared" si="9"/>
        <v>700325.61436743266</v>
      </c>
      <c r="X35" s="138">
        <f t="shared" si="10"/>
        <v>5489660.1769103855</v>
      </c>
    </row>
    <row r="36" spans="4:24">
      <c r="D36" s="9" t="s">
        <v>223</v>
      </c>
      <c r="E36" s="9" t="s">
        <v>2283</v>
      </c>
      <c r="F36" s="4" t="s">
        <v>1414</v>
      </c>
      <c r="G36" s="9" t="s">
        <v>2659</v>
      </c>
      <c r="H36" s="136">
        <v>0</v>
      </c>
      <c r="I36" s="137">
        <v>0</v>
      </c>
      <c r="J36" s="137">
        <v>0</v>
      </c>
      <c r="K36" s="137">
        <v>271925.31827725534</v>
      </c>
      <c r="L36" s="149">
        <f t="shared" si="0"/>
        <v>0</v>
      </c>
      <c r="M36" s="138">
        <f t="shared" si="1"/>
        <v>271925.31827725534</v>
      </c>
      <c r="N36" s="139">
        <f>INDEX('CHIRP Payment Calc'!AM:AM,MATCH(F:F,'CHIRP Payment Calc'!C:C,0))</f>
        <v>0.3</v>
      </c>
      <c r="O36" s="139">
        <f>INDEX('CHIRP Payment Calc'!AL:AL,MATCH(F:F,'CHIRP Payment Calc'!C:C,0))</f>
        <v>0.6</v>
      </c>
      <c r="P36" s="136">
        <f t="shared" si="2"/>
        <v>163155.1909663532</v>
      </c>
      <c r="Q36" s="149">
        <f t="shared" si="3"/>
        <v>0</v>
      </c>
      <c r="R36" s="149">
        <f t="shared" si="4"/>
        <v>10414.161125511908</v>
      </c>
      <c r="S36" s="137">
        <f t="shared" si="5"/>
        <v>10414.161125511908</v>
      </c>
      <c r="T36" s="137">
        <f t="shared" si="6"/>
        <v>0</v>
      </c>
      <c r="U36" s="137">
        <f t="shared" si="7"/>
        <v>0</v>
      </c>
      <c r="V36" s="137">
        <f t="shared" si="8"/>
        <v>0</v>
      </c>
      <c r="W36" s="137">
        <f t="shared" si="9"/>
        <v>173569.35209186512</v>
      </c>
      <c r="X36" s="138">
        <f t="shared" si="10"/>
        <v>173569.35209186512</v>
      </c>
    </row>
    <row r="37" spans="4:24">
      <c r="D37" s="9" t="s">
        <v>223</v>
      </c>
      <c r="E37" s="9" t="s">
        <v>2283</v>
      </c>
      <c r="F37" s="4" t="s">
        <v>784</v>
      </c>
      <c r="G37" s="9" t="s">
        <v>2569</v>
      </c>
      <c r="H37" s="136">
        <v>1700086.7433595452</v>
      </c>
      <c r="I37" s="137">
        <v>4586051.2370417314</v>
      </c>
      <c r="J37" s="137">
        <v>603459.98464493454</v>
      </c>
      <c r="K37" s="137">
        <v>874945.36366781464</v>
      </c>
      <c r="L37" s="149">
        <f t="shared" si="0"/>
        <v>2303546.7280044798</v>
      </c>
      <c r="M37" s="138">
        <f t="shared" si="1"/>
        <v>5460996.6007095464</v>
      </c>
      <c r="N37" s="139">
        <f>INDEX('CHIRP Payment Calc'!AM:AM,MATCH(F:F,'CHIRP Payment Calc'!C:C,0))</f>
        <v>1.6700000000000002</v>
      </c>
      <c r="O37" s="139">
        <f>INDEX('CHIRP Payment Calc'!AL:AL,MATCH(F:F,'CHIRP Payment Calc'!C:C,0))</f>
        <v>1.58</v>
      </c>
      <c r="P37" s="136">
        <f t="shared" si="2"/>
        <v>12475297.664888564</v>
      </c>
      <c r="Q37" s="149">
        <f t="shared" si="3"/>
        <v>615271.70760354563</v>
      </c>
      <c r="R37" s="149">
        <f t="shared" si="4"/>
        <v>152565.43716716097</v>
      </c>
      <c r="S37" s="137">
        <f t="shared" si="5"/>
        <v>767837.14477070654</v>
      </c>
      <c r="T37" s="137">
        <f t="shared" si="6"/>
        <v>3012355.2906211577</v>
      </c>
      <c r="U37" s="137">
        <f t="shared" si="7"/>
        <v>1072104.4408053625</v>
      </c>
      <c r="V37" s="137">
        <f t="shared" si="8"/>
        <v>7688022.2329187645</v>
      </c>
      <c r="W37" s="137">
        <f t="shared" si="9"/>
        <v>1470652.8453139865</v>
      </c>
      <c r="X37" s="138">
        <f t="shared" si="10"/>
        <v>13243134.809659271</v>
      </c>
    </row>
    <row r="38" spans="4:24">
      <c r="D38" s="9" t="s">
        <v>223</v>
      </c>
      <c r="E38" s="9" t="s">
        <v>2283</v>
      </c>
      <c r="F38" s="4" t="s">
        <v>519</v>
      </c>
      <c r="G38" s="9" t="s">
        <v>2475</v>
      </c>
      <c r="H38" s="136">
        <v>740637.256560929</v>
      </c>
      <c r="I38" s="137">
        <v>1355975.7559145452</v>
      </c>
      <c r="J38" s="137">
        <v>465524.98340536479</v>
      </c>
      <c r="K38" s="137">
        <v>394720.36277035001</v>
      </c>
      <c r="L38" s="149">
        <f t="shared" si="0"/>
        <v>1206162.2399662938</v>
      </c>
      <c r="M38" s="138">
        <f t="shared" si="1"/>
        <v>1750696.1186848951</v>
      </c>
      <c r="N38" s="139">
        <f>INDEX('CHIRP Payment Calc'!AM:AM,MATCH(F:F,'CHIRP Payment Calc'!C:C,0))</f>
        <v>1.56</v>
      </c>
      <c r="O38" s="139">
        <f>INDEX('CHIRP Payment Calc'!AL:AL,MATCH(F:F,'CHIRP Payment Calc'!C:C,0))</f>
        <v>1.8599999999999999</v>
      </c>
      <c r="P38" s="136">
        <f t="shared" si="2"/>
        <v>5137907.8751013223</v>
      </c>
      <c r="Q38" s="149">
        <f t="shared" si="3"/>
        <v>224357.31459795855</v>
      </c>
      <c r="R38" s="149">
        <f t="shared" si="4"/>
        <v>93216.947799907677</v>
      </c>
      <c r="S38" s="137">
        <f t="shared" si="5"/>
        <v>317574.26239786623</v>
      </c>
      <c r="T38" s="137">
        <f t="shared" si="6"/>
        <v>1225882.355687055</v>
      </c>
      <c r="U38" s="137">
        <f t="shared" si="7"/>
        <v>772573.37671528629</v>
      </c>
      <c r="V38" s="137">
        <f t="shared" si="8"/>
        <v>2675983.9851470068</v>
      </c>
      <c r="W38" s="137">
        <f t="shared" si="9"/>
        <v>781042.41994984157</v>
      </c>
      <c r="X38" s="138">
        <f t="shared" si="10"/>
        <v>5455482.1374991899</v>
      </c>
    </row>
    <row r="39" spans="4:24">
      <c r="D39" s="9" t="s">
        <v>223</v>
      </c>
      <c r="E39" s="9" t="s">
        <v>2283</v>
      </c>
      <c r="F39" s="4" t="s">
        <v>875</v>
      </c>
      <c r="G39" s="9" t="s">
        <v>2872</v>
      </c>
      <c r="H39" s="136">
        <v>2166317.4269093727</v>
      </c>
      <c r="I39" s="137">
        <v>5290533.4938496724</v>
      </c>
      <c r="J39" s="137">
        <v>1657513.1032547704</v>
      </c>
      <c r="K39" s="137">
        <v>5684742.50683631</v>
      </c>
      <c r="L39" s="149">
        <f t="shared" si="0"/>
        <v>3823830.5301641431</v>
      </c>
      <c r="M39" s="138">
        <f t="shared" si="1"/>
        <v>10975276.000685982</v>
      </c>
      <c r="N39" s="139">
        <f>INDEX('CHIRP Payment Calc'!AM:AM,MATCH(F:F,'CHIRP Payment Calc'!C:C,0))</f>
        <v>0.96</v>
      </c>
      <c r="O39" s="139">
        <f>INDEX('CHIRP Payment Calc'!AL:AL,MATCH(F:F,'CHIRP Payment Calc'!C:C,0))</f>
        <v>1.77</v>
      </c>
      <c r="P39" s="136">
        <f t="shared" si="2"/>
        <v>23097115.830171768</v>
      </c>
      <c r="Q39" s="149">
        <f t="shared" si="3"/>
        <v>698169.51543973235</v>
      </c>
      <c r="R39" s="149">
        <f t="shared" si="4"/>
        <v>743821.71167392656</v>
      </c>
      <c r="S39" s="137">
        <f t="shared" si="5"/>
        <v>1441991.227113659</v>
      </c>
      <c r="T39" s="137">
        <f t="shared" si="6"/>
        <v>2206540.827409016</v>
      </c>
      <c r="U39" s="137">
        <f t="shared" si="7"/>
        <v>1692779.3394942337</v>
      </c>
      <c r="V39" s="137">
        <f t="shared" si="8"/>
        <v>9935537.7019776329</v>
      </c>
      <c r="W39" s="137">
        <f t="shared" si="9"/>
        <v>10704249.188404541</v>
      </c>
      <c r="X39" s="138">
        <f t="shared" si="10"/>
        <v>24539107.057285424</v>
      </c>
    </row>
    <row r="40" spans="4:24">
      <c r="D40" s="9" t="s">
        <v>223</v>
      </c>
      <c r="E40" s="9" t="s">
        <v>2283</v>
      </c>
      <c r="F40" s="4" t="s">
        <v>466</v>
      </c>
      <c r="G40" s="9" t="s">
        <v>2689</v>
      </c>
      <c r="H40" s="136">
        <v>1043020.1198845323</v>
      </c>
      <c r="I40" s="137">
        <v>7109509.6777202887</v>
      </c>
      <c r="J40" s="137">
        <v>3606218.9599863915</v>
      </c>
      <c r="K40" s="137">
        <v>8768708.9539029989</v>
      </c>
      <c r="L40" s="149">
        <f t="shared" si="0"/>
        <v>4649239.0798709234</v>
      </c>
      <c r="M40" s="138">
        <f t="shared" si="1"/>
        <v>15878218.631623287</v>
      </c>
      <c r="N40" s="139">
        <f>INDEX('CHIRP Payment Calc'!AM:AM,MATCH(F:F,'CHIRP Payment Calc'!C:C,0))</f>
        <v>1.9500000000000002</v>
      </c>
      <c r="O40" s="139">
        <f>INDEX('CHIRP Payment Calc'!AL:AL,MATCH(F:F,'CHIRP Payment Calc'!C:C,0))</f>
        <v>1.5499999999999998</v>
      </c>
      <c r="P40" s="136">
        <f t="shared" si="2"/>
        <v>33677255.084764391</v>
      </c>
      <c r="Q40" s="149">
        <f t="shared" si="3"/>
        <v>796375.2583224125</v>
      </c>
      <c r="R40" s="149">
        <f t="shared" si="4"/>
        <v>1316401.6500333901</v>
      </c>
      <c r="S40" s="137">
        <f t="shared" si="5"/>
        <v>2112776.9083558028</v>
      </c>
      <c r="T40" s="137">
        <f t="shared" si="6"/>
        <v>2157972.6618300667</v>
      </c>
      <c r="U40" s="137">
        <f t="shared" si="7"/>
        <v>7480986.1403973028</v>
      </c>
      <c r="V40" s="137">
        <f t="shared" si="8"/>
        <v>11692031.830733629</v>
      </c>
      <c r="W40" s="137">
        <f t="shared" si="9"/>
        <v>14459041.3601592</v>
      </c>
      <c r="X40" s="138">
        <f t="shared" si="10"/>
        <v>35790031.993120193</v>
      </c>
    </row>
    <row r="41" spans="4:24">
      <c r="D41" s="9" t="s">
        <v>223</v>
      </c>
      <c r="E41" s="9" t="s">
        <v>2283</v>
      </c>
      <c r="F41" s="4" t="s">
        <v>969</v>
      </c>
      <c r="G41" s="9" t="s">
        <v>2637</v>
      </c>
      <c r="H41" s="136">
        <v>93453.314697035719</v>
      </c>
      <c r="I41" s="137">
        <v>0</v>
      </c>
      <c r="J41" s="137">
        <v>1461.5342460659613</v>
      </c>
      <c r="K41" s="137">
        <v>0</v>
      </c>
      <c r="L41" s="149">
        <f t="shared" si="0"/>
        <v>94914.848943101679</v>
      </c>
      <c r="M41" s="138">
        <f t="shared" si="1"/>
        <v>0</v>
      </c>
      <c r="N41" s="139">
        <f>INDEX('CHIRP Payment Calc'!AM:AM,MATCH(F:F,'CHIRP Payment Calc'!C:C,0))</f>
        <v>1.57</v>
      </c>
      <c r="O41" s="139">
        <f>INDEX('CHIRP Payment Calc'!AL:AL,MATCH(F:F,'CHIRP Payment Calc'!C:C,0))</f>
        <v>0.6</v>
      </c>
      <c r="P41" s="136">
        <f t="shared" si="2"/>
        <v>149016.31284066965</v>
      </c>
      <c r="Q41" s="149">
        <f t="shared" si="3"/>
        <v>8951.1914952518837</v>
      </c>
      <c r="R41" s="149">
        <f t="shared" si="4"/>
        <v>146.46438933980167</v>
      </c>
      <c r="S41" s="137">
        <f t="shared" si="5"/>
        <v>9097.6558845916861</v>
      </c>
      <c r="T41" s="137">
        <f t="shared" si="6"/>
        <v>155672.89556959798</v>
      </c>
      <c r="U41" s="137">
        <f t="shared" si="7"/>
        <v>2441.0731556633609</v>
      </c>
      <c r="V41" s="137">
        <f t="shared" si="8"/>
        <v>0</v>
      </c>
      <c r="W41" s="137">
        <f t="shared" si="9"/>
        <v>0</v>
      </c>
      <c r="X41" s="138">
        <f t="shared" si="10"/>
        <v>158113.96872526134</v>
      </c>
    </row>
    <row r="42" spans="4:24">
      <c r="D42" s="9" t="s">
        <v>223</v>
      </c>
      <c r="E42" s="9" t="s">
        <v>2283</v>
      </c>
      <c r="F42" s="4" t="s">
        <v>1114</v>
      </c>
      <c r="G42" s="9" t="s">
        <v>2627</v>
      </c>
      <c r="H42" s="136">
        <v>2246160.6411230792</v>
      </c>
      <c r="I42" s="137">
        <v>12370265.358578699</v>
      </c>
      <c r="J42" s="137">
        <v>2338903.1238386491</v>
      </c>
      <c r="K42" s="137">
        <v>6742897.0285352217</v>
      </c>
      <c r="L42" s="149">
        <f t="shared" si="0"/>
        <v>4585063.7649617288</v>
      </c>
      <c r="M42" s="138">
        <f t="shared" si="1"/>
        <v>19113162.387113921</v>
      </c>
      <c r="N42" s="139">
        <f>INDEX('CHIRP Payment Calc'!AM:AM,MATCH(F:F,'CHIRP Payment Calc'!C:C,0))</f>
        <v>0.72</v>
      </c>
      <c r="O42" s="139">
        <f>INDEX('CHIRP Payment Calc'!AL:AL,MATCH(F:F,'CHIRP Payment Calc'!C:C,0))</f>
        <v>1.6800000000000002</v>
      </c>
      <c r="P42" s="136">
        <f t="shared" si="2"/>
        <v>35411358.721123837</v>
      </c>
      <c r="Q42" s="149">
        <f t="shared" si="3"/>
        <v>1366534.4129243481</v>
      </c>
      <c r="R42" s="149">
        <f t="shared" si="4"/>
        <v>830558.1227938087</v>
      </c>
      <c r="S42" s="137">
        <f t="shared" si="5"/>
        <v>2197092.535718157</v>
      </c>
      <c r="T42" s="137">
        <f t="shared" si="6"/>
        <v>1715899.9062160391</v>
      </c>
      <c r="U42" s="137">
        <f t="shared" si="7"/>
        <v>1791500.2650679015</v>
      </c>
      <c r="V42" s="137">
        <f t="shared" si="8"/>
        <v>22049915.970729142</v>
      </c>
      <c r="W42" s="137">
        <f t="shared" si="9"/>
        <v>12051135.114828909</v>
      </c>
      <c r="X42" s="138">
        <f t="shared" si="10"/>
        <v>37608451.256841995</v>
      </c>
    </row>
    <row r="43" spans="4:24">
      <c r="D43" s="9" t="s">
        <v>223</v>
      </c>
      <c r="E43" s="9" t="s">
        <v>2283</v>
      </c>
      <c r="F43" s="4" t="s">
        <v>606</v>
      </c>
      <c r="G43" s="9" t="s">
        <v>2440</v>
      </c>
      <c r="H43" s="136">
        <v>1484266.91629447</v>
      </c>
      <c r="I43" s="137">
        <v>5174429.057907342</v>
      </c>
      <c r="J43" s="137">
        <v>462516.38399401662</v>
      </c>
      <c r="K43" s="137">
        <v>2285423.4854637589</v>
      </c>
      <c r="L43" s="149">
        <f t="shared" si="0"/>
        <v>1946783.3002884865</v>
      </c>
      <c r="M43" s="138">
        <f t="shared" si="1"/>
        <v>7459852.5433711009</v>
      </c>
      <c r="N43" s="139">
        <f>INDEX('CHIRP Payment Calc'!AM:AM,MATCH(F:F,'CHIRP Payment Calc'!C:C,0))</f>
        <v>0.94</v>
      </c>
      <c r="O43" s="139">
        <f>INDEX('CHIRP Payment Calc'!AL:AL,MATCH(F:F,'CHIRP Payment Calc'!C:C,0))</f>
        <v>1.6</v>
      </c>
      <c r="P43" s="136">
        <f t="shared" si="2"/>
        <v>13765740.371664939</v>
      </c>
      <c r="Q43" s="149">
        <f t="shared" si="3"/>
        <v>590209.12483097252</v>
      </c>
      <c r="R43" s="149">
        <f t="shared" si="4"/>
        <v>261155.9347465781</v>
      </c>
      <c r="S43" s="137">
        <f t="shared" si="5"/>
        <v>851365.05957755062</v>
      </c>
      <c r="T43" s="137">
        <f t="shared" si="6"/>
        <v>1480329.8687711423</v>
      </c>
      <c r="U43" s="137">
        <f t="shared" si="7"/>
        <v>462516.38399401662</v>
      </c>
      <c r="V43" s="137">
        <f t="shared" si="8"/>
        <v>8784176.6500283796</v>
      </c>
      <c r="W43" s="137">
        <f t="shared" si="9"/>
        <v>3890082.5284489514</v>
      </c>
      <c r="X43" s="138">
        <f t="shared" si="10"/>
        <v>14617105.431242488</v>
      </c>
    </row>
    <row r="44" spans="4:24">
      <c r="D44" s="9" t="s">
        <v>223</v>
      </c>
      <c r="E44" s="9" t="s">
        <v>2283</v>
      </c>
      <c r="F44" s="4" t="s">
        <v>525</v>
      </c>
      <c r="G44" s="9" t="s">
        <v>2346</v>
      </c>
      <c r="H44" s="136">
        <v>1831501.1739428521</v>
      </c>
      <c r="I44" s="137">
        <v>9266278.7395025417</v>
      </c>
      <c r="J44" s="137">
        <v>2889097.03784865</v>
      </c>
      <c r="K44" s="137">
        <v>15675203.759129427</v>
      </c>
      <c r="L44" s="149">
        <f t="shared" si="0"/>
        <v>4720598.2117915023</v>
      </c>
      <c r="M44" s="138">
        <f t="shared" si="1"/>
        <v>24941482.498631969</v>
      </c>
      <c r="N44" s="139">
        <f>INDEX('CHIRP Payment Calc'!AM:AM,MATCH(F:F,'CHIRP Payment Calc'!C:C,0))</f>
        <v>1.1000000000000001</v>
      </c>
      <c r="O44" s="139">
        <f>INDEX('CHIRP Payment Calc'!AL:AL,MATCH(F:F,'CHIRP Payment Calc'!C:C,0))</f>
        <v>1.3900000000000001</v>
      </c>
      <c r="P44" s="136">
        <f t="shared" si="2"/>
        <v>39861318.706069089</v>
      </c>
      <c r="Q44" s="149">
        <f t="shared" si="3"/>
        <v>908700.02918474923</v>
      </c>
      <c r="R44" s="149">
        <f t="shared" si="4"/>
        <v>1593608.9340525591</v>
      </c>
      <c r="S44" s="137">
        <f t="shared" si="5"/>
        <v>2502308.9632373084</v>
      </c>
      <c r="T44" s="137">
        <f t="shared" si="6"/>
        <v>2137561.0518165915</v>
      </c>
      <c r="U44" s="137">
        <f t="shared" si="7"/>
        <v>3380858.2357803355</v>
      </c>
      <c r="V44" s="137">
        <f t="shared" si="8"/>
        <v>13665917.716613829</v>
      </c>
      <c r="W44" s="137">
        <f t="shared" si="9"/>
        <v>23179290.665095646</v>
      </c>
      <c r="X44" s="138">
        <f t="shared" si="10"/>
        <v>42363627.669306397</v>
      </c>
    </row>
    <row r="45" spans="4:24">
      <c r="D45" s="9" t="s">
        <v>223</v>
      </c>
      <c r="E45" s="9" t="s">
        <v>2283</v>
      </c>
      <c r="F45" s="4" t="s">
        <v>1120</v>
      </c>
      <c r="G45" s="9" t="s">
        <v>2628</v>
      </c>
      <c r="H45" s="136">
        <v>1046947.8323648834</v>
      </c>
      <c r="I45" s="137">
        <v>36599.329806874193</v>
      </c>
      <c r="J45" s="137">
        <v>559088.36368141847</v>
      </c>
      <c r="K45" s="137">
        <v>91549.129403667452</v>
      </c>
      <c r="L45" s="149">
        <f t="shared" si="0"/>
        <v>1606036.1960463019</v>
      </c>
      <c r="M45" s="138">
        <f t="shared" si="1"/>
        <v>128148.45921054165</v>
      </c>
      <c r="N45" s="139">
        <f>INDEX('CHIRP Payment Calc'!AM:AM,MATCH(F:F,'CHIRP Payment Calc'!C:C,0))</f>
        <v>0.77</v>
      </c>
      <c r="O45" s="139">
        <f>INDEX('CHIRP Payment Calc'!AL:AL,MATCH(F:F,'CHIRP Payment Calc'!C:C,0))</f>
        <v>3.24</v>
      </c>
      <c r="P45" s="136">
        <f t="shared" si="2"/>
        <v>1651848.8787978075</v>
      </c>
      <c r="Q45" s="149">
        <f t="shared" si="3"/>
        <v>56415.989836579181</v>
      </c>
      <c r="R45" s="149">
        <f t="shared" si="4"/>
        <v>46411.737402292012</v>
      </c>
      <c r="S45" s="137">
        <f t="shared" si="5"/>
        <v>102827.72723887119</v>
      </c>
      <c r="T45" s="137">
        <f t="shared" si="6"/>
        <v>855331.38559253071</v>
      </c>
      <c r="U45" s="137">
        <f t="shared" si="7"/>
        <v>457976.63833477895</v>
      </c>
      <c r="V45" s="137">
        <f t="shared" si="8"/>
        <v>125816.26373928106</v>
      </c>
      <c r="W45" s="137">
        <f t="shared" si="9"/>
        <v>315552.31837008783</v>
      </c>
      <c r="X45" s="138">
        <f t="shared" si="10"/>
        <v>1754676.6060366784</v>
      </c>
    </row>
    <row r="46" spans="4:24">
      <c r="D46" s="9" t="s">
        <v>223</v>
      </c>
      <c r="E46" s="9" t="s">
        <v>2283</v>
      </c>
      <c r="F46" s="4" t="s">
        <v>2555</v>
      </c>
      <c r="G46" s="9" t="s">
        <v>2556</v>
      </c>
      <c r="H46" s="136">
        <v>0</v>
      </c>
      <c r="I46" s="137">
        <v>0</v>
      </c>
      <c r="J46" s="137">
        <v>0</v>
      </c>
      <c r="K46" s="137">
        <v>0</v>
      </c>
      <c r="L46" s="149">
        <f t="shared" si="0"/>
        <v>0</v>
      </c>
      <c r="M46" s="138">
        <f t="shared" si="1"/>
        <v>0</v>
      </c>
      <c r="N46" s="139">
        <f>INDEX('CHIRP Payment Calc'!AM:AM,MATCH(F:F,'CHIRP Payment Calc'!C:C,0))</f>
        <v>0.3</v>
      </c>
      <c r="O46" s="139">
        <f>INDEX('CHIRP Payment Calc'!AL:AL,MATCH(F:F,'CHIRP Payment Calc'!C:C,0))</f>
        <v>0.6</v>
      </c>
      <c r="P46" s="136">
        <f t="shared" si="2"/>
        <v>0</v>
      </c>
      <c r="Q46" s="149">
        <f t="shared" si="3"/>
        <v>0</v>
      </c>
      <c r="R46" s="149">
        <f t="shared" si="4"/>
        <v>0</v>
      </c>
      <c r="S46" s="137">
        <f t="shared" si="5"/>
        <v>0</v>
      </c>
      <c r="T46" s="137">
        <f t="shared" si="6"/>
        <v>0</v>
      </c>
      <c r="U46" s="137">
        <f t="shared" si="7"/>
        <v>0</v>
      </c>
      <c r="V46" s="137">
        <f t="shared" si="8"/>
        <v>0</v>
      </c>
      <c r="W46" s="137">
        <f t="shared" si="9"/>
        <v>0</v>
      </c>
      <c r="X46" s="138">
        <f t="shared" si="10"/>
        <v>0</v>
      </c>
    </row>
    <row r="47" spans="4:24">
      <c r="D47" s="9" t="s">
        <v>223</v>
      </c>
      <c r="E47" s="9" t="s">
        <v>2283</v>
      </c>
      <c r="F47" s="4" t="s">
        <v>881</v>
      </c>
      <c r="G47" s="9" t="s">
        <v>2873</v>
      </c>
      <c r="H47" s="136">
        <v>2271637.2494885367</v>
      </c>
      <c r="I47" s="137">
        <v>13033195.657182803</v>
      </c>
      <c r="J47" s="137">
        <v>2165829.5712851952</v>
      </c>
      <c r="K47" s="137">
        <v>8559013.1886746939</v>
      </c>
      <c r="L47" s="149">
        <f t="shared" si="0"/>
        <v>4437466.8207737319</v>
      </c>
      <c r="M47" s="138">
        <f t="shared" si="1"/>
        <v>21592208.845857497</v>
      </c>
      <c r="N47" s="139">
        <f>INDEX('CHIRP Payment Calc'!AM:AM,MATCH(F:F,'CHIRP Payment Calc'!C:C,0))</f>
        <v>1.25</v>
      </c>
      <c r="O47" s="139">
        <f>INDEX('CHIRP Payment Calc'!AL:AL,MATCH(F:F,'CHIRP Payment Calc'!C:C,0))</f>
        <v>1.3599999999999999</v>
      </c>
      <c r="P47" s="136">
        <f t="shared" si="2"/>
        <v>34912237.556333356</v>
      </c>
      <c r="Q47" s="149">
        <f t="shared" si="3"/>
        <v>1254609.8967625292</v>
      </c>
      <c r="R47" s="149">
        <f t="shared" si="4"/>
        <v>915800.73834281357</v>
      </c>
      <c r="S47" s="137">
        <f t="shared" si="5"/>
        <v>2170410.6351053426</v>
      </c>
      <c r="T47" s="137">
        <f t="shared" si="6"/>
        <v>3012781.4979954069</v>
      </c>
      <c r="U47" s="137">
        <f t="shared" si="7"/>
        <v>2880092.5150069087</v>
      </c>
      <c r="V47" s="137">
        <f t="shared" si="8"/>
        <v>18806521.054396402</v>
      </c>
      <c r="W47" s="137">
        <f t="shared" si="9"/>
        <v>12383253.124039983</v>
      </c>
      <c r="X47" s="138">
        <f t="shared" si="10"/>
        <v>37082648.191438705</v>
      </c>
    </row>
    <row r="48" spans="4:24">
      <c r="D48" s="9" t="s">
        <v>223</v>
      </c>
      <c r="E48" s="9" t="s">
        <v>2283</v>
      </c>
      <c r="F48" s="4" t="s">
        <v>429</v>
      </c>
      <c r="G48" s="9" t="s">
        <v>2630</v>
      </c>
      <c r="H48" s="136">
        <v>543109.20667418232</v>
      </c>
      <c r="I48" s="137">
        <v>242332.04963705558</v>
      </c>
      <c r="J48" s="137">
        <v>296305.8924598468</v>
      </c>
      <c r="K48" s="137">
        <v>197802.61219413541</v>
      </c>
      <c r="L48" s="149">
        <f t="shared" si="0"/>
        <v>839415.09913402912</v>
      </c>
      <c r="M48" s="138">
        <f t="shared" si="1"/>
        <v>440134.66183119098</v>
      </c>
      <c r="N48" s="139">
        <f>INDEX('CHIRP Payment Calc'!AM:AM,MATCH(F:F,'CHIRP Payment Calc'!C:C,0))</f>
        <v>0.63</v>
      </c>
      <c r="O48" s="139">
        <f>INDEX('CHIRP Payment Calc'!AL:AL,MATCH(F:F,'CHIRP Payment Calc'!C:C,0))</f>
        <v>1.9</v>
      </c>
      <c r="P48" s="136">
        <f t="shared" si="2"/>
        <v>1365087.3699337011</v>
      </c>
      <c r="Q48" s="149">
        <f t="shared" si="3"/>
        <v>48964.358020817584</v>
      </c>
      <c r="R48" s="149">
        <f t="shared" si="4"/>
        <v>35904.106941610269</v>
      </c>
      <c r="S48" s="137">
        <f t="shared" si="5"/>
        <v>84868.464962427854</v>
      </c>
      <c r="T48" s="137">
        <f t="shared" si="6"/>
        <v>363033.20976629696</v>
      </c>
      <c r="U48" s="137">
        <f t="shared" si="7"/>
        <v>198587.99175500372</v>
      </c>
      <c r="V48" s="137">
        <f t="shared" si="8"/>
        <v>488520.84276966105</v>
      </c>
      <c r="W48" s="137">
        <f t="shared" si="9"/>
        <v>399813.79060516733</v>
      </c>
      <c r="X48" s="138">
        <f t="shared" si="10"/>
        <v>1449955.8348961291</v>
      </c>
    </row>
    <row r="49" spans="4:24">
      <c r="D49" s="9" t="s">
        <v>223</v>
      </c>
      <c r="E49" s="9" t="s">
        <v>2283</v>
      </c>
      <c r="F49" s="4" t="s">
        <v>763</v>
      </c>
      <c r="G49" s="9" t="s">
        <v>2474</v>
      </c>
      <c r="H49" s="136">
        <v>3441026.7710084575</v>
      </c>
      <c r="I49" s="137">
        <v>4910355.2762453044</v>
      </c>
      <c r="J49" s="137">
        <v>1209459.4656245767</v>
      </c>
      <c r="K49" s="137">
        <v>1494517.1800669951</v>
      </c>
      <c r="L49" s="149">
        <f t="shared" si="0"/>
        <v>4650486.2366330344</v>
      </c>
      <c r="M49" s="138">
        <f t="shared" si="1"/>
        <v>6404872.4563122997</v>
      </c>
      <c r="N49" s="139">
        <f>INDEX('CHIRP Payment Calc'!AM:AM,MATCH(F:F,'CHIRP Payment Calc'!C:C,0))</f>
        <v>0.36</v>
      </c>
      <c r="O49" s="139">
        <f>INDEX('CHIRP Payment Calc'!AL:AL,MATCH(F:F,'CHIRP Payment Calc'!C:C,0))</f>
        <v>0.83</v>
      </c>
      <c r="P49" s="136">
        <f t="shared" si="2"/>
        <v>6990219.1839271011</v>
      </c>
      <c r="Q49" s="149">
        <f t="shared" si="3"/>
        <v>324218.52490045858</v>
      </c>
      <c r="R49" s="149">
        <f t="shared" si="4"/>
        <v>106969.44683492258</v>
      </c>
      <c r="S49" s="137">
        <f t="shared" si="5"/>
        <v>431187.97173538117</v>
      </c>
      <c r="T49" s="137">
        <f t="shared" si="6"/>
        <v>1314344.4430377132</v>
      </c>
      <c r="U49" s="137">
        <f t="shared" si="7"/>
        <v>463197.24215409317</v>
      </c>
      <c r="V49" s="137">
        <f t="shared" si="8"/>
        <v>4324238.5987093924</v>
      </c>
      <c r="W49" s="137">
        <f t="shared" si="9"/>
        <v>1319626.8717612829</v>
      </c>
      <c r="X49" s="138">
        <f t="shared" si="10"/>
        <v>7421407.1556624817</v>
      </c>
    </row>
    <row r="50" spans="4:24">
      <c r="D50" s="9" t="s">
        <v>223</v>
      </c>
      <c r="E50" s="9" t="s">
        <v>2283</v>
      </c>
      <c r="F50" s="4" t="s">
        <v>26</v>
      </c>
      <c r="G50" s="9" t="s">
        <v>2856</v>
      </c>
      <c r="H50" s="136">
        <v>0</v>
      </c>
      <c r="I50" s="137">
        <v>0</v>
      </c>
      <c r="J50" s="137">
        <v>8653.7059549796231</v>
      </c>
      <c r="K50" s="137">
        <v>134224.4365229164</v>
      </c>
      <c r="L50" s="149">
        <f t="shared" si="0"/>
        <v>8653.7059549796231</v>
      </c>
      <c r="M50" s="138">
        <f t="shared" si="1"/>
        <v>134224.4365229164</v>
      </c>
      <c r="N50" s="139">
        <f>INDEX('CHIRP Payment Calc'!AM:AM,MATCH(F:F,'CHIRP Payment Calc'!C:C,0))</f>
        <v>31.07</v>
      </c>
      <c r="O50" s="139">
        <f>INDEX('CHIRP Payment Calc'!AL:AL,MATCH(F:F,'CHIRP Payment Calc'!C:C,0))</f>
        <v>7.05</v>
      </c>
      <c r="P50" s="136">
        <f t="shared" si="2"/>
        <v>1215152.9215077774</v>
      </c>
      <c r="Q50" s="149">
        <f t="shared" si="3"/>
        <v>0</v>
      </c>
      <c r="R50" s="149">
        <f t="shared" si="4"/>
        <v>77562.952436666659</v>
      </c>
      <c r="S50" s="137">
        <f t="shared" si="5"/>
        <v>77562.952436666659</v>
      </c>
      <c r="T50" s="137">
        <f t="shared" si="6"/>
        <v>0</v>
      </c>
      <c r="U50" s="137">
        <f t="shared" si="7"/>
        <v>286032.60002257122</v>
      </c>
      <c r="V50" s="137">
        <f t="shared" si="8"/>
        <v>0</v>
      </c>
      <c r="W50" s="137">
        <f t="shared" si="9"/>
        <v>1006683.273921873</v>
      </c>
      <c r="X50" s="138">
        <f t="shared" si="10"/>
        <v>1292715.8739444441</v>
      </c>
    </row>
    <row r="51" spans="4:24">
      <c r="D51" s="9" t="s">
        <v>223</v>
      </c>
      <c r="E51" s="9" t="s">
        <v>2283</v>
      </c>
      <c r="F51" s="4" t="s">
        <v>366</v>
      </c>
      <c r="G51" s="9" t="s">
        <v>2635</v>
      </c>
      <c r="H51" s="136">
        <v>1008871.6316935909</v>
      </c>
      <c r="I51" s="137">
        <v>332094.01807006722</v>
      </c>
      <c r="J51" s="137">
        <v>464855.87047825777</v>
      </c>
      <c r="K51" s="137">
        <v>237102.55485293205</v>
      </c>
      <c r="L51" s="149">
        <f t="shared" si="0"/>
        <v>1473727.5021718487</v>
      </c>
      <c r="M51" s="138">
        <f t="shared" si="1"/>
        <v>569196.57292299927</v>
      </c>
      <c r="N51" s="139">
        <f>INDEX('CHIRP Payment Calc'!AM:AM,MATCH(F:F,'CHIRP Payment Calc'!C:C,0))</f>
        <v>0.8</v>
      </c>
      <c r="O51" s="139">
        <f>INDEX('CHIRP Payment Calc'!AL:AL,MATCH(F:F,'CHIRP Payment Calc'!C:C,0))</f>
        <v>2.38</v>
      </c>
      <c r="P51" s="136">
        <f t="shared" si="2"/>
        <v>2533669.8452942171</v>
      </c>
      <c r="Q51" s="149">
        <f t="shared" si="3"/>
        <v>97459.05722100148</v>
      </c>
      <c r="R51" s="149">
        <f t="shared" si="4"/>
        <v>59756.730442505403</v>
      </c>
      <c r="S51" s="137">
        <f t="shared" si="5"/>
        <v>157215.78766350687</v>
      </c>
      <c r="T51" s="137">
        <f t="shared" si="6"/>
        <v>856336.66350649635</v>
      </c>
      <c r="U51" s="137">
        <f t="shared" si="7"/>
        <v>395622.01742830453</v>
      </c>
      <c r="V51" s="137">
        <f t="shared" si="8"/>
        <v>838603.46207613789</v>
      </c>
      <c r="W51" s="137">
        <f t="shared" si="9"/>
        <v>600323.48994678538</v>
      </c>
      <c r="X51" s="138">
        <f t="shared" si="10"/>
        <v>2690885.6329577239</v>
      </c>
    </row>
    <row r="52" spans="4:24">
      <c r="D52" s="9" t="s">
        <v>223</v>
      </c>
      <c r="E52" s="9" t="s">
        <v>2283</v>
      </c>
      <c r="F52" s="4" t="s">
        <v>522</v>
      </c>
      <c r="G52" s="9" t="s">
        <v>2861</v>
      </c>
      <c r="H52" s="136">
        <v>0</v>
      </c>
      <c r="I52" s="137">
        <v>0</v>
      </c>
      <c r="J52" s="137">
        <v>62048.625085622218</v>
      </c>
      <c r="K52" s="137">
        <v>196340.23838028454</v>
      </c>
      <c r="L52" s="149">
        <f t="shared" si="0"/>
        <v>62048.625085622218</v>
      </c>
      <c r="M52" s="138">
        <f t="shared" si="1"/>
        <v>196340.23838028454</v>
      </c>
      <c r="N52" s="139">
        <f>INDEX('CHIRP Payment Calc'!AM:AM,MATCH(F:F,'CHIRP Payment Calc'!C:C,0))</f>
        <v>3.94</v>
      </c>
      <c r="O52" s="139">
        <f>INDEX('CHIRP Payment Calc'!AL:AL,MATCH(F:F,'CHIRP Payment Calc'!C:C,0))</f>
        <v>5.42</v>
      </c>
      <c r="P52" s="136">
        <f t="shared" si="2"/>
        <v>1308635.6748584937</v>
      </c>
      <c r="Q52" s="149">
        <f t="shared" si="3"/>
        <v>0</v>
      </c>
      <c r="R52" s="149">
        <f t="shared" si="4"/>
        <v>83529.936693095355</v>
      </c>
      <c r="S52" s="137">
        <f t="shared" si="5"/>
        <v>83529.936693095355</v>
      </c>
      <c r="T52" s="137">
        <f t="shared" si="6"/>
        <v>0</v>
      </c>
      <c r="U52" s="137">
        <f t="shared" si="7"/>
        <v>260076.15195462928</v>
      </c>
      <c r="V52" s="137">
        <f t="shared" si="8"/>
        <v>0</v>
      </c>
      <c r="W52" s="137">
        <f t="shared" si="9"/>
        <v>1132089.4595969599</v>
      </c>
      <c r="X52" s="138">
        <f t="shared" si="10"/>
        <v>1392165.6115515891</v>
      </c>
    </row>
    <row r="53" spans="4:24">
      <c r="D53" s="9" t="s">
        <v>223</v>
      </c>
      <c r="E53" s="9" t="s">
        <v>2283</v>
      </c>
      <c r="F53" s="4" t="s">
        <v>109</v>
      </c>
      <c r="G53" s="9" t="s">
        <v>2433</v>
      </c>
      <c r="H53" s="136">
        <v>4125738.9996824893</v>
      </c>
      <c r="I53" s="137">
        <v>35037664.122658379</v>
      </c>
      <c r="J53" s="137">
        <v>2473129.7295228876</v>
      </c>
      <c r="K53" s="137">
        <v>9305752.1588674001</v>
      </c>
      <c r="L53" s="149">
        <f t="shared" si="0"/>
        <v>6598868.7292053774</v>
      </c>
      <c r="M53" s="138">
        <f t="shared" si="1"/>
        <v>44343416.281525776</v>
      </c>
      <c r="N53" s="139">
        <f>INDEX('CHIRP Payment Calc'!AM:AM,MATCH(F:F,'CHIRP Payment Calc'!C:C,0))</f>
        <v>0.8899999999999999</v>
      </c>
      <c r="O53" s="139">
        <f>INDEX('CHIRP Payment Calc'!AL:AL,MATCH(F:F,'CHIRP Payment Calc'!C:C,0))</f>
        <v>2.02</v>
      </c>
      <c r="P53" s="136">
        <f t="shared" si="2"/>
        <v>95446694.057674855</v>
      </c>
      <c r="Q53" s="149">
        <f t="shared" si="3"/>
        <v>4541919.7678042678</v>
      </c>
      <c r="R53" s="149">
        <f t="shared" si="4"/>
        <v>1340342.8608630334</v>
      </c>
      <c r="S53" s="137">
        <f t="shared" si="5"/>
        <v>5882262.6286673015</v>
      </c>
      <c r="T53" s="137">
        <f t="shared" si="6"/>
        <v>3895923.2994349236</v>
      </c>
      <c r="U53" s="137">
        <f t="shared" si="7"/>
        <v>2341580.2758248616</v>
      </c>
      <c r="V53" s="137">
        <f t="shared" si="8"/>
        <v>75093985.705856681</v>
      </c>
      <c r="W53" s="137">
        <f t="shared" si="9"/>
        <v>19997467.40522569</v>
      </c>
      <c r="X53" s="138">
        <f t="shared" si="10"/>
        <v>101328956.68634216</v>
      </c>
    </row>
    <row r="54" spans="4:24">
      <c r="D54" s="9" t="s">
        <v>223</v>
      </c>
      <c r="E54" s="9" t="s">
        <v>2283</v>
      </c>
      <c r="F54" s="4" t="s">
        <v>633</v>
      </c>
      <c r="G54" s="9" t="s">
        <v>2432</v>
      </c>
      <c r="H54" s="136">
        <v>1088453.6954702139</v>
      </c>
      <c r="I54" s="137">
        <v>6607139.4961882802</v>
      </c>
      <c r="J54" s="137">
        <v>553237.69204728468</v>
      </c>
      <c r="K54" s="137">
        <v>4112189.5002470203</v>
      </c>
      <c r="L54" s="149">
        <f t="shared" si="0"/>
        <v>1641691.3875174986</v>
      </c>
      <c r="M54" s="138">
        <f t="shared" si="1"/>
        <v>10719328.9964353</v>
      </c>
      <c r="N54" s="139">
        <f>INDEX('CHIRP Payment Calc'!AM:AM,MATCH(F:F,'CHIRP Payment Calc'!C:C,0))</f>
        <v>0.92999999999999994</v>
      </c>
      <c r="O54" s="139">
        <f>INDEX('CHIRP Payment Calc'!AL:AL,MATCH(F:F,'CHIRP Payment Calc'!C:C,0))</f>
        <v>1.7599999999999998</v>
      </c>
      <c r="P54" s="136">
        <f t="shared" si="2"/>
        <v>20392792.024117399</v>
      </c>
      <c r="Q54" s="149">
        <f t="shared" si="3"/>
        <v>771191.06459365913</v>
      </c>
      <c r="R54" s="149">
        <f t="shared" si="4"/>
        <v>494806.24940672744</v>
      </c>
      <c r="S54" s="137">
        <f t="shared" si="5"/>
        <v>1265997.3140003865</v>
      </c>
      <c r="T54" s="137">
        <f t="shared" si="6"/>
        <v>1074017.9700660994</v>
      </c>
      <c r="U54" s="137">
        <f t="shared" si="7"/>
        <v>547352.1846850795</v>
      </c>
      <c r="V54" s="137">
        <f t="shared" si="8"/>
        <v>12338000.544606231</v>
      </c>
      <c r="W54" s="137">
        <f t="shared" si="9"/>
        <v>7699418.6387603777</v>
      </c>
      <c r="X54" s="138">
        <f t="shared" si="10"/>
        <v>21658789.338117786</v>
      </c>
    </row>
    <row r="55" spans="4:24">
      <c r="D55" s="9" t="s">
        <v>223</v>
      </c>
      <c r="E55" s="9" t="s">
        <v>2283</v>
      </c>
      <c r="F55" s="4" t="s">
        <v>354</v>
      </c>
      <c r="G55" s="9" t="s">
        <v>2944</v>
      </c>
      <c r="H55" s="136">
        <v>419502.74786645529</v>
      </c>
      <c r="I55" s="137">
        <v>13817.798505026523</v>
      </c>
      <c r="J55" s="137">
        <v>124881.01569162487</v>
      </c>
      <c r="K55" s="137">
        <v>70770.998267166549</v>
      </c>
      <c r="L55" s="149">
        <f t="shared" si="0"/>
        <v>544383.76355808019</v>
      </c>
      <c r="M55" s="138">
        <f t="shared" si="1"/>
        <v>84588.796772193076</v>
      </c>
      <c r="N55" s="139">
        <f>INDEX('CHIRP Payment Calc'!AM:AM,MATCH(F:F,'CHIRP Payment Calc'!C:C,0))</f>
        <v>0.79</v>
      </c>
      <c r="O55" s="139">
        <f>INDEX('CHIRP Payment Calc'!AL:AL,MATCH(F:F,'CHIRP Payment Calc'!C:C,0))</f>
        <v>1.69</v>
      </c>
      <c r="P55" s="136">
        <f t="shared" si="2"/>
        <v>573018.23975588963</v>
      </c>
      <c r="Q55" s="149">
        <f t="shared" si="3"/>
        <v>21643.137285474466</v>
      </c>
      <c r="R55" s="149">
        <f t="shared" si="4"/>
        <v>13931.424859652881</v>
      </c>
      <c r="S55" s="137">
        <f t="shared" si="5"/>
        <v>35574.562145127347</v>
      </c>
      <c r="T55" s="137">
        <f t="shared" si="6"/>
        <v>351625.64542652486</v>
      </c>
      <c r="U55" s="137">
        <f t="shared" si="7"/>
        <v>104953.19403870602</v>
      </c>
      <c r="V55" s="137">
        <f t="shared" si="8"/>
        <v>24776.742146944111</v>
      </c>
      <c r="W55" s="137">
        <f t="shared" si="9"/>
        <v>127237.22028884199</v>
      </c>
      <c r="X55" s="138">
        <f t="shared" si="10"/>
        <v>608592.80190101697</v>
      </c>
    </row>
    <row r="56" spans="4:24">
      <c r="D56" s="9" t="s">
        <v>223</v>
      </c>
      <c r="E56" s="9" t="s">
        <v>2283</v>
      </c>
      <c r="F56" s="4" t="s">
        <v>1445</v>
      </c>
      <c r="G56" s="9" t="s">
        <v>2661</v>
      </c>
      <c r="H56" s="136">
        <v>0</v>
      </c>
      <c r="I56" s="137">
        <v>0</v>
      </c>
      <c r="J56" s="137">
        <v>0</v>
      </c>
      <c r="K56" s="137">
        <v>58086.987127870154</v>
      </c>
      <c r="L56" s="149">
        <f t="shared" si="0"/>
        <v>0</v>
      </c>
      <c r="M56" s="138">
        <f t="shared" si="1"/>
        <v>58086.987127870154</v>
      </c>
      <c r="N56" s="139">
        <f>INDEX('CHIRP Payment Calc'!AM:AM,MATCH(F:F,'CHIRP Payment Calc'!C:C,0))</f>
        <v>0.3</v>
      </c>
      <c r="O56" s="139">
        <f>INDEX('CHIRP Payment Calc'!AL:AL,MATCH(F:F,'CHIRP Payment Calc'!C:C,0))</f>
        <v>0.6</v>
      </c>
      <c r="P56" s="136">
        <f t="shared" si="2"/>
        <v>34852.192276722089</v>
      </c>
      <c r="Q56" s="149">
        <f t="shared" si="3"/>
        <v>0</v>
      </c>
      <c r="R56" s="149">
        <f t="shared" si="4"/>
        <v>2224.6080176631126</v>
      </c>
      <c r="S56" s="137">
        <f t="shared" si="5"/>
        <v>2224.6080176631126</v>
      </c>
      <c r="T56" s="137">
        <f t="shared" si="6"/>
        <v>0</v>
      </c>
      <c r="U56" s="137">
        <f t="shared" si="7"/>
        <v>0</v>
      </c>
      <c r="V56" s="137">
        <f t="shared" si="8"/>
        <v>0</v>
      </c>
      <c r="W56" s="137">
        <f t="shared" si="9"/>
        <v>37076.800294385204</v>
      </c>
      <c r="X56" s="138">
        <f t="shared" si="10"/>
        <v>37076.800294385204</v>
      </c>
    </row>
    <row r="57" spans="4:24">
      <c r="D57" s="9" t="s">
        <v>223</v>
      </c>
      <c r="E57" s="9" t="s">
        <v>2283</v>
      </c>
      <c r="F57" s="4" t="s">
        <v>479</v>
      </c>
      <c r="G57" s="9" t="s">
        <v>2629</v>
      </c>
      <c r="H57" s="136">
        <v>1253621.9877237179</v>
      </c>
      <c r="I57" s="137">
        <v>7763480.0866735848</v>
      </c>
      <c r="J57" s="137">
        <v>398005.65678251447</v>
      </c>
      <c r="K57" s="137">
        <v>962380.9608599788</v>
      </c>
      <c r="L57" s="149">
        <f t="shared" si="0"/>
        <v>1651627.6445062323</v>
      </c>
      <c r="M57" s="138">
        <f t="shared" si="1"/>
        <v>8725861.0475335643</v>
      </c>
      <c r="N57" s="139">
        <f>INDEX('CHIRP Payment Calc'!AM:AM,MATCH(F:F,'CHIRP Payment Calc'!C:C,0))</f>
        <v>0.83000000000000007</v>
      </c>
      <c r="O57" s="139">
        <f>INDEX('CHIRP Payment Calc'!AL:AL,MATCH(F:F,'CHIRP Payment Calc'!C:C,0))</f>
        <v>2.23</v>
      </c>
      <c r="P57" s="136">
        <f t="shared" si="2"/>
        <v>20829521.080940019</v>
      </c>
      <c r="Q57" s="149">
        <f t="shared" si="3"/>
        <v>1119683.1230534057</v>
      </c>
      <c r="R57" s="149">
        <f t="shared" si="4"/>
        <v>158071.54709663233</v>
      </c>
      <c r="S57" s="137">
        <f t="shared" si="5"/>
        <v>1277754.6701500381</v>
      </c>
      <c r="T57" s="137">
        <f t="shared" si="6"/>
        <v>1103985.4109397198</v>
      </c>
      <c r="U57" s="137">
        <f t="shared" si="7"/>
        <v>351430.52673349687</v>
      </c>
      <c r="V57" s="137">
        <f t="shared" si="8"/>
        <v>18368764.555206466</v>
      </c>
      <c r="W57" s="137">
        <f t="shared" si="9"/>
        <v>2283095.2582103754</v>
      </c>
      <c r="X57" s="138">
        <f t="shared" si="10"/>
        <v>22107275.751090057</v>
      </c>
    </row>
    <row r="58" spans="4:24">
      <c r="D58" s="9" t="s">
        <v>223</v>
      </c>
      <c r="E58" s="9" t="s">
        <v>2283</v>
      </c>
      <c r="F58" s="4" t="s">
        <v>981</v>
      </c>
      <c r="G58" s="9" t="s">
        <v>2912</v>
      </c>
      <c r="H58" s="136">
        <v>2265956.8706889111</v>
      </c>
      <c r="I58" s="137">
        <v>2915296.3487060112</v>
      </c>
      <c r="J58" s="137">
        <v>200550.68713909606</v>
      </c>
      <c r="K58" s="137">
        <v>1278802.478943231</v>
      </c>
      <c r="L58" s="149">
        <f t="shared" si="0"/>
        <v>2466507.5578280073</v>
      </c>
      <c r="M58" s="138">
        <f t="shared" si="1"/>
        <v>4194098.8276492422</v>
      </c>
      <c r="N58" s="139">
        <f>INDEX('CHIRP Payment Calc'!AM:AM,MATCH(F:F,'CHIRP Payment Calc'!C:C,0))</f>
        <v>1.54</v>
      </c>
      <c r="O58" s="139">
        <f>INDEX('CHIRP Payment Calc'!AL:AL,MATCH(F:F,'CHIRP Payment Calc'!C:C,0))</f>
        <v>1.96</v>
      </c>
      <c r="P58" s="136">
        <f t="shared" si="2"/>
        <v>12018855.341247646</v>
      </c>
      <c r="Q58" s="149">
        <f t="shared" si="3"/>
        <v>561490.05771742226</v>
      </c>
      <c r="R58" s="149">
        <f t="shared" si="4"/>
        <v>179700.05852699626</v>
      </c>
      <c r="S58" s="137">
        <f t="shared" si="5"/>
        <v>741190.11624441855</v>
      </c>
      <c r="T58" s="137">
        <f t="shared" si="6"/>
        <v>3702465.3377834726</v>
      </c>
      <c r="U58" s="137">
        <f t="shared" si="7"/>
        <v>328561.76403639145</v>
      </c>
      <c r="V58" s="137">
        <f t="shared" si="8"/>
        <v>6062579.1442586547</v>
      </c>
      <c r="W58" s="137">
        <f t="shared" si="9"/>
        <v>2666439.211413546</v>
      </c>
      <c r="X58" s="138">
        <f t="shared" si="10"/>
        <v>12760045.457492065</v>
      </c>
    </row>
    <row r="59" spans="4:24">
      <c r="D59" s="9" t="s">
        <v>223</v>
      </c>
      <c r="E59" s="9" t="s">
        <v>2283</v>
      </c>
      <c r="F59" s="4" t="s">
        <v>38</v>
      </c>
      <c r="G59" s="9" t="s">
        <v>2862</v>
      </c>
      <c r="H59" s="136">
        <v>233308.41794608365</v>
      </c>
      <c r="I59" s="137">
        <v>311973.89938794717</v>
      </c>
      <c r="J59" s="137">
        <v>45863.635562017625</v>
      </c>
      <c r="K59" s="137">
        <v>103769.29437716854</v>
      </c>
      <c r="L59" s="149">
        <f t="shared" si="0"/>
        <v>279172.05350810126</v>
      </c>
      <c r="M59" s="138">
        <f t="shared" si="1"/>
        <v>415743.19376511569</v>
      </c>
      <c r="N59" s="139">
        <f>INDEX('CHIRP Payment Calc'!AM:AM,MATCH(F:F,'CHIRP Payment Calc'!C:C,0))</f>
        <v>1.25</v>
      </c>
      <c r="O59" s="139">
        <f>INDEX('CHIRP Payment Calc'!AL:AL,MATCH(F:F,'CHIRP Payment Calc'!C:C,0))</f>
        <v>2.4</v>
      </c>
      <c r="P59" s="136">
        <f t="shared" si="2"/>
        <v>1346748.7319214041</v>
      </c>
      <c r="Q59" s="149">
        <f t="shared" si="3"/>
        <v>63471.024568075831</v>
      </c>
      <c r="R59" s="149">
        <f t="shared" si="4"/>
        <v>19555.905380280419</v>
      </c>
      <c r="S59" s="137">
        <f t="shared" si="5"/>
        <v>83026.92994835625</v>
      </c>
      <c r="T59" s="137">
        <f t="shared" si="6"/>
        <v>309427.6100080685</v>
      </c>
      <c r="U59" s="137">
        <f t="shared" si="7"/>
        <v>60988.877077151104</v>
      </c>
      <c r="V59" s="137">
        <f t="shared" si="8"/>
        <v>794416.29552368505</v>
      </c>
      <c r="W59" s="137">
        <f t="shared" si="9"/>
        <v>264942.87926085584</v>
      </c>
      <c r="X59" s="138">
        <f t="shared" si="10"/>
        <v>1429775.6618697606</v>
      </c>
    </row>
    <row r="60" spans="4:24">
      <c r="D60" s="9" t="s">
        <v>223</v>
      </c>
      <c r="E60" s="9" t="s">
        <v>2283</v>
      </c>
      <c r="F60" s="4" t="s">
        <v>681</v>
      </c>
      <c r="G60" s="9" t="s">
        <v>1734</v>
      </c>
      <c r="H60" s="136">
        <v>501663.51085320016</v>
      </c>
      <c r="I60" s="137">
        <v>51016.143300225449</v>
      </c>
      <c r="J60" s="137">
        <v>336660.07129596145</v>
      </c>
      <c r="K60" s="137">
        <v>864243.38844170014</v>
      </c>
      <c r="L60" s="149">
        <f t="shared" si="0"/>
        <v>838323.58214916161</v>
      </c>
      <c r="M60" s="138">
        <f t="shared" si="1"/>
        <v>915259.53174192563</v>
      </c>
      <c r="N60" s="139">
        <f>INDEX('CHIRP Payment Calc'!AM:AM,MATCH(F:F,'CHIRP Payment Calc'!C:C,0))</f>
        <v>1</v>
      </c>
      <c r="O60" s="139">
        <f>INDEX('CHIRP Payment Calc'!AL:AL,MATCH(F:F,'CHIRP Payment Calc'!C:C,0))</f>
        <v>0.73</v>
      </c>
      <c r="P60" s="136">
        <f t="shared" si="2"/>
        <v>1506463.0403207673</v>
      </c>
      <c r="Q60" s="149">
        <f t="shared" si="3"/>
        <v>32877.511394255671</v>
      </c>
      <c r="R60" s="149">
        <f t="shared" si="4"/>
        <v>61759.004990961868</v>
      </c>
      <c r="S60" s="137">
        <f t="shared" si="5"/>
        <v>94636.516385217546</v>
      </c>
      <c r="T60" s="137">
        <f t="shared" si="6"/>
        <v>532268.97703257308</v>
      </c>
      <c r="U60" s="137">
        <f t="shared" si="7"/>
        <v>358149.01201698027</v>
      </c>
      <c r="V60" s="137">
        <f t="shared" si="8"/>
        <v>39513.829824047294</v>
      </c>
      <c r="W60" s="137">
        <f t="shared" si="9"/>
        <v>671167.73783238418</v>
      </c>
      <c r="X60" s="138">
        <f t="shared" si="10"/>
        <v>1601099.5567059848</v>
      </c>
    </row>
    <row r="61" spans="4:24">
      <c r="D61" s="9" t="s">
        <v>223</v>
      </c>
      <c r="E61" s="9" t="s">
        <v>2283</v>
      </c>
      <c r="F61" s="4" t="s">
        <v>630</v>
      </c>
      <c r="G61" s="9" t="s">
        <v>2429</v>
      </c>
      <c r="H61" s="136">
        <v>849826.01459493919</v>
      </c>
      <c r="I61" s="137">
        <v>3766347.2590384395</v>
      </c>
      <c r="J61" s="137">
        <v>236254.34544714115</v>
      </c>
      <c r="K61" s="137">
        <v>352256.85223746707</v>
      </c>
      <c r="L61" s="149">
        <f t="shared" si="0"/>
        <v>1086080.3600420803</v>
      </c>
      <c r="M61" s="138">
        <f t="shared" si="1"/>
        <v>4118604.1112759067</v>
      </c>
      <c r="N61" s="139">
        <f>INDEX('CHIRP Payment Calc'!AM:AM,MATCH(F:F,'CHIRP Payment Calc'!C:C,0))</f>
        <v>0.67999999999999994</v>
      </c>
      <c r="O61" s="139">
        <f>INDEX('CHIRP Payment Calc'!AL:AL,MATCH(F:F,'CHIRP Payment Calc'!C:C,0))</f>
        <v>1.35</v>
      </c>
      <c r="P61" s="136">
        <f t="shared" si="2"/>
        <v>6298650.1950510889</v>
      </c>
      <c r="Q61" s="149">
        <f t="shared" si="3"/>
        <v>345454.53915492946</v>
      </c>
      <c r="R61" s="149">
        <f t="shared" si="4"/>
        <v>40608.49183561511</v>
      </c>
      <c r="S61" s="137">
        <f t="shared" si="5"/>
        <v>386063.03099054459</v>
      </c>
      <c r="T61" s="137">
        <f t="shared" si="6"/>
        <v>613137.07153799327</v>
      </c>
      <c r="U61" s="137">
        <f t="shared" si="7"/>
        <v>170907.39883410212</v>
      </c>
      <c r="V61" s="137">
        <f t="shared" si="8"/>
        <v>5394767.9572433885</v>
      </c>
      <c r="W61" s="137">
        <f t="shared" si="9"/>
        <v>505900.79842614959</v>
      </c>
      <c r="X61" s="138">
        <f t="shared" si="10"/>
        <v>6684713.2260416336</v>
      </c>
    </row>
    <row r="62" spans="4:24">
      <c r="D62" s="9" t="s">
        <v>223</v>
      </c>
      <c r="E62" s="9" t="s">
        <v>2283</v>
      </c>
      <c r="F62" s="4" t="s">
        <v>1641</v>
      </c>
      <c r="G62" s="9" t="s">
        <v>2604</v>
      </c>
      <c r="H62" s="136">
        <v>48289490.393205531</v>
      </c>
      <c r="I62" s="137">
        <v>39965862.662862003</v>
      </c>
      <c r="J62" s="137">
        <v>29514502.399364334</v>
      </c>
      <c r="K62" s="137">
        <v>20874368.550686229</v>
      </c>
      <c r="L62" s="149">
        <f t="shared" si="0"/>
        <v>77803992.792569861</v>
      </c>
      <c r="M62" s="138">
        <f t="shared" si="1"/>
        <v>60840231.213548228</v>
      </c>
      <c r="N62" s="139">
        <f>INDEX('CHIRP Payment Calc'!AM:AM,MATCH(F:F,'CHIRP Payment Calc'!C:C,0))</f>
        <v>0.65999999999999992</v>
      </c>
      <c r="O62" s="139">
        <f>INDEX('CHIRP Payment Calc'!AL:AL,MATCH(F:F,'CHIRP Payment Calc'!C:C,0))</f>
        <v>0.96</v>
      </c>
      <c r="P62" s="136">
        <f t="shared" si="2"/>
        <v>109757257.20810241</v>
      </c>
      <c r="Q62" s="149">
        <f t="shared" si="3"/>
        <v>4285094.7261667186</v>
      </c>
      <c r="R62" s="149">
        <f t="shared" si="4"/>
        <v>2522487.1526961219</v>
      </c>
      <c r="S62" s="137">
        <f t="shared" si="5"/>
        <v>6807581.8788628411</v>
      </c>
      <c r="T62" s="137">
        <f t="shared" si="6"/>
        <v>33815452.158637293</v>
      </c>
      <c r="U62" s="137">
        <f t="shared" si="7"/>
        <v>20722948.493170701</v>
      </c>
      <c r="V62" s="137">
        <f t="shared" si="8"/>
        <v>40707934.383392595</v>
      </c>
      <c r="W62" s="137">
        <f t="shared" si="9"/>
        <v>21318504.05176466</v>
      </c>
      <c r="X62" s="138">
        <f t="shared" si="10"/>
        <v>116564839.08696526</v>
      </c>
    </row>
    <row r="63" spans="4:24">
      <c r="D63" s="9" t="s">
        <v>223</v>
      </c>
      <c r="E63" s="9" t="s">
        <v>2283</v>
      </c>
      <c r="F63" s="4" t="s">
        <v>432</v>
      </c>
      <c r="G63" s="9" t="s">
        <v>2870</v>
      </c>
      <c r="H63" s="136">
        <v>0</v>
      </c>
      <c r="I63" s="137">
        <v>0</v>
      </c>
      <c r="J63" s="137">
        <v>27184.602311693678</v>
      </c>
      <c r="K63" s="137">
        <v>112760.4720613081</v>
      </c>
      <c r="L63" s="149">
        <f t="shared" si="0"/>
        <v>27184.602311693678</v>
      </c>
      <c r="M63" s="138">
        <f t="shared" si="1"/>
        <v>112760.4720613081</v>
      </c>
      <c r="N63" s="139">
        <f>INDEX('CHIRP Payment Calc'!AM:AM,MATCH(F:F,'CHIRP Payment Calc'!C:C,0))</f>
        <v>13.21</v>
      </c>
      <c r="O63" s="139">
        <f>INDEX('CHIRP Payment Calc'!AL:AL,MATCH(F:F,'CHIRP Payment Calc'!C:C,0))</f>
        <v>13.93</v>
      </c>
      <c r="P63" s="136">
        <f t="shared" si="2"/>
        <v>1929861.9723514952</v>
      </c>
      <c r="Q63" s="149">
        <f t="shared" si="3"/>
        <v>0</v>
      </c>
      <c r="R63" s="149">
        <f t="shared" si="4"/>
        <v>123182.67908626568</v>
      </c>
      <c r="S63" s="137">
        <f t="shared" si="5"/>
        <v>123182.67908626568</v>
      </c>
      <c r="T63" s="137">
        <f t="shared" si="6"/>
        <v>0</v>
      </c>
      <c r="U63" s="137">
        <f t="shared" si="7"/>
        <v>382030.42184837605</v>
      </c>
      <c r="V63" s="137">
        <f t="shared" si="8"/>
        <v>0</v>
      </c>
      <c r="W63" s="137">
        <f t="shared" si="9"/>
        <v>1671014.229589385</v>
      </c>
      <c r="X63" s="138">
        <f t="shared" si="10"/>
        <v>2053044.651437761</v>
      </c>
    </row>
    <row r="64" spans="4:24">
      <c r="D64" s="9" t="s">
        <v>223</v>
      </c>
      <c r="E64" s="9" t="s">
        <v>2283</v>
      </c>
      <c r="F64" s="4" t="s">
        <v>1438</v>
      </c>
      <c r="G64" s="9" t="s">
        <v>2652</v>
      </c>
      <c r="H64" s="136">
        <v>0</v>
      </c>
      <c r="I64" s="137">
        <v>0</v>
      </c>
      <c r="J64" s="137">
        <v>0</v>
      </c>
      <c r="K64" s="137">
        <v>295248.15438266069</v>
      </c>
      <c r="L64" s="149">
        <f t="shared" si="0"/>
        <v>0</v>
      </c>
      <c r="M64" s="138">
        <f t="shared" si="1"/>
        <v>295248.15438266069</v>
      </c>
      <c r="N64" s="139">
        <f>INDEX('CHIRP Payment Calc'!AM:AM,MATCH(F:F,'CHIRP Payment Calc'!C:C,0))</f>
        <v>0.3</v>
      </c>
      <c r="O64" s="139">
        <f>INDEX('CHIRP Payment Calc'!AL:AL,MATCH(F:F,'CHIRP Payment Calc'!C:C,0))</f>
        <v>0.6</v>
      </c>
      <c r="P64" s="136">
        <f t="shared" si="2"/>
        <v>177148.8926295964</v>
      </c>
      <c r="Q64" s="149">
        <f t="shared" si="3"/>
        <v>0</v>
      </c>
      <c r="R64" s="149">
        <f t="shared" si="4"/>
        <v>11307.376125293389</v>
      </c>
      <c r="S64" s="137">
        <f t="shared" si="5"/>
        <v>11307.376125293389</v>
      </c>
      <c r="T64" s="137">
        <f t="shared" si="6"/>
        <v>0</v>
      </c>
      <c r="U64" s="137">
        <f t="shared" si="7"/>
        <v>0</v>
      </c>
      <c r="V64" s="137">
        <f t="shared" si="8"/>
        <v>0</v>
      </c>
      <c r="W64" s="137">
        <f t="shared" si="9"/>
        <v>188456.26875488981</v>
      </c>
      <c r="X64" s="138">
        <f t="shared" si="10"/>
        <v>188456.26875488981</v>
      </c>
    </row>
    <row r="65" spans="4:24">
      <c r="D65" s="9" t="s">
        <v>223</v>
      </c>
      <c r="E65" s="9" t="s">
        <v>2283</v>
      </c>
      <c r="F65" s="4" t="s">
        <v>32</v>
      </c>
      <c r="G65" s="9" t="s">
        <v>2859</v>
      </c>
      <c r="H65" s="136">
        <v>1312485.3463892275</v>
      </c>
      <c r="I65" s="137">
        <v>2631837.1463102214</v>
      </c>
      <c r="J65" s="137">
        <v>247766.02274246133</v>
      </c>
      <c r="K65" s="137">
        <v>947592.20341530326</v>
      </c>
      <c r="L65" s="149">
        <f t="shared" si="0"/>
        <v>1560251.369131689</v>
      </c>
      <c r="M65" s="138">
        <f t="shared" si="1"/>
        <v>3579429.3497255249</v>
      </c>
      <c r="N65" s="139">
        <f>INDEX('CHIRP Payment Calc'!AM:AM,MATCH(F:F,'CHIRP Payment Calc'!C:C,0))</f>
        <v>1.95</v>
      </c>
      <c r="O65" s="139">
        <f>INDEX('CHIRP Payment Calc'!AL:AL,MATCH(F:F,'CHIRP Payment Calc'!C:C,0))</f>
        <v>2.0299999999999998</v>
      </c>
      <c r="P65" s="136">
        <f t="shared" si="2"/>
        <v>10308731.749749608</v>
      </c>
      <c r="Q65" s="149">
        <f t="shared" si="3"/>
        <v>482083.40622488357</v>
      </c>
      <c r="R65" s="149">
        <f t="shared" si="4"/>
        <v>153622.71812431054</v>
      </c>
      <c r="S65" s="137">
        <f t="shared" si="5"/>
        <v>635706.12434919411</v>
      </c>
      <c r="T65" s="137">
        <f t="shared" si="6"/>
        <v>2715486.9235639186</v>
      </c>
      <c r="U65" s="137">
        <f t="shared" si="7"/>
        <v>513982.70675297827</v>
      </c>
      <c r="V65" s="137">
        <f t="shared" si="8"/>
        <v>5668572.3151297076</v>
      </c>
      <c r="W65" s="137">
        <f t="shared" si="9"/>
        <v>2046395.9286521974</v>
      </c>
      <c r="X65" s="138">
        <f t="shared" si="10"/>
        <v>10944437.874098802</v>
      </c>
    </row>
    <row r="66" spans="4:24">
      <c r="D66" s="9" t="s">
        <v>1189</v>
      </c>
      <c r="E66" s="9" t="s">
        <v>1547</v>
      </c>
      <c r="F66" s="4" t="s">
        <v>127</v>
      </c>
      <c r="G66" s="9" t="s">
        <v>2988</v>
      </c>
      <c r="H66" s="136">
        <v>5750844.8788867118</v>
      </c>
      <c r="I66" s="137">
        <v>28102071.83799772</v>
      </c>
      <c r="J66" s="137">
        <v>23736.173944315753</v>
      </c>
      <c r="K66" s="137">
        <v>145678.66046440246</v>
      </c>
      <c r="L66" s="149">
        <f t="shared" si="0"/>
        <v>5774581.0528310277</v>
      </c>
      <c r="M66" s="138">
        <f t="shared" si="1"/>
        <v>28247750.498462122</v>
      </c>
      <c r="N66" s="139">
        <f>INDEX('CHIRP Payment Calc'!AM:AM,MATCH(F:F,'CHIRP Payment Calc'!C:C,0))</f>
        <v>2.12</v>
      </c>
      <c r="O66" s="139">
        <f>INDEX('CHIRP Payment Calc'!AL:AL,MATCH(F:F,'CHIRP Payment Calc'!C:C,0))</f>
        <v>0.42</v>
      </c>
      <c r="P66" s="136">
        <f t="shared" si="2"/>
        <v>24106167.041355871</v>
      </c>
      <c r="Q66" s="149">
        <f t="shared" si="3"/>
        <v>1463865.2791765891</v>
      </c>
      <c r="R66" s="149">
        <f t="shared" si="4"/>
        <v>7117.3867759786244</v>
      </c>
      <c r="S66" s="137">
        <f t="shared" si="5"/>
        <v>1470982.6659525677</v>
      </c>
      <c r="T66" s="137">
        <f t="shared" si="6"/>
        <v>12935587.419883108</v>
      </c>
      <c r="U66" s="137">
        <f t="shared" si="7"/>
        <v>53532.647619095114</v>
      </c>
      <c r="V66" s="137">
        <f t="shared" si="8"/>
        <v>12522939.174492352</v>
      </c>
      <c r="W66" s="137">
        <f t="shared" si="9"/>
        <v>65090.465313881949</v>
      </c>
      <c r="X66" s="138">
        <f t="shared" si="10"/>
        <v>25577149.707308434</v>
      </c>
    </row>
    <row r="67" spans="4:24">
      <c r="D67" s="9" t="s">
        <v>1189</v>
      </c>
      <c r="E67" s="9" t="s">
        <v>2544</v>
      </c>
      <c r="F67" s="4" t="s">
        <v>1496</v>
      </c>
      <c r="G67" s="9" t="s">
        <v>2547</v>
      </c>
      <c r="H67" s="136">
        <v>0</v>
      </c>
      <c r="I67" s="137">
        <v>1103526.1673984095</v>
      </c>
      <c r="J67" s="137">
        <v>0</v>
      </c>
      <c r="K67" s="137">
        <v>0</v>
      </c>
      <c r="L67" s="149">
        <f t="shared" si="0"/>
        <v>0</v>
      </c>
      <c r="M67" s="138">
        <f t="shared" si="1"/>
        <v>1103526.1673984095</v>
      </c>
      <c r="N67" s="139">
        <f>INDEX('CHIRP Payment Calc'!AM:AM,MATCH(F:F,'CHIRP Payment Calc'!C:C,0))</f>
        <v>0</v>
      </c>
      <c r="O67" s="139">
        <f>INDEX('CHIRP Payment Calc'!AL:AL,MATCH(F:F,'CHIRP Payment Calc'!C:C,0))</f>
        <v>0.72</v>
      </c>
      <c r="P67" s="136">
        <f t="shared" si="2"/>
        <v>794538.84052685474</v>
      </c>
      <c r="Q67" s="149">
        <f t="shared" si="3"/>
        <v>48473.191862381071</v>
      </c>
      <c r="R67" s="149">
        <f t="shared" si="4"/>
        <v>0</v>
      </c>
      <c r="S67" s="137">
        <f t="shared" si="5"/>
        <v>48473.191862381071</v>
      </c>
      <c r="T67" s="137">
        <f t="shared" si="6"/>
        <v>0</v>
      </c>
      <c r="U67" s="137">
        <f t="shared" si="7"/>
        <v>0</v>
      </c>
      <c r="V67" s="137">
        <f t="shared" si="8"/>
        <v>843012.03238923592</v>
      </c>
      <c r="W67" s="137">
        <f t="shared" si="9"/>
        <v>0</v>
      </c>
      <c r="X67" s="138">
        <f t="shared" si="10"/>
        <v>843012.03238923592</v>
      </c>
    </row>
    <row r="68" spans="4:24">
      <c r="D68" s="9" t="s">
        <v>1189</v>
      </c>
      <c r="E68" s="9" t="s">
        <v>2544</v>
      </c>
      <c r="F68" s="4" t="s">
        <v>1349</v>
      </c>
      <c r="G68" s="9" t="s">
        <v>2849</v>
      </c>
      <c r="H68" s="136">
        <v>0</v>
      </c>
      <c r="I68" s="137">
        <v>4465997.0391841466</v>
      </c>
      <c r="J68" s="137">
        <v>0</v>
      </c>
      <c r="K68" s="137">
        <v>0</v>
      </c>
      <c r="L68" s="149">
        <f t="shared" si="0"/>
        <v>0</v>
      </c>
      <c r="M68" s="138">
        <f t="shared" si="1"/>
        <v>4465997.0391841466</v>
      </c>
      <c r="N68" s="139">
        <f>INDEX('CHIRP Payment Calc'!AM:AM,MATCH(F:F,'CHIRP Payment Calc'!C:C,0))</f>
        <v>0</v>
      </c>
      <c r="O68" s="139">
        <f>INDEX('CHIRP Payment Calc'!AL:AL,MATCH(F:F,'CHIRP Payment Calc'!C:C,0))</f>
        <v>0.13</v>
      </c>
      <c r="P68" s="136">
        <f t="shared" si="2"/>
        <v>580579.61509393912</v>
      </c>
      <c r="Q68" s="149">
        <f t="shared" si="3"/>
        <v>35419.976517667368</v>
      </c>
      <c r="R68" s="149">
        <f t="shared" si="4"/>
        <v>0</v>
      </c>
      <c r="S68" s="137">
        <f t="shared" si="5"/>
        <v>35419.976517667368</v>
      </c>
      <c r="T68" s="137">
        <f t="shared" si="6"/>
        <v>0</v>
      </c>
      <c r="U68" s="137">
        <f t="shared" si="7"/>
        <v>0</v>
      </c>
      <c r="V68" s="137">
        <f t="shared" si="8"/>
        <v>615999.59161160642</v>
      </c>
      <c r="W68" s="137">
        <f t="shared" si="9"/>
        <v>0</v>
      </c>
      <c r="X68" s="138">
        <f t="shared" si="10"/>
        <v>615999.59161160642</v>
      </c>
    </row>
    <row r="69" spans="4:24">
      <c r="D69" s="9" t="s">
        <v>1189</v>
      </c>
      <c r="E69" s="9" t="s">
        <v>2964</v>
      </c>
      <c r="F69" s="4" t="s">
        <v>2319</v>
      </c>
      <c r="G69" s="9" t="s">
        <v>2712</v>
      </c>
      <c r="H69" s="136">
        <v>0</v>
      </c>
      <c r="I69" s="137">
        <v>280548.32437879522</v>
      </c>
      <c r="J69" s="137">
        <v>0</v>
      </c>
      <c r="K69" s="137">
        <v>0</v>
      </c>
      <c r="L69" s="149">
        <f t="shared" si="0"/>
        <v>0</v>
      </c>
      <c r="M69" s="138">
        <f t="shared" si="1"/>
        <v>280548.32437879522</v>
      </c>
      <c r="N69" s="139">
        <f>INDEX('CHIRP Payment Calc'!AM:AM,MATCH(F:F,'CHIRP Payment Calc'!C:C,0))</f>
        <v>0</v>
      </c>
      <c r="O69" s="139">
        <f>INDEX('CHIRP Payment Calc'!AL:AL,MATCH(F:F,'CHIRP Payment Calc'!C:C,0))</f>
        <v>0.19</v>
      </c>
      <c r="P69" s="136">
        <f t="shared" si="2"/>
        <v>53304.181631971092</v>
      </c>
      <c r="Q69" s="149">
        <f t="shared" si="3"/>
        <v>3251.9792507568577</v>
      </c>
      <c r="R69" s="149">
        <f t="shared" si="4"/>
        <v>0</v>
      </c>
      <c r="S69" s="137">
        <f t="shared" si="5"/>
        <v>3251.9792507568577</v>
      </c>
      <c r="T69" s="137">
        <f t="shared" si="6"/>
        <v>0</v>
      </c>
      <c r="U69" s="137">
        <f t="shared" si="7"/>
        <v>0</v>
      </c>
      <c r="V69" s="137">
        <f t="shared" si="8"/>
        <v>56556.160882727956</v>
      </c>
      <c r="W69" s="137">
        <f t="shared" si="9"/>
        <v>0</v>
      </c>
      <c r="X69" s="138">
        <f t="shared" si="10"/>
        <v>56556.160882727956</v>
      </c>
    </row>
    <row r="70" spans="4:24">
      <c r="D70" s="9" t="s">
        <v>1189</v>
      </c>
      <c r="E70" s="9" t="s">
        <v>2283</v>
      </c>
      <c r="F70" s="4" t="s">
        <v>166</v>
      </c>
      <c r="G70" s="9" t="s">
        <v>2761</v>
      </c>
      <c r="H70" s="136">
        <v>4031452.1604808727</v>
      </c>
      <c r="I70" s="137">
        <v>24401.331356759081</v>
      </c>
      <c r="J70" s="137">
        <v>662624.74008582497</v>
      </c>
      <c r="K70" s="137">
        <v>22753.809850817786</v>
      </c>
      <c r="L70" s="149">
        <f t="shared" ref="L70:L132" si="11">H70+J70</f>
        <v>4694076.9005666981</v>
      </c>
      <c r="M70" s="138">
        <f t="shared" ref="M70:M132" si="12">I70+K70</f>
        <v>47155.141207576868</v>
      </c>
      <c r="N70" s="139">
        <f>INDEX('CHIRP Payment Calc'!AM:AM,MATCH(F:F,'CHIRP Payment Calc'!C:C,0))</f>
        <v>0.55000000000000004</v>
      </c>
      <c r="O70" s="139">
        <f>INDEX('CHIRP Payment Calc'!AL:AL,MATCH(F:F,'CHIRP Payment Calc'!C:C,0))</f>
        <v>2.52</v>
      </c>
      <c r="P70" s="136">
        <f t="shared" ref="P70:P132" si="13">(L70*N70)+(M70*O70)</f>
        <v>2700573.2511547781</v>
      </c>
      <c r="Q70" s="149">
        <f t="shared" ref="Q70:Q133" si="14">(T70+V70)*$B$10</f>
        <v>139024.32624806583</v>
      </c>
      <c r="R70" s="149">
        <f t="shared" ref="R70:R133" si="15">(U70+W70)*$B$11</f>
        <v>26922.332417314767</v>
      </c>
      <c r="S70" s="137">
        <f t="shared" ref="S70:S133" si="16">(T70+V70)*$B$10+(U70+W70)*$B$11</f>
        <v>165946.65866538059</v>
      </c>
      <c r="T70" s="137">
        <f t="shared" ref="T70:T132" si="17">H70/(1-$B$10)*N70</f>
        <v>2352571.5525352578</v>
      </c>
      <c r="U70" s="137">
        <f t="shared" ref="U70:U132" si="18">J70/(1-$B$11)*N70</f>
        <v>387705.96494383382</v>
      </c>
      <c r="V70" s="137">
        <f t="shared" ref="V70:V132" si="19">I70/(1-$B$10)*O70</f>
        <v>65242.816996321359</v>
      </c>
      <c r="W70" s="137">
        <f t="shared" ref="W70:W132" si="20">K70/(1-$B$11)*O70</f>
        <v>60999.575344745565</v>
      </c>
      <c r="X70" s="138">
        <f t="shared" ref="X70:X132" si="21">SUM(T70:W70)</f>
        <v>2866519.9098201585</v>
      </c>
    </row>
    <row r="71" spans="4:24">
      <c r="D71" s="9" t="s">
        <v>1189</v>
      </c>
      <c r="E71" s="9" t="s">
        <v>2283</v>
      </c>
      <c r="F71" s="4" t="s">
        <v>1616</v>
      </c>
      <c r="G71" s="9" t="s">
        <v>2675</v>
      </c>
      <c r="H71" s="136">
        <v>937661.72925179638</v>
      </c>
      <c r="I71" s="137">
        <v>343795.16752197029</v>
      </c>
      <c r="J71" s="137">
        <v>469839.92582495156</v>
      </c>
      <c r="K71" s="137">
        <v>1408695.3091449363</v>
      </c>
      <c r="L71" s="149">
        <f t="shared" si="11"/>
        <v>1407501.655076748</v>
      </c>
      <c r="M71" s="138">
        <f t="shared" si="12"/>
        <v>1752490.4766669066</v>
      </c>
      <c r="N71" s="139">
        <f>INDEX('CHIRP Payment Calc'!AM:AM,MATCH(F:F,'CHIRP Payment Calc'!C:C,0))</f>
        <v>1.51</v>
      </c>
      <c r="O71" s="139">
        <f>INDEX('CHIRP Payment Calc'!AL:AL,MATCH(F:F,'CHIRP Payment Calc'!C:C,0))</f>
        <v>3.01</v>
      </c>
      <c r="P71" s="136">
        <f t="shared" si="13"/>
        <v>7400323.8339332771</v>
      </c>
      <c r="Q71" s="149">
        <f t="shared" si="14"/>
        <v>149511.75412323847</v>
      </c>
      <c r="R71" s="149">
        <f t="shared" si="15"/>
        <v>315933.9043737406</v>
      </c>
      <c r="S71" s="137">
        <f t="shared" si="16"/>
        <v>465445.65849697904</v>
      </c>
      <c r="T71" s="137">
        <f t="shared" si="17"/>
        <v>1502248.4999153449</v>
      </c>
      <c r="U71" s="137">
        <f t="shared" si="18"/>
        <v>754742.85956986912</v>
      </c>
      <c r="V71" s="137">
        <f t="shared" si="19"/>
        <v>1097955.9196192366</v>
      </c>
      <c r="W71" s="137">
        <f t="shared" si="20"/>
        <v>4510822.2133258069</v>
      </c>
      <c r="X71" s="138">
        <f t="shared" si="21"/>
        <v>7865769.4924302576</v>
      </c>
    </row>
    <row r="72" spans="4:24">
      <c r="D72" s="9" t="s">
        <v>1189</v>
      </c>
      <c r="E72" s="9" t="s">
        <v>2283</v>
      </c>
      <c r="F72" s="4" t="s">
        <v>702</v>
      </c>
      <c r="G72" s="9" t="s">
        <v>2937</v>
      </c>
      <c r="H72" s="136">
        <v>4255542.139753188</v>
      </c>
      <c r="I72" s="137">
        <v>4750211.9189005177</v>
      </c>
      <c r="J72" s="137">
        <v>4775891.4372818638</v>
      </c>
      <c r="K72" s="137">
        <v>3456718.8821270079</v>
      </c>
      <c r="L72" s="149">
        <f t="shared" si="11"/>
        <v>9031433.5770350508</v>
      </c>
      <c r="M72" s="138">
        <f t="shared" si="12"/>
        <v>8206930.8010275252</v>
      </c>
      <c r="N72" s="139">
        <f>INDEX('CHIRP Payment Calc'!AM:AM,MATCH(F:F,'CHIRP Payment Calc'!C:C,0))</f>
        <v>0.55000000000000004</v>
      </c>
      <c r="O72" s="139">
        <f>INDEX('CHIRP Payment Calc'!AL:AL,MATCH(F:F,'CHIRP Payment Calc'!C:C,0))</f>
        <v>0.11</v>
      </c>
      <c r="P72" s="136">
        <f t="shared" si="13"/>
        <v>5870050.8554823054</v>
      </c>
      <c r="Q72" s="149">
        <f t="shared" si="14"/>
        <v>174670.14382678023</v>
      </c>
      <c r="R72" s="149">
        <f t="shared" si="15"/>
        <v>191934.85324716999</v>
      </c>
      <c r="S72" s="137">
        <f t="shared" si="16"/>
        <v>366604.99707395025</v>
      </c>
      <c r="T72" s="137">
        <f t="shared" si="17"/>
        <v>2483340.2407047781</v>
      </c>
      <c r="U72" s="137">
        <f t="shared" si="18"/>
        <v>2794404.5643670484</v>
      </c>
      <c r="V72" s="137">
        <f t="shared" si="19"/>
        <v>554401.39106531243</v>
      </c>
      <c r="W72" s="137">
        <f t="shared" si="20"/>
        <v>404509.65641911799</v>
      </c>
      <c r="X72" s="138">
        <f t="shared" si="21"/>
        <v>6236655.8525562575</v>
      </c>
    </row>
    <row r="73" spans="4:24">
      <c r="D73" s="9" t="s">
        <v>1189</v>
      </c>
      <c r="E73" s="9" t="s">
        <v>2283</v>
      </c>
      <c r="F73" s="4" t="s">
        <v>1084</v>
      </c>
      <c r="G73" s="9" t="s">
        <v>2667</v>
      </c>
      <c r="H73" s="136">
        <v>1087172.565277532</v>
      </c>
      <c r="I73" s="137">
        <v>784852.7684623705</v>
      </c>
      <c r="J73" s="137">
        <v>209215.47923683558</v>
      </c>
      <c r="K73" s="137">
        <v>705116.1602208711</v>
      </c>
      <c r="L73" s="149">
        <f t="shared" si="11"/>
        <v>1296388.0445143676</v>
      </c>
      <c r="M73" s="138">
        <f t="shared" si="12"/>
        <v>1489968.9286832416</v>
      </c>
      <c r="N73" s="139">
        <f>INDEX('CHIRP Payment Calc'!AM:AM,MATCH(F:F,'CHIRP Payment Calc'!C:C,0))</f>
        <v>1.0899999999999999</v>
      </c>
      <c r="O73" s="139">
        <f>INDEX('CHIRP Payment Calc'!AL:AL,MATCH(F:F,'CHIRP Payment Calc'!C:C,0))</f>
        <v>2.4</v>
      </c>
      <c r="P73" s="136">
        <f t="shared" si="13"/>
        <v>4988988.3973604403</v>
      </c>
      <c r="Q73" s="149">
        <f t="shared" si="14"/>
        <v>187212.9682510095</v>
      </c>
      <c r="R73" s="149">
        <f t="shared" si="15"/>
        <v>122573.85044031328</v>
      </c>
      <c r="S73" s="137">
        <f t="shared" si="16"/>
        <v>309786.81869132281</v>
      </c>
      <c r="T73" s="137">
        <f t="shared" si="17"/>
        <v>1257313.6298700368</v>
      </c>
      <c r="U73" s="137">
        <f t="shared" si="18"/>
        <v>242600.92805122421</v>
      </c>
      <c r="V73" s="137">
        <f t="shared" si="19"/>
        <v>1998564.0788431715</v>
      </c>
      <c r="W73" s="137">
        <f t="shared" si="20"/>
        <v>1800296.5792873304</v>
      </c>
      <c r="X73" s="138">
        <f t="shared" si="21"/>
        <v>5298775.2160517629</v>
      </c>
    </row>
    <row r="74" spans="4:24">
      <c r="D74" s="9" t="s">
        <v>1189</v>
      </c>
      <c r="E74" s="9" t="s">
        <v>2283</v>
      </c>
      <c r="F74" s="4" t="s">
        <v>1600</v>
      </c>
      <c r="G74" s="9" t="s">
        <v>2656</v>
      </c>
      <c r="H74" s="136">
        <v>6261490.1627959935</v>
      </c>
      <c r="I74" s="137">
        <v>16457943.495011218</v>
      </c>
      <c r="J74" s="137">
        <v>1776750.7822222009</v>
      </c>
      <c r="K74" s="137">
        <v>1322376.3498913543</v>
      </c>
      <c r="L74" s="149">
        <f t="shared" si="11"/>
        <v>8038240.9450181946</v>
      </c>
      <c r="M74" s="138">
        <f t="shared" si="12"/>
        <v>17780319.844902571</v>
      </c>
      <c r="N74" s="139">
        <f>INDEX('CHIRP Payment Calc'!AM:AM,MATCH(F:F,'CHIRP Payment Calc'!C:C,0))</f>
        <v>1.1099999999999999</v>
      </c>
      <c r="O74" s="139">
        <f>INDEX('CHIRP Payment Calc'!AL:AL,MATCH(F:F,'CHIRP Payment Calc'!C:C,0))</f>
        <v>1.53</v>
      </c>
      <c r="P74" s="136">
        <f t="shared" si="13"/>
        <v>36126336.81167113</v>
      </c>
      <c r="Q74" s="149">
        <f t="shared" si="14"/>
        <v>1960241.0489273914</v>
      </c>
      <c r="R74" s="149">
        <f t="shared" si="15"/>
        <v>255027.39469789882</v>
      </c>
      <c r="S74" s="137">
        <f t="shared" si="16"/>
        <v>2215268.4436252904</v>
      </c>
      <c r="T74" s="137">
        <f t="shared" si="17"/>
        <v>7374274.8866881188</v>
      </c>
      <c r="U74" s="137">
        <f t="shared" si="18"/>
        <v>2098078.0513474923</v>
      </c>
      <c r="V74" s="137">
        <f t="shared" si="19"/>
        <v>26716873.790309988</v>
      </c>
      <c r="W74" s="137">
        <f t="shared" si="20"/>
        <v>2152378.5269508217</v>
      </c>
      <c r="X74" s="138">
        <f t="shared" si="21"/>
        <v>38341605.255296424</v>
      </c>
    </row>
    <row r="75" spans="4:24">
      <c r="D75" s="9" t="s">
        <v>1189</v>
      </c>
      <c r="E75" s="9" t="s">
        <v>2283</v>
      </c>
      <c r="F75" s="4" t="s">
        <v>705</v>
      </c>
      <c r="G75" s="9" t="s">
        <v>2879</v>
      </c>
      <c r="H75" s="136">
        <v>4863447.3876887085</v>
      </c>
      <c r="I75" s="137">
        <v>18749700.336940996</v>
      </c>
      <c r="J75" s="137">
        <v>1733551.3427380738</v>
      </c>
      <c r="K75" s="137">
        <v>5837426.790066476</v>
      </c>
      <c r="L75" s="149">
        <f t="shared" si="11"/>
        <v>6596998.7304267827</v>
      </c>
      <c r="M75" s="138">
        <f t="shared" si="12"/>
        <v>24587127.127007473</v>
      </c>
      <c r="N75" s="139">
        <f>INDEX('CHIRP Payment Calc'!AM:AM,MATCH(F:F,'CHIRP Payment Calc'!C:C,0))</f>
        <v>1.18</v>
      </c>
      <c r="O75" s="139">
        <f>INDEX('CHIRP Payment Calc'!AL:AL,MATCH(F:F,'CHIRP Payment Calc'!C:C,0))</f>
        <v>1.54</v>
      </c>
      <c r="P75" s="136">
        <f t="shared" si="13"/>
        <v>45648634.277495109</v>
      </c>
      <c r="Q75" s="149">
        <f t="shared" si="14"/>
        <v>2111693.2308655749</v>
      </c>
      <c r="R75" s="149">
        <f t="shared" si="15"/>
        <v>704376.24517872138</v>
      </c>
      <c r="S75" s="137">
        <f t="shared" si="16"/>
        <v>2816069.4760442963</v>
      </c>
      <c r="T75" s="137">
        <f t="shared" si="17"/>
        <v>6088984.5278224675</v>
      </c>
      <c r="U75" s="137">
        <f t="shared" si="18"/>
        <v>2176160.196203114</v>
      </c>
      <c r="V75" s="137">
        <f t="shared" si="19"/>
        <v>30636115.139404919</v>
      </c>
      <c r="W75" s="137">
        <f t="shared" si="20"/>
        <v>9563443.8901089076</v>
      </c>
      <c r="X75" s="138">
        <f t="shared" si="21"/>
        <v>48464703.753539406</v>
      </c>
    </row>
    <row r="76" spans="4:24">
      <c r="D76" s="9" t="s">
        <v>1189</v>
      </c>
      <c r="E76" s="9" t="s">
        <v>2283</v>
      </c>
      <c r="F76" s="4" t="s">
        <v>1081</v>
      </c>
      <c r="G76" s="9" t="s">
        <v>2665</v>
      </c>
      <c r="H76" s="136">
        <v>5332519.4014938222</v>
      </c>
      <c r="I76" s="137">
        <v>8821964.060462676</v>
      </c>
      <c r="J76" s="137">
        <v>639488.5512029418</v>
      </c>
      <c r="K76" s="137">
        <v>2159094.7597257947</v>
      </c>
      <c r="L76" s="149">
        <f t="shared" si="11"/>
        <v>5972007.9526967639</v>
      </c>
      <c r="M76" s="138">
        <f t="shared" si="12"/>
        <v>10981058.82018847</v>
      </c>
      <c r="N76" s="139">
        <f>INDEX('CHIRP Payment Calc'!AM:AM,MATCH(F:F,'CHIRP Payment Calc'!C:C,0))</f>
        <v>1.06</v>
      </c>
      <c r="O76" s="139">
        <f>INDEX('CHIRP Payment Calc'!AL:AL,MATCH(F:F,'CHIRP Payment Calc'!C:C,0))</f>
        <v>1.9000000000000001</v>
      </c>
      <c r="P76" s="136">
        <f t="shared" si="13"/>
        <v>27194340.188216664</v>
      </c>
      <c r="Q76" s="149">
        <f t="shared" si="14"/>
        <v>1367444.7014605794</v>
      </c>
      <c r="R76" s="149">
        <f t="shared" si="15"/>
        <v>305115.18560132739</v>
      </c>
      <c r="S76" s="137">
        <f t="shared" si="16"/>
        <v>1672559.8870619067</v>
      </c>
      <c r="T76" s="137">
        <f t="shared" si="17"/>
        <v>5997316.2499559168</v>
      </c>
      <c r="U76" s="137">
        <f t="shared" si="18"/>
        <v>721125.38752672158</v>
      </c>
      <c r="V76" s="137">
        <f t="shared" si="19"/>
        <v>17784330.7319672</v>
      </c>
      <c r="W76" s="137">
        <f t="shared" si="20"/>
        <v>4364127.7058287347</v>
      </c>
      <c r="X76" s="138">
        <f t="shared" si="21"/>
        <v>28866900.075278573</v>
      </c>
    </row>
    <row r="77" spans="4:24">
      <c r="D77" s="9" t="s">
        <v>300</v>
      </c>
      <c r="E77" s="9" t="s">
        <v>1547</v>
      </c>
      <c r="F77" s="4" t="s">
        <v>426</v>
      </c>
      <c r="G77" s="9" t="s">
        <v>2611</v>
      </c>
      <c r="H77" s="136">
        <v>276002566.57276011</v>
      </c>
      <c r="I77" s="137">
        <v>316351402.47853816</v>
      </c>
      <c r="J77" s="137">
        <v>2307640.9386379076</v>
      </c>
      <c r="K77" s="137">
        <v>3597355.7003069571</v>
      </c>
      <c r="L77" s="149">
        <f t="shared" si="11"/>
        <v>278310207.51139802</v>
      </c>
      <c r="M77" s="138">
        <f t="shared" si="12"/>
        <v>319948758.17884511</v>
      </c>
      <c r="N77" s="139">
        <f>INDEX('CHIRP Payment Calc'!AM:AM,MATCH(F:F,'CHIRP Payment Calc'!C:C,0))</f>
        <v>0.33999999999999997</v>
      </c>
      <c r="O77" s="139">
        <f>INDEX('CHIRP Payment Calc'!AL:AL,MATCH(F:F,'CHIRP Payment Calc'!C:C,0))</f>
        <v>1.1499999999999999</v>
      </c>
      <c r="P77" s="136">
        <f t="shared" si="13"/>
        <v>462566542.45954716</v>
      </c>
      <c r="Q77" s="149">
        <f t="shared" si="14"/>
        <v>27919985.851873521</v>
      </c>
      <c r="R77" s="149">
        <f t="shared" si="15"/>
        <v>314141.93454190786</v>
      </c>
      <c r="S77" s="137">
        <f t="shared" si="16"/>
        <v>28234127.786415428</v>
      </c>
      <c r="T77" s="137">
        <f t="shared" si="17"/>
        <v>99565912.609802037</v>
      </c>
      <c r="U77" s="137">
        <f t="shared" si="18"/>
        <v>834678.63737966865</v>
      </c>
      <c r="V77" s="137">
        <f t="shared" si="19"/>
        <v>385999058.72712874</v>
      </c>
      <c r="W77" s="137">
        <f t="shared" si="20"/>
        <v>4401020.2716521285</v>
      </c>
      <c r="X77" s="138">
        <f t="shared" si="21"/>
        <v>490800670.24596256</v>
      </c>
    </row>
    <row r="78" spans="4:24">
      <c r="D78" s="9" t="s">
        <v>300</v>
      </c>
      <c r="E78" s="9" t="s">
        <v>2544</v>
      </c>
      <c r="F78" s="4" t="s">
        <v>1334</v>
      </c>
      <c r="G78" s="9" t="s">
        <v>2890</v>
      </c>
      <c r="H78" s="136">
        <v>0</v>
      </c>
      <c r="I78" s="137">
        <v>3614241.1664979905</v>
      </c>
      <c r="J78" s="137">
        <v>0</v>
      </c>
      <c r="K78" s="137">
        <v>0</v>
      </c>
      <c r="L78" s="149">
        <f t="shared" si="11"/>
        <v>0</v>
      </c>
      <c r="M78" s="138">
        <f t="shared" si="12"/>
        <v>3614241.1664979905</v>
      </c>
      <c r="N78" s="139">
        <f>INDEX('CHIRP Payment Calc'!AM:AM,MATCH(F:F,'CHIRP Payment Calc'!C:C,0))</f>
        <v>0</v>
      </c>
      <c r="O78" s="139">
        <f>INDEX('CHIRP Payment Calc'!AL:AL,MATCH(F:F,'CHIRP Payment Calc'!C:C,0))</f>
        <v>0.24</v>
      </c>
      <c r="P78" s="136">
        <f t="shared" si="13"/>
        <v>867417.87995951774</v>
      </c>
      <c r="Q78" s="149">
        <f t="shared" si="14"/>
        <v>52919.393207079331</v>
      </c>
      <c r="R78" s="149">
        <f t="shared" si="15"/>
        <v>0</v>
      </c>
      <c r="S78" s="137">
        <f t="shared" si="16"/>
        <v>52919.393207079331</v>
      </c>
      <c r="T78" s="137">
        <f t="shared" si="17"/>
        <v>0</v>
      </c>
      <c r="U78" s="137">
        <f t="shared" si="18"/>
        <v>0</v>
      </c>
      <c r="V78" s="137">
        <f t="shared" si="19"/>
        <v>920337.27316659701</v>
      </c>
      <c r="W78" s="137">
        <f t="shared" si="20"/>
        <v>0</v>
      </c>
      <c r="X78" s="138">
        <f t="shared" si="21"/>
        <v>920337.27316659701</v>
      </c>
    </row>
    <row r="79" spans="4:24">
      <c r="D79" s="9" t="s">
        <v>300</v>
      </c>
      <c r="E79" s="9" t="s">
        <v>2544</v>
      </c>
      <c r="F79" s="4" t="s">
        <v>489</v>
      </c>
      <c r="G79" s="9" t="s">
        <v>2907</v>
      </c>
      <c r="H79" s="136">
        <v>0</v>
      </c>
      <c r="I79" s="137">
        <v>1569326.4863462311</v>
      </c>
      <c r="J79" s="137">
        <v>0</v>
      </c>
      <c r="K79" s="137">
        <v>0</v>
      </c>
      <c r="L79" s="149">
        <f t="shared" si="11"/>
        <v>0</v>
      </c>
      <c r="M79" s="138">
        <f t="shared" si="12"/>
        <v>1569326.4863462311</v>
      </c>
      <c r="N79" s="139">
        <f>INDEX('CHIRP Payment Calc'!AM:AM,MATCH(F:F,'CHIRP Payment Calc'!C:C,0))</f>
        <v>0</v>
      </c>
      <c r="O79" s="139">
        <f>INDEX('CHIRP Payment Calc'!AL:AL,MATCH(F:F,'CHIRP Payment Calc'!C:C,0))</f>
        <v>0.24</v>
      </c>
      <c r="P79" s="136">
        <f t="shared" si="13"/>
        <v>376638.35672309546</v>
      </c>
      <c r="Q79" s="149">
        <f t="shared" si="14"/>
        <v>22977.936882310863</v>
      </c>
      <c r="R79" s="149">
        <f t="shared" si="15"/>
        <v>0</v>
      </c>
      <c r="S79" s="137">
        <f t="shared" si="16"/>
        <v>22977.936882310863</v>
      </c>
      <c r="T79" s="137">
        <f t="shared" si="17"/>
        <v>0</v>
      </c>
      <c r="U79" s="137">
        <f t="shared" si="18"/>
        <v>0</v>
      </c>
      <c r="V79" s="137">
        <f t="shared" si="19"/>
        <v>399616.2936054063</v>
      </c>
      <c r="W79" s="137">
        <f t="shared" si="20"/>
        <v>0</v>
      </c>
      <c r="X79" s="138">
        <f t="shared" si="21"/>
        <v>399616.2936054063</v>
      </c>
    </row>
    <row r="80" spans="4:24">
      <c r="D80" s="9" t="s">
        <v>300</v>
      </c>
      <c r="E80" s="9" t="s">
        <v>2544</v>
      </c>
      <c r="F80" s="4" t="s">
        <v>1219</v>
      </c>
      <c r="G80" s="9" t="s">
        <v>2846</v>
      </c>
      <c r="H80" s="136">
        <v>0</v>
      </c>
      <c r="I80" s="137">
        <v>3057266.3579157246</v>
      </c>
      <c r="J80" s="137">
        <v>0</v>
      </c>
      <c r="K80" s="137">
        <v>0</v>
      </c>
      <c r="L80" s="149">
        <f t="shared" si="11"/>
        <v>0</v>
      </c>
      <c r="M80" s="138">
        <f t="shared" si="12"/>
        <v>3057266.3579157246</v>
      </c>
      <c r="N80" s="139">
        <f>INDEX('CHIRP Payment Calc'!AM:AM,MATCH(F:F,'CHIRP Payment Calc'!C:C,0))</f>
        <v>0</v>
      </c>
      <c r="O80" s="139">
        <f>INDEX('CHIRP Payment Calc'!AL:AL,MATCH(F:F,'CHIRP Payment Calc'!C:C,0))</f>
        <v>0.24</v>
      </c>
      <c r="P80" s="136">
        <f t="shared" si="13"/>
        <v>733743.92589977384</v>
      </c>
      <c r="Q80" s="149">
        <f t="shared" si="14"/>
        <v>44764.218290967634</v>
      </c>
      <c r="R80" s="149">
        <f t="shared" si="15"/>
        <v>0</v>
      </c>
      <c r="S80" s="137">
        <f t="shared" si="16"/>
        <v>44764.218290967634</v>
      </c>
      <c r="T80" s="137">
        <f t="shared" si="17"/>
        <v>0</v>
      </c>
      <c r="U80" s="137">
        <f t="shared" si="18"/>
        <v>0</v>
      </c>
      <c r="V80" s="137">
        <f t="shared" si="19"/>
        <v>778508.14419074147</v>
      </c>
      <c r="W80" s="137">
        <f t="shared" si="20"/>
        <v>0</v>
      </c>
      <c r="X80" s="138">
        <f t="shared" si="21"/>
        <v>778508.14419074147</v>
      </c>
    </row>
    <row r="81" spans="4:24">
      <c r="D81" s="9" t="s">
        <v>300</v>
      </c>
      <c r="E81" s="9" t="s">
        <v>2544</v>
      </c>
      <c r="F81" s="4" t="s">
        <v>1357</v>
      </c>
      <c r="G81" s="9" t="s">
        <v>2909</v>
      </c>
      <c r="H81" s="136">
        <v>0</v>
      </c>
      <c r="I81" s="137">
        <v>1528349.8526361354</v>
      </c>
      <c r="J81" s="137">
        <v>0</v>
      </c>
      <c r="K81" s="137">
        <v>0</v>
      </c>
      <c r="L81" s="149">
        <f t="shared" si="11"/>
        <v>0</v>
      </c>
      <c r="M81" s="138">
        <f t="shared" si="12"/>
        <v>1528349.8526361354</v>
      </c>
      <c r="N81" s="139">
        <f>INDEX('CHIRP Payment Calc'!AM:AM,MATCH(F:F,'CHIRP Payment Calc'!C:C,0))</f>
        <v>0</v>
      </c>
      <c r="O81" s="139">
        <f>INDEX('CHIRP Payment Calc'!AL:AL,MATCH(F:F,'CHIRP Payment Calc'!C:C,0))</f>
        <v>0.24</v>
      </c>
      <c r="P81" s="136">
        <f t="shared" si="13"/>
        <v>366803.96463267249</v>
      </c>
      <c r="Q81" s="149">
        <f t="shared" si="14"/>
        <v>22377.960707033075</v>
      </c>
      <c r="R81" s="149">
        <f t="shared" si="15"/>
        <v>0</v>
      </c>
      <c r="S81" s="137">
        <f t="shared" si="16"/>
        <v>22377.960707033075</v>
      </c>
      <c r="T81" s="137">
        <f t="shared" si="17"/>
        <v>0</v>
      </c>
      <c r="U81" s="137">
        <f t="shared" si="18"/>
        <v>0</v>
      </c>
      <c r="V81" s="137">
        <f t="shared" si="19"/>
        <v>389181.9253397056</v>
      </c>
      <c r="W81" s="137">
        <f t="shared" si="20"/>
        <v>0</v>
      </c>
      <c r="X81" s="138">
        <f t="shared" si="21"/>
        <v>389181.9253397056</v>
      </c>
    </row>
    <row r="82" spans="4:24">
      <c r="D82" s="9" t="s">
        <v>300</v>
      </c>
      <c r="E82" s="9" t="s">
        <v>2544</v>
      </c>
      <c r="F82" s="4" t="s">
        <v>1354</v>
      </c>
      <c r="G82" s="9" t="s">
        <v>2850</v>
      </c>
      <c r="H82" s="136">
        <v>0</v>
      </c>
      <c r="I82" s="137">
        <v>5453489.5142499683</v>
      </c>
      <c r="J82" s="137">
        <v>0</v>
      </c>
      <c r="K82" s="137">
        <v>0</v>
      </c>
      <c r="L82" s="149">
        <f t="shared" si="11"/>
        <v>0</v>
      </c>
      <c r="M82" s="138">
        <f t="shared" si="12"/>
        <v>5453489.5142499683</v>
      </c>
      <c r="N82" s="139">
        <f>INDEX('CHIRP Payment Calc'!AM:AM,MATCH(F:F,'CHIRP Payment Calc'!C:C,0))</f>
        <v>0</v>
      </c>
      <c r="O82" s="139">
        <f>INDEX('CHIRP Payment Calc'!AL:AL,MATCH(F:F,'CHIRP Payment Calc'!C:C,0))</f>
        <v>0.24</v>
      </c>
      <c r="P82" s="136">
        <f t="shared" si="13"/>
        <v>1308837.4834199923</v>
      </c>
      <c r="Q82" s="149">
        <f t="shared" si="14"/>
        <v>79849.50164100749</v>
      </c>
      <c r="R82" s="149">
        <f t="shared" si="15"/>
        <v>0</v>
      </c>
      <c r="S82" s="137">
        <f t="shared" si="16"/>
        <v>79849.50164100749</v>
      </c>
      <c r="T82" s="137">
        <f t="shared" si="17"/>
        <v>0</v>
      </c>
      <c r="U82" s="137">
        <f t="shared" si="18"/>
        <v>0</v>
      </c>
      <c r="V82" s="137">
        <f t="shared" si="19"/>
        <v>1388686.9850609999</v>
      </c>
      <c r="W82" s="137">
        <f t="shared" si="20"/>
        <v>0</v>
      </c>
      <c r="X82" s="138">
        <f t="shared" si="21"/>
        <v>1388686.9850609999</v>
      </c>
    </row>
    <row r="83" spans="4:24">
      <c r="D83" s="9" t="s">
        <v>300</v>
      </c>
      <c r="E83" s="9" t="s">
        <v>2544</v>
      </c>
      <c r="F83" s="4" t="s">
        <v>1266</v>
      </c>
      <c r="G83" s="9" t="s">
        <v>2931</v>
      </c>
      <c r="H83" s="136">
        <v>0</v>
      </c>
      <c r="I83" s="137">
        <v>3580813.9404187733</v>
      </c>
      <c r="J83" s="137">
        <v>0</v>
      </c>
      <c r="K83" s="137">
        <v>0</v>
      </c>
      <c r="L83" s="149">
        <f t="shared" si="11"/>
        <v>0</v>
      </c>
      <c r="M83" s="138">
        <f t="shared" si="12"/>
        <v>3580813.9404187733</v>
      </c>
      <c r="N83" s="139">
        <f>INDEX('CHIRP Payment Calc'!AM:AM,MATCH(F:F,'CHIRP Payment Calc'!C:C,0))</f>
        <v>0</v>
      </c>
      <c r="O83" s="139">
        <f>INDEX('CHIRP Payment Calc'!AL:AL,MATCH(F:F,'CHIRP Payment Calc'!C:C,0))</f>
        <v>0.24</v>
      </c>
      <c r="P83" s="136">
        <f t="shared" si="13"/>
        <v>859395.34570050554</v>
      </c>
      <c r="Q83" s="149">
        <f t="shared" si="14"/>
        <v>52429.954777484425</v>
      </c>
      <c r="R83" s="149">
        <f t="shared" si="15"/>
        <v>0</v>
      </c>
      <c r="S83" s="137">
        <f t="shared" si="16"/>
        <v>52429.954777484425</v>
      </c>
      <c r="T83" s="137">
        <f t="shared" si="17"/>
        <v>0</v>
      </c>
      <c r="U83" s="137">
        <f t="shared" si="18"/>
        <v>0</v>
      </c>
      <c r="V83" s="137">
        <f t="shared" si="19"/>
        <v>911825.30047798995</v>
      </c>
      <c r="W83" s="137">
        <f t="shared" si="20"/>
        <v>0</v>
      </c>
      <c r="X83" s="138">
        <f t="shared" si="21"/>
        <v>911825.30047798995</v>
      </c>
    </row>
    <row r="84" spans="4:24">
      <c r="D84" s="9" t="s">
        <v>300</v>
      </c>
      <c r="E84" s="9" t="s">
        <v>2544</v>
      </c>
      <c r="F84" s="4" t="s">
        <v>1232</v>
      </c>
      <c r="G84" s="9" t="s">
        <v>2841</v>
      </c>
      <c r="H84" s="136">
        <v>0</v>
      </c>
      <c r="I84" s="137">
        <v>4457822.2708174214</v>
      </c>
      <c r="J84" s="137">
        <v>0</v>
      </c>
      <c r="K84" s="137">
        <v>0</v>
      </c>
      <c r="L84" s="149">
        <f t="shared" si="11"/>
        <v>0</v>
      </c>
      <c r="M84" s="138">
        <f t="shared" si="12"/>
        <v>4457822.2708174214</v>
      </c>
      <c r="N84" s="139">
        <f>INDEX('CHIRP Payment Calc'!AM:AM,MATCH(F:F,'CHIRP Payment Calc'!C:C,0))</f>
        <v>0</v>
      </c>
      <c r="O84" s="139">
        <f>INDEX('CHIRP Payment Calc'!AL:AL,MATCH(F:F,'CHIRP Payment Calc'!C:C,0))</f>
        <v>0.24</v>
      </c>
      <c r="P84" s="136">
        <f t="shared" si="13"/>
        <v>1069877.3449961811</v>
      </c>
      <c r="Q84" s="149">
        <f t="shared" si="14"/>
        <v>65271.03165759195</v>
      </c>
      <c r="R84" s="149">
        <f t="shared" si="15"/>
        <v>0</v>
      </c>
      <c r="S84" s="137">
        <f t="shared" si="16"/>
        <v>65271.03165759195</v>
      </c>
      <c r="T84" s="137">
        <f t="shared" si="17"/>
        <v>0</v>
      </c>
      <c r="U84" s="137">
        <f t="shared" si="18"/>
        <v>0</v>
      </c>
      <c r="V84" s="137">
        <f t="shared" si="19"/>
        <v>1135148.376653773</v>
      </c>
      <c r="W84" s="137">
        <f t="shared" si="20"/>
        <v>0</v>
      </c>
      <c r="X84" s="138">
        <f t="shared" si="21"/>
        <v>1135148.376653773</v>
      </c>
    </row>
    <row r="85" spans="4:24">
      <c r="D85" s="9" t="s">
        <v>300</v>
      </c>
      <c r="E85" s="9" t="s">
        <v>2544</v>
      </c>
      <c r="F85" s="4" t="s">
        <v>1516</v>
      </c>
      <c r="G85" s="9" t="s">
        <v>2734</v>
      </c>
      <c r="H85" s="136">
        <v>0</v>
      </c>
      <c r="I85" s="137">
        <v>1695322.4476820694</v>
      </c>
      <c r="J85" s="137">
        <v>0</v>
      </c>
      <c r="K85" s="137">
        <v>0</v>
      </c>
      <c r="L85" s="149">
        <f t="shared" si="11"/>
        <v>0</v>
      </c>
      <c r="M85" s="138">
        <f t="shared" si="12"/>
        <v>1695322.4476820694</v>
      </c>
      <c r="N85" s="139">
        <f>INDEX('CHIRP Payment Calc'!AM:AM,MATCH(F:F,'CHIRP Payment Calc'!C:C,0))</f>
        <v>0</v>
      </c>
      <c r="O85" s="139">
        <f>INDEX('CHIRP Payment Calc'!AL:AL,MATCH(F:F,'CHIRP Payment Calc'!C:C,0))</f>
        <v>0.24</v>
      </c>
      <c r="P85" s="136">
        <f t="shared" si="13"/>
        <v>406877.38744369661</v>
      </c>
      <c r="Q85" s="149">
        <f t="shared" si="14"/>
        <v>24822.758385159214</v>
      </c>
      <c r="R85" s="149">
        <f t="shared" si="15"/>
        <v>0</v>
      </c>
      <c r="S85" s="137">
        <f t="shared" si="16"/>
        <v>24822.758385159214</v>
      </c>
      <c r="T85" s="137">
        <f t="shared" si="17"/>
        <v>0</v>
      </c>
      <c r="U85" s="137">
        <f t="shared" si="18"/>
        <v>0</v>
      </c>
      <c r="V85" s="137">
        <f t="shared" si="19"/>
        <v>431700.14582885586</v>
      </c>
      <c r="W85" s="137">
        <f t="shared" si="20"/>
        <v>0</v>
      </c>
      <c r="X85" s="138">
        <f t="shared" si="21"/>
        <v>431700.14582885586</v>
      </c>
    </row>
    <row r="86" spans="4:24">
      <c r="D86" s="9" t="s">
        <v>300</v>
      </c>
      <c r="E86" s="9" t="s">
        <v>2544</v>
      </c>
      <c r="F86" s="4" t="s">
        <v>1313</v>
      </c>
      <c r="G86" s="9" t="s">
        <v>2842</v>
      </c>
      <c r="H86" s="136">
        <v>0</v>
      </c>
      <c r="I86" s="137">
        <v>4944657.8367703017</v>
      </c>
      <c r="J86" s="137">
        <v>0</v>
      </c>
      <c r="K86" s="137">
        <v>0</v>
      </c>
      <c r="L86" s="149">
        <f t="shared" si="11"/>
        <v>0</v>
      </c>
      <c r="M86" s="138">
        <f t="shared" si="12"/>
        <v>4944657.8367703017</v>
      </c>
      <c r="N86" s="139">
        <f>INDEX('CHIRP Payment Calc'!AM:AM,MATCH(F:F,'CHIRP Payment Calc'!C:C,0))</f>
        <v>0</v>
      </c>
      <c r="O86" s="139">
        <f>INDEX('CHIRP Payment Calc'!AL:AL,MATCH(F:F,'CHIRP Payment Calc'!C:C,0))</f>
        <v>0.24</v>
      </c>
      <c r="P86" s="136">
        <f t="shared" si="13"/>
        <v>1186717.8808248723</v>
      </c>
      <c r="Q86" s="149">
        <f t="shared" si="14"/>
        <v>72399.234108679215</v>
      </c>
      <c r="R86" s="149">
        <f t="shared" si="15"/>
        <v>0</v>
      </c>
      <c r="S86" s="137">
        <f t="shared" si="16"/>
        <v>72399.234108679215</v>
      </c>
      <c r="T86" s="137">
        <f t="shared" si="17"/>
        <v>0</v>
      </c>
      <c r="U86" s="137">
        <f t="shared" si="18"/>
        <v>0</v>
      </c>
      <c r="V86" s="137">
        <f t="shared" si="19"/>
        <v>1259117.1149335515</v>
      </c>
      <c r="W86" s="137">
        <f t="shared" si="20"/>
        <v>0</v>
      </c>
      <c r="X86" s="138">
        <f t="shared" si="21"/>
        <v>1259117.1149335515</v>
      </c>
    </row>
    <row r="87" spans="4:24">
      <c r="D87" s="9" t="s">
        <v>300</v>
      </c>
      <c r="E87" s="9" t="s">
        <v>2295</v>
      </c>
      <c r="F87" s="4" t="s">
        <v>124</v>
      </c>
      <c r="G87" s="9" t="s">
        <v>1695</v>
      </c>
      <c r="H87" s="136">
        <v>719231.87679287745</v>
      </c>
      <c r="I87" s="137">
        <v>287140.03784818586</v>
      </c>
      <c r="J87" s="137">
        <v>187993.76842353778</v>
      </c>
      <c r="K87" s="137">
        <v>106473.89107538754</v>
      </c>
      <c r="L87" s="149">
        <f t="shared" si="11"/>
        <v>907225.64521641517</v>
      </c>
      <c r="M87" s="138">
        <f t="shared" si="12"/>
        <v>393613.9289235734</v>
      </c>
      <c r="N87" s="139">
        <f>INDEX('CHIRP Payment Calc'!AM:AM,MATCH(F:F,'CHIRP Payment Calc'!C:C,0))</f>
        <v>0.3</v>
      </c>
      <c r="O87" s="139">
        <f>INDEX('CHIRP Payment Calc'!AL:AL,MATCH(F:F,'CHIRP Payment Calc'!C:C,0))</f>
        <v>0.01</v>
      </c>
      <c r="P87" s="136">
        <f t="shared" si="13"/>
        <v>276103.83285416028</v>
      </c>
      <c r="Q87" s="149">
        <f t="shared" si="14"/>
        <v>13338.8386169123</v>
      </c>
      <c r="R87" s="149">
        <f t="shared" si="15"/>
        <v>3667.8427300733115</v>
      </c>
      <c r="S87" s="137">
        <f t="shared" si="16"/>
        <v>17006.681346985613</v>
      </c>
      <c r="T87" s="137">
        <f t="shared" si="17"/>
        <v>228933.22338234825</v>
      </c>
      <c r="U87" s="137">
        <f t="shared" si="18"/>
        <v>59998.011199001419</v>
      </c>
      <c r="V87" s="137">
        <f t="shared" si="19"/>
        <v>3046.5786509091336</v>
      </c>
      <c r="W87" s="137">
        <f t="shared" si="20"/>
        <v>1132.7009688871015</v>
      </c>
      <c r="X87" s="138">
        <f t="shared" si="21"/>
        <v>293110.51420114585</v>
      </c>
    </row>
    <row r="88" spans="4:24">
      <c r="D88" s="9" t="s">
        <v>300</v>
      </c>
      <c r="E88" s="9" t="s">
        <v>2295</v>
      </c>
      <c r="F88" s="4" t="s">
        <v>1073</v>
      </c>
      <c r="G88" s="9" t="s">
        <v>2914</v>
      </c>
      <c r="H88" s="136">
        <v>504231.20356864086</v>
      </c>
      <c r="I88" s="137">
        <v>38241.125327715978</v>
      </c>
      <c r="J88" s="137">
        <v>361105.46794138791</v>
      </c>
      <c r="K88" s="137">
        <v>148754.14466404985</v>
      </c>
      <c r="L88" s="149">
        <f t="shared" si="11"/>
        <v>865336.67151002877</v>
      </c>
      <c r="M88" s="138">
        <f t="shared" si="12"/>
        <v>186995.26999176582</v>
      </c>
      <c r="N88" s="139">
        <f>INDEX('CHIRP Payment Calc'!AM:AM,MATCH(F:F,'CHIRP Payment Calc'!C:C,0))</f>
        <v>0.3</v>
      </c>
      <c r="O88" s="139">
        <f>INDEX('CHIRP Payment Calc'!AL:AL,MATCH(F:F,'CHIRP Payment Calc'!C:C,0))</f>
        <v>0.01</v>
      </c>
      <c r="P88" s="136">
        <f t="shared" si="13"/>
        <v>261470.95415292628</v>
      </c>
      <c r="Q88" s="149">
        <f t="shared" si="14"/>
        <v>9251.9648897851384</v>
      </c>
      <c r="R88" s="149">
        <f t="shared" si="15"/>
        <v>7009.7350103653325</v>
      </c>
      <c r="S88" s="137">
        <f t="shared" si="16"/>
        <v>16261.69990015047</v>
      </c>
      <c r="T88" s="137">
        <f t="shared" si="17"/>
        <v>160497.99583086712</v>
      </c>
      <c r="U88" s="137">
        <f t="shared" si="18"/>
        <v>115246.42593874082</v>
      </c>
      <c r="V88" s="137">
        <f t="shared" si="19"/>
        <v>405.74138278743743</v>
      </c>
      <c r="W88" s="137">
        <f t="shared" si="20"/>
        <v>1582.4909006813814</v>
      </c>
      <c r="X88" s="138">
        <f t="shared" si="21"/>
        <v>277732.65405307669</v>
      </c>
    </row>
    <row r="89" spans="4:24">
      <c r="D89" s="9" t="s">
        <v>300</v>
      </c>
      <c r="E89" s="9" t="s">
        <v>2295</v>
      </c>
      <c r="F89" s="4" t="s">
        <v>531</v>
      </c>
      <c r="G89" s="9" t="s">
        <v>2610</v>
      </c>
      <c r="H89" s="136">
        <v>275344.79211188207</v>
      </c>
      <c r="I89" s="137">
        <v>7.8988796391312395</v>
      </c>
      <c r="J89" s="137">
        <v>84259.152184591498</v>
      </c>
      <c r="K89" s="137">
        <v>7720.9751695909035</v>
      </c>
      <c r="L89" s="149">
        <f t="shared" si="11"/>
        <v>359603.94429647358</v>
      </c>
      <c r="M89" s="138">
        <f t="shared" si="12"/>
        <v>7728.8740492300349</v>
      </c>
      <c r="N89" s="139">
        <f>INDEX('CHIRP Payment Calc'!AM:AM,MATCH(F:F,'CHIRP Payment Calc'!C:C,0))</f>
        <v>0.3</v>
      </c>
      <c r="O89" s="139">
        <f>INDEX('CHIRP Payment Calc'!AL:AL,MATCH(F:F,'CHIRP Payment Calc'!C:C,0))</f>
        <v>0.01</v>
      </c>
      <c r="P89" s="136">
        <f t="shared" si="13"/>
        <v>107958.47202943437</v>
      </c>
      <c r="Q89" s="149">
        <f t="shared" si="14"/>
        <v>5039.4718363774628</v>
      </c>
      <c r="R89" s="149">
        <f t="shared" si="15"/>
        <v>1618.4014089621294</v>
      </c>
      <c r="S89" s="137">
        <f t="shared" si="16"/>
        <v>6657.8732453395924</v>
      </c>
      <c r="T89" s="137">
        <f t="shared" si="17"/>
        <v>87642.904650996948</v>
      </c>
      <c r="U89" s="137">
        <f t="shared" si="18"/>
        <v>26891.218782316435</v>
      </c>
      <c r="V89" s="137">
        <f t="shared" si="19"/>
        <v>8.3807741529243918E-2</v>
      </c>
      <c r="W89" s="137">
        <f t="shared" si="20"/>
        <v>82.13803371905216</v>
      </c>
      <c r="X89" s="138">
        <f t="shared" si="21"/>
        <v>114616.34527477396</v>
      </c>
    </row>
    <row r="90" spans="4:24">
      <c r="D90" s="9" t="s">
        <v>300</v>
      </c>
      <c r="E90" s="9" t="s">
        <v>2295</v>
      </c>
      <c r="F90" s="4" t="s">
        <v>823</v>
      </c>
      <c r="G90" s="9" t="s">
        <v>2851</v>
      </c>
      <c r="H90" s="136">
        <v>2345306.2914695228</v>
      </c>
      <c r="I90" s="137">
        <v>3220668.8224875606</v>
      </c>
      <c r="J90" s="137">
        <v>710345.7292151954</v>
      </c>
      <c r="K90" s="137">
        <v>965846.92357977899</v>
      </c>
      <c r="L90" s="149">
        <f t="shared" si="11"/>
        <v>3055652.0206847182</v>
      </c>
      <c r="M90" s="138">
        <f t="shared" si="12"/>
        <v>4186515.7460673396</v>
      </c>
      <c r="N90" s="139">
        <f>INDEX('CHIRP Payment Calc'!AM:AM,MATCH(F:F,'CHIRP Payment Calc'!C:C,0))</f>
        <v>0.3</v>
      </c>
      <c r="O90" s="139">
        <f>INDEX('CHIRP Payment Calc'!AL:AL,MATCH(F:F,'CHIRP Payment Calc'!C:C,0))</f>
        <v>0.01</v>
      </c>
      <c r="P90" s="136">
        <f t="shared" si="13"/>
        <v>958560.76366608881</v>
      </c>
      <c r="Q90" s="149">
        <f t="shared" si="14"/>
        <v>44889.56827668925</v>
      </c>
      <c r="R90" s="149">
        <f t="shared" si="15"/>
        <v>14218.863063852537</v>
      </c>
      <c r="S90" s="137">
        <f t="shared" si="16"/>
        <v>59108.431340541785</v>
      </c>
      <c r="T90" s="137">
        <f t="shared" si="17"/>
        <v>746516.59144918493</v>
      </c>
      <c r="U90" s="137">
        <f t="shared" si="18"/>
        <v>226706.08379208363</v>
      </c>
      <c r="V90" s="137">
        <f t="shared" si="19"/>
        <v>34171.552493236719</v>
      </c>
      <c r="W90" s="137">
        <f t="shared" si="20"/>
        <v>10274.96727212531</v>
      </c>
      <c r="X90" s="138">
        <f t="shared" si="21"/>
        <v>1017669.1950066306</v>
      </c>
    </row>
    <row r="91" spans="4:24">
      <c r="D91" s="9" t="s">
        <v>300</v>
      </c>
      <c r="E91" s="9" t="s">
        <v>2295</v>
      </c>
      <c r="F91" s="4" t="s">
        <v>954</v>
      </c>
      <c r="G91" s="9" t="s">
        <v>1644</v>
      </c>
      <c r="H91" s="136">
        <v>115136.78505163251</v>
      </c>
      <c r="I91" s="137">
        <v>111890.82389203382</v>
      </c>
      <c r="J91" s="137">
        <v>9422.5718757141622</v>
      </c>
      <c r="K91" s="137">
        <v>54529.269952585957</v>
      </c>
      <c r="L91" s="149">
        <f t="shared" si="11"/>
        <v>124559.35692734667</v>
      </c>
      <c r="M91" s="138">
        <f t="shared" si="12"/>
        <v>166420.09384461978</v>
      </c>
      <c r="N91" s="139">
        <f>INDEX('CHIRP Payment Calc'!AM:AM,MATCH(F:F,'CHIRP Payment Calc'!C:C,0))</f>
        <v>0.3</v>
      </c>
      <c r="O91" s="139">
        <f>INDEX('CHIRP Payment Calc'!AL:AL,MATCH(F:F,'CHIRP Payment Calc'!C:C,0))</f>
        <v>0.01</v>
      </c>
      <c r="P91" s="136">
        <f t="shared" si="13"/>
        <v>39032.008016650201</v>
      </c>
      <c r="Q91" s="149">
        <f t="shared" si="14"/>
        <v>2175.5403351496875</v>
      </c>
      <c r="R91" s="149">
        <f t="shared" si="15"/>
        <v>215.2381443983048</v>
      </c>
      <c r="S91" s="137">
        <f t="shared" si="16"/>
        <v>2390.7784795479924</v>
      </c>
      <c r="T91" s="137">
        <f t="shared" si="17"/>
        <v>36648.313544286211</v>
      </c>
      <c r="U91" s="137">
        <f t="shared" si="18"/>
        <v>3007.2037901215413</v>
      </c>
      <c r="V91" s="137">
        <f t="shared" si="19"/>
        <v>1187.1705452735685</v>
      </c>
      <c r="W91" s="137">
        <f t="shared" si="20"/>
        <v>580.09861651687197</v>
      </c>
      <c r="X91" s="138">
        <f t="shared" si="21"/>
        <v>41422.786496198198</v>
      </c>
    </row>
    <row r="92" spans="4:24">
      <c r="D92" s="9" t="s">
        <v>300</v>
      </c>
      <c r="E92" s="9" t="s">
        <v>2963</v>
      </c>
      <c r="F92" s="4" t="s">
        <v>1585</v>
      </c>
      <c r="G92" s="9" t="s">
        <v>2801</v>
      </c>
      <c r="H92" s="136">
        <v>47049944.734270819</v>
      </c>
      <c r="I92" s="137">
        <v>78887955.363848269</v>
      </c>
      <c r="J92" s="137">
        <v>18386468.47004189</v>
      </c>
      <c r="K92" s="137">
        <v>26911152.419662092</v>
      </c>
      <c r="L92" s="149">
        <f t="shared" si="11"/>
        <v>65436413.204312712</v>
      </c>
      <c r="M92" s="138">
        <f t="shared" si="12"/>
        <v>105799107.78351036</v>
      </c>
      <c r="N92" s="139">
        <f>INDEX('CHIRP Payment Calc'!AM:AM,MATCH(F:F,'CHIRP Payment Calc'!C:C,0))</f>
        <v>0.31</v>
      </c>
      <c r="O92" s="139">
        <f>INDEX('CHIRP Payment Calc'!AL:AL,MATCH(F:F,'CHIRP Payment Calc'!C:C,0))</f>
        <v>0.21</v>
      </c>
      <c r="P92" s="136">
        <f t="shared" si="13"/>
        <v>42503100.727874115</v>
      </c>
      <c r="Q92" s="149">
        <f t="shared" si="14"/>
        <v>1900517.0566650878</v>
      </c>
      <c r="R92" s="149">
        <f t="shared" si="15"/>
        <v>724541.31279842719</v>
      </c>
      <c r="S92" s="137">
        <f t="shared" si="16"/>
        <v>2625058.369463515</v>
      </c>
      <c r="T92" s="137">
        <f t="shared" si="17"/>
        <v>15475313.38739942</v>
      </c>
      <c r="U92" s="137">
        <f t="shared" si="18"/>
        <v>6063622.58054573</v>
      </c>
      <c r="V92" s="137">
        <f t="shared" si="19"/>
        <v>17577157.163297758</v>
      </c>
      <c r="W92" s="137">
        <f t="shared" si="20"/>
        <v>6012065.966094723</v>
      </c>
      <c r="X92" s="138">
        <f t="shared" si="21"/>
        <v>45128159.097337633</v>
      </c>
    </row>
    <row r="93" spans="4:24">
      <c r="D93" s="9" t="s">
        <v>300</v>
      </c>
      <c r="E93" s="9" t="s">
        <v>2283</v>
      </c>
      <c r="F93" s="4" t="s">
        <v>573</v>
      </c>
      <c r="G93" s="9" t="s">
        <v>2693</v>
      </c>
      <c r="H93" s="136">
        <v>4732543.4392913692</v>
      </c>
      <c r="I93" s="137">
        <v>36810727.448108919</v>
      </c>
      <c r="J93" s="137">
        <v>105172.04135103212</v>
      </c>
      <c r="K93" s="137">
        <v>163347.09365424298</v>
      </c>
      <c r="L93" s="149">
        <f t="shared" si="11"/>
        <v>4837715.4806424016</v>
      </c>
      <c r="M93" s="138">
        <f t="shared" si="12"/>
        <v>36974074.541763164</v>
      </c>
      <c r="N93" s="139">
        <f>INDEX('CHIRP Payment Calc'!AM:AM,MATCH(F:F,'CHIRP Payment Calc'!C:C,0))</f>
        <v>0.33</v>
      </c>
      <c r="O93" s="139">
        <f>INDEX('CHIRP Payment Calc'!AL:AL,MATCH(F:F,'CHIRP Payment Calc'!C:C,0))</f>
        <v>1.74</v>
      </c>
      <c r="P93" s="136">
        <f t="shared" si="13"/>
        <v>65931335.8112799</v>
      </c>
      <c r="Q93" s="149">
        <f t="shared" si="14"/>
        <v>4002878.825404617</v>
      </c>
      <c r="R93" s="149">
        <f t="shared" si="15"/>
        <v>20357.279783248301</v>
      </c>
      <c r="S93" s="137">
        <f t="shared" si="16"/>
        <v>4023236.1051878654</v>
      </c>
      <c r="T93" s="137">
        <f t="shared" si="17"/>
        <v>1657017.8620330524</v>
      </c>
      <c r="U93" s="137">
        <f t="shared" si="18"/>
        <v>36922.099623234681</v>
      </c>
      <c r="V93" s="137">
        <f t="shared" si="19"/>
        <v>67958266.058047235</v>
      </c>
      <c r="W93" s="137">
        <f t="shared" si="20"/>
        <v>302365.89676423703</v>
      </c>
      <c r="X93" s="138">
        <f t="shared" si="21"/>
        <v>69954571.916467756</v>
      </c>
    </row>
    <row r="94" spans="4:24">
      <c r="D94" s="9" t="s">
        <v>300</v>
      </c>
      <c r="E94" s="9" t="s">
        <v>2283</v>
      </c>
      <c r="F94" s="4" t="s">
        <v>1475</v>
      </c>
      <c r="G94" s="9" t="s">
        <v>2814</v>
      </c>
      <c r="H94" s="136">
        <v>412563.49900603399</v>
      </c>
      <c r="I94" s="137">
        <v>0</v>
      </c>
      <c r="J94" s="137">
        <v>146679.16400681282</v>
      </c>
      <c r="K94" s="137">
        <v>0</v>
      </c>
      <c r="L94" s="149">
        <f t="shared" si="11"/>
        <v>559242.66301284684</v>
      </c>
      <c r="M94" s="138">
        <f t="shared" si="12"/>
        <v>0</v>
      </c>
      <c r="N94" s="139">
        <f>INDEX('CHIRP Payment Calc'!AM:AM,MATCH(F:F,'CHIRP Payment Calc'!C:C,0))</f>
        <v>0.33</v>
      </c>
      <c r="O94" s="139">
        <f>INDEX('CHIRP Payment Calc'!AL:AL,MATCH(F:F,'CHIRP Payment Calc'!C:C,0))</f>
        <v>1.74</v>
      </c>
      <c r="P94" s="136">
        <f t="shared" si="13"/>
        <v>184550.07879423947</v>
      </c>
      <c r="Q94" s="149">
        <f t="shared" si="14"/>
        <v>8305.9866245511894</v>
      </c>
      <c r="R94" s="149">
        <f t="shared" si="15"/>
        <v>3089.6249439732919</v>
      </c>
      <c r="S94" s="137">
        <f t="shared" si="16"/>
        <v>11395.61156852448</v>
      </c>
      <c r="T94" s="137">
        <f t="shared" si="17"/>
        <v>144451.94129654241</v>
      </c>
      <c r="U94" s="137">
        <f t="shared" si="18"/>
        <v>51493.749066221528</v>
      </c>
      <c r="V94" s="137">
        <f t="shared" si="19"/>
        <v>0</v>
      </c>
      <c r="W94" s="137">
        <f t="shared" si="20"/>
        <v>0</v>
      </c>
      <c r="X94" s="138">
        <f t="shared" si="21"/>
        <v>195945.69036276394</v>
      </c>
    </row>
    <row r="95" spans="4:24">
      <c r="D95" s="9" t="s">
        <v>300</v>
      </c>
      <c r="E95" s="9" t="s">
        <v>2283</v>
      </c>
      <c r="F95" s="4" t="s">
        <v>561</v>
      </c>
      <c r="G95" s="9" t="s">
        <v>2639</v>
      </c>
      <c r="H95" s="136">
        <v>10839006.402984984</v>
      </c>
      <c r="I95" s="137">
        <v>20713980.283982564</v>
      </c>
      <c r="J95" s="137">
        <v>1355784.215475563</v>
      </c>
      <c r="K95" s="137">
        <v>5405804.467472882</v>
      </c>
      <c r="L95" s="149">
        <f t="shared" si="11"/>
        <v>12194790.618460547</v>
      </c>
      <c r="M95" s="138">
        <f t="shared" si="12"/>
        <v>26119784.751455445</v>
      </c>
      <c r="N95" s="139">
        <f>INDEX('CHIRP Payment Calc'!AM:AM,MATCH(F:F,'CHIRP Payment Calc'!C:C,0))</f>
        <v>0.33</v>
      </c>
      <c r="O95" s="139">
        <f>INDEX('CHIRP Payment Calc'!AL:AL,MATCH(F:F,'CHIRP Payment Calc'!C:C,0))</f>
        <v>1.74</v>
      </c>
      <c r="P95" s="136">
        <f t="shared" si="13"/>
        <v>49472706.371624455</v>
      </c>
      <c r="Q95" s="149">
        <f t="shared" si="14"/>
        <v>2417086.3383650882</v>
      </c>
      <c r="R95" s="149">
        <f t="shared" si="15"/>
        <v>628947.35518147354</v>
      </c>
      <c r="S95" s="137">
        <f t="shared" si="16"/>
        <v>3046033.6935465615</v>
      </c>
      <c r="T95" s="137">
        <f t="shared" si="17"/>
        <v>3795089.7750504455</v>
      </c>
      <c r="U95" s="137">
        <f t="shared" si="18"/>
        <v>475966.79904993175</v>
      </c>
      <c r="V95" s="137">
        <f t="shared" si="19"/>
        <v>38241194.370429344</v>
      </c>
      <c r="W95" s="137">
        <f t="shared" si="20"/>
        <v>10006489.120641293</v>
      </c>
      <c r="X95" s="138">
        <f t="shared" si="21"/>
        <v>52518740.065171011</v>
      </c>
    </row>
    <row r="96" spans="4:24">
      <c r="D96" s="9" t="s">
        <v>300</v>
      </c>
      <c r="E96" s="9" t="s">
        <v>2283</v>
      </c>
      <c r="F96" s="4" t="s">
        <v>187</v>
      </c>
      <c r="G96" s="9" t="s">
        <v>2642</v>
      </c>
      <c r="H96" s="136">
        <v>320765.08045432082</v>
      </c>
      <c r="I96" s="137">
        <v>786200.88748992491</v>
      </c>
      <c r="J96" s="137">
        <v>740098.91925443185</v>
      </c>
      <c r="K96" s="137">
        <v>2928853.8711027461</v>
      </c>
      <c r="L96" s="149">
        <f t="shared" si="11"/>
        <v>1060863.9997087526</v>
      </c>
      <c r="M96" s="138">
        <f t="shared" si="12"/>
        <v>3715054.7585926708</v>
      </c>
      <c r="N96" s="139">
        <f>INDEX('CHIRP Payment Calc'!AM:AM,MATCH(F:F,'CHIRP Payment Calc'!C:C,0))</f>
        <v>0.98</v>
      </c>
      <c r="O96" s="139">
        <f>INDEX('CHIRP Payment Calc'!AL:AL,MATCH(F:F,'CHIRP Payment Calc'!C:C,0))</f>
        <v>1.74</v>
      </c>
      <c r="P96" s="136">
        <f t="shared" si="13"/>
        <v>7503841.9996658247</v>
      </c>
      <c r="Q96" s="149">
        <f t="shared" si="14"/>
        <v>102636.08602330819</v>
      </c>
      <c r="R96" s="149">
        <f t="shared" si="15"/>
        <v>371585.27722902904</v>
      </c>
      <c r="S96" s="137">
        <f t="shared" si="16"/>
        <v>474221.36325233721</v>
      </c>
      <c r="T96" s="137">
        <f t="shared" si="17"/>
        <v>333527.61681191978</v>
      </c>
      <c r="U96" s="137">
        <f t="shared" si="18"/>
        <v>771592.49028653535</v>
      </c>
      <c r="V96" s="137">
        <f t="shared" si="19"/>
        <v>1451447.7922890922</v>
      </c>
      <c r="W96" s="137">
        <f t="shared" si="20"/>
        <v>5421495.463530615</v>
      </c>
      <c r="X96" s="138">
        <f t="shared" si="21"/>
        <v>7978063.3629181627</v>
      </c>
    </row>
    <row r="97" spans="4:24">
      <c r="D97" s="9" t="s">
        <v>300</v>
      </c>
      <c r="E97" s="9" t="s">
        <v>2283</v>
      </c>
      <c r="F97" s="4" t="s">
        <v>262</v>
      </c>
      <c r="G97" s="9" t="s">
        <v>2833</v>
      </c>
      <c r="H97" s="136">
        <v>4012139.2062339098</v>
      </c>
      <c r="I97" s="137">
        <v>5094616.8533901293</v>
      </c>
      <c r="J97" s="137">
        <v>174919.2861591402</v>
      </c>
      <c r="K97" s="137">
        <v>288809.07181436208</v>
      </c>
      <c r="L97" s="149">
        <f t="shared" si="11"/>
        <v>4187058.4923930499</v>
      </c>
      <c r="M97" s="138">
        <f t="shared" si="12"/>
        <v>5383425.9252044912</v>
      </c>
      <c r="N97" s="139">
        <f>INDEX('CHIRP Payment Calc'!AM:AM,MATCH(F:F,'CHIRP Payment Calc'!C:C,0))</f>
        <v>0.54</v>
      </c>
      <c r="O97" s="139">
        <f>INDEX('CHIRP Payment Calc'!AL:AL,MATCH(F:F,'CHIRP Payment Calc'!C:C,0))</f>
        <v>1.74</v>
      </c>
      <c r="P97" s="136">
        <f t="shared" si="13"/>
        <v>11628172.695748061</v>
      </c>
      <c r="Q97" s="149">
        <f t="shared" si="14"/>
        <v>672990.27961299242</v>
      </c>
      <c r="R97" s="149">
        <f t="shared" si="15"/>
        <v>38105.374435080375</v>
      </c>
      <c r="S97" s="137">
        <f t="shared" si="16"/>
        <v>711095.65404807276</v>
      </c>
      <c r="T97" s="137">
        <f t="shared" si="17"/>
        <v>2298732.2773117363</v>
      </c>
      <c r="U97" s="137">
        <f t="shared" si="18"/>
        <v>100485.54736801673</v>
      </c>
      <c r="V97" s="137">
        <f t="shared" si="19"/>
        <v>9405446.4985663928</v>
      </c>
      <c r="W97" s="137">
        <f t="shared" si="20"/>
        <v>534604.02654998936</v>
      </c>
      <c r="X97" s="138">
        <f t="shared" si="21"/>
        <v>12339268.349796135</v>
      </c>
    </row>
    <row r="98" spans="4:24">
      <c r="D98" s="9" t="s">
        <v>300</v>
      </c>
      <c r="E98" s="9" t="s">
        <v>2283</v>
      </c>
      <c r="F98" s="4" t="s">
        <v>951</v>
      </c>
      <c r="G98" s="9" t="s">
        <v>2644</v>
      </c>
      <c r="H98" s="136">
        <v>1997093.4785606686</v>
      </c>
      <c r="I98" s="137">
        <v>200428.03649803589</v>
      </c>
      <c r="J98" s="137">
        <v>103222.72534606111</v>
      </c>
      <c r="K98" s="137">
        <v>436925.8401553891</v>
      </c>
      <c r="L98" s="149">
        <f t="shared" si="11"/>
        <v>2100316.2039067298</v>
      </c>
      <c r="M98" s="138">
        <f t="shared" si="12"/>
        <v>637353.87665342493</v>
      </c>
      <c r="N98" s="139">
        <f>INDEX('CHIRP Payment Calc'!AM:AM,MATCH(F:F,'CHIRP Payment Calc'!C:C,0))</f>
        <v>0.33</v>
      </c>
      <c r="O98" s="139">
        <f>INDEX('CHIRP Payment Calc'!AL:AL,MATCH(F:F,'CHIRP Payment Calc'!C:C,0))</f>
        <v>1.74</v>
      </c>
      <c r="P98" s="136">
        <f t="shared" si="13"/>
        <v>1802100.0926661803</v>
      </c>
      <c r="Q98" s="149">
        <f t="shared" si="14"/>
        <v>61482.94303163627</v>
      </c>
      <c r="R98" s="149">
        <f t="shared" si="15"/>
        <v>50700.923057526205</v>
      </c>
      <c r="S98" s="137">
        <f t="shared" si="16"/>
        <v>112183.86608916247</v>
      </c>
      <c r="T98" s="137">
        <f t="shared" si="17"/>
        <v>699247.58400532696</v>
      </c>
      <c r="U98" s="137">
        <f t="shared" si="18"/>
        <v>36237.765281064007</v>
      </c>
      <c r="V98" s="137">
        <f t="shared" si="19"/>
        <v>370020.99045791238</v>
      </c>
      <c r="W98" s="137">
        <f t="shared" si="20"/>
        <v>808777.61901103938</v>
      </c>
      <c r="X98" s="138">
        <f t="shared" si="21"/>
        <v>1914283.9587553428</v>
      </c>
    </row>
    <row r="99" spans="4:24">
      <c r="D99" s="9" t="s">
        <v>300</v>
      </c>
      <c r="E99" s="9" t="s">
        <v>2283</v>
      </c>
      <c r="F99" s="4" t="s">
        <v>1466</v>
      </c>
      <c r="G99" s="9" t="s">
        <v>2550</v>
      </c>
      <c r="H99" s="136">
        <v>0</v>
      </c>
      <c r="I99" s="137">
        <v>0</v>
      </c>
      <c r="J99" s="137">
        <v>0</v>
      </c>
      <c r="K99" s="137">
        <v>0</v>
      </c>
      <c r="L99" s="149">
        <f t="shared" si="11"/>
        <v>0</v>
      </c>
      <c r="M99" s="138">
        <f t="shared" si="12"/>
        <v>0</v>
      </c>
      <c r="N99" s="139">
        <f>INDEX('CHIRP Payment Calc'!AM:AM,MATCH(F:F,'CHIRP Payment Calc'!C:C,0))</f>
        <v>0.33</v>
      </c>
      <c r="O99" s="139">
        <f>INDEX('CHIRP Payment Calc'!AL:AL,MATCH(F:F,'CHIRP Payment Calc'!C:C,0))</f>
        <v>1.74</v>
      </c>
      <c r="P99" s="136">
        <f t="shared" si="13"/>
        <v>0</v>
      </c>
      <c r="Q99" s="149">
        <f t="shared" si="14"/>
        <v>0</v>
      </c>
      <c r="R99" s="149">
        <f t="shared" si="15"/>
        <v>0</v>
      </c>
      <c r="S99" s="137">
        <f t="shared" si="16"/>
        <v>0</v>
      </c>
      <c r="T99" s="137">
        <f t="shared" si="17"/>
        <v>0</v>
      </c>
      <c r="U99" s="137">
        <f t="shared" si="18"/>
        <v>0</v>
      </c>
      <c r="V99" s="137">
        <f t="shared" si="19"/>
        <v>0</v>
      </c>
      <c r="W99" s="137">
        <f t="shared" si="20"/>
        <v>0</v>
      </c>
      <c r="X99" s="138">
        <f t="shared" si="21"/>
        <v>0</v>
      </c>
    </row>
    <row r="100" spans="4:24">
      <c r="D100" s="9" t="s">
        <v>300</v>
      </c>
      <c r="E100" s="9" t="s">
        <v>2283</v>
      </c>
      <c r="F100" s="4" t="s">
        <v>1615</v>
      </c>
      <c r="G100" s="9" t="s">
        <v>2122</v>
      </c>
      <c r="H100" s="136">
        <v>2620023.8199290652</v>
      </c>
      <c r="I100" s="137">
        <v>12682130.451009061</v>
      </c>
      <c r="J100" s="137">
        <v>1841161.8771196816</v>
      </c>
      <c r="K100" s="137">
        <v>6508673.8686390743</v>
      </c>
      <c r="L100" s="149">
        <f t="shared" si="11"/>
        <v>4461185.697048747</v>
      </c>
      <c r="M100" s="138">
        <f t="shared" si="12"/>
        <v>19190804.319648135</v>
      </c>
      <c r="N100" s="139">
        <f>INDEX('CHIRP Payment Calc'!AM:AM,MATCH(F:F,'CHIRP Payment Calc'!C:C,0))</f>
        <v>0.62</v>
      </c>
      <c r="O100" s="139">
        <f>INDEX('CHIRP Payment Calc'!AL:AL,MATCH(F:F,'CHIRP Payment Calc'!C:C,0))</f>
        <v>1.74</v>
      </c>
      <c r="P100" s="136">
        <f t="shared" si="13"/>
        <v>36157934.64835798</v>
      </c>
      <c r="Q100" s="149">
        <f t="shared" si="14"/>
        <v>1445359.1520466076</v>
      </c>
      <c r="R100" s="149">
        <f t="shared" si="15"/>
        <v>795741.24863273569</v>
      </c>
      <c r="S100" s="137">
        <f t="shared" si="16"/>
        <v>2241100.4006793434</v>
      </c>
      <c r="T100" s="137">
        <f t="shared" si="17"/>
        <v>1723516.9956032047</v>
      </c>
      <c r="U100" s="137">
        <f t="shared" si="18"/>
        <v>1214383.3657597902</v>
      </c>
      <c r="V100" s="137">
        <f t="shared" si="19"/>
        <v>23413163.909555189</v>
      </c>
      <c r="W100" s="137">
        <f t="shared" si="20"/>
        <v>12047970.778119138</v>
      </c>
      <c r="X100" s="138">
        <f t="shared" si="21"/>
        <v>38399035.049037322</v>
      </c>
    </row>
    <row r="101" spans="4:24">
      <c r="D101" s="9" t="s">
        <v>300</v>
      </c>
      <c r="E101" s="9" t="s">
        <v>2283</v>
      </c>
      <c r="F101" s="4" t="s">
        <v>558</v>
      </c>
      <c r="G101" s="9" t="s">
        <v>2641</v>
      </c>
      <c r="H101" s="136">
        <v>17573569.872551646</v>
      </c>
      <c r="I101" s="137">
        <v>9474277.3803052381</v>
      </c>
      <c r="J101" s="137">
        <v>1871731.3443131258</v>
      </c>
      <c r="K101" s="137">
        <v>5213393.9134506816</v>
      </c>
      <c r="L101" s="149">
        <f t="shared" si="11"/>
        <v>19445301.216864772</v>
      </c>
      <c r="M101" s="138">
        <f t="shared" si="12"/>
        <v>14687671.293755919</v>
      </c>
      <c r="N101" s="139">
        <f>INDEX('CHIRP Payment Calc'!AM:AM,MATCH(F:F,'CHIRP Payment Calc'!C:C,0))</f>
        <v>0.33</v>
      </c>
      <c r="O101" s="139">
        <f>INDEX('CHIRP Payment Calc'!AL:AL,MATCH(F:F,'CHIRP Payment Calc'!C:C,0))</f>
        <v>1.74</v>
      </c>
      <c r="P101" s="136">
        <f t="shared" si="13"/>
        <v>31973497.452700675</v>
      </c>
      <c r="Q101" s="149">
        <f t="shared" si="14"/>
        <v>1359533.0930835083</v>
      </c>
      <c r="R101" s="149">
        <f t="shared" si="15"/>
        <v>618445.32466133102</v>
      </c>
      <c r="S101" s="137">
        <f t="shared" si="16"/>
        <v>1977978.4177448393</v>
      </c>
      <c r="T101" s="137">
        <f t="shared" si="17"/>
        <v>6153080.167577765</v>
      </c>
      <c r="U101" s="137">
        <f t="shared" si="18"/>
        <v>657097.17406737409</v>
      </c>
      <c r="V101" s="137">
        <f t="shared" si="19"/>
        <v>17490973.6251789</v>
      </c>
      <c r="W101" s="137">
        <f t="shared" si="20"/>
        <v>9650324.9036214761</v>
      </c>
      <c r="X101" s="138">
        <f t="shared" si="21"/>
        <v>33951475.87044552</v>
      </c>
    </row>
    <row r="102" spans="4:24">
      <c r="D102" s="9" t="s">
        <v>300</v>
      </c>
      <c r="E102" s="9" t="s">
        <v>2283</v>
      </c>
      <c r="F102" s="4" t="s">
        <v>259</v>
      </c>
      <c r="G102" s="9" t="s">
        <v>2837</v>
      </c>
      <c r="H102" s="136">
        <v>1120427.4640595384</v>
      </c>
      <c r="I102" s="137">
        <v>592005.93032896821</v>
      </c>
      <c r="J102" s="137">
        <v>203912.28841733703</v>
      </c>
      <c r="K102" s="137">
        <v>282612.2739356099</v>
      </c>
      <c r="L102" s="149">
        <f t="shared" si="11"/>
        <v>1324339.7524768754</v>
      </c>
      <c r="M102" s="138">
        <f t="shared" si="12"/>
        <v>874618.20426457818</v>
      </c>
      <c r="N102" s="139">
        <f>INDEX('CHIRP Payment Calc'!AM:AM,MATCH(F:F,'CHIRP Payment Calc'!C:C,0))</f>
        <v>0.60000000000000009</v>
      </c>
      <c r="O102" s="139">
        <f>INDEX('CHIRP Payment Calc'!AL:AL,MATCH(F:F,'CHIRP Payment Calc'!C:C,0))</f>
        <v>1.74</v>
      </c>
      <c r="P102" s="136">
        <f t="shared" si="13"/>
        <v>2316439.5269064913</v>
      </c>
      <c r="Q102" s="149">
        <f t="shared" si="14"/>
        <v>103856.70115593355</v>
      </c>
      <c r="R102" s="149">
        <f t="shared" si="15"/>
        <v>39197.408278618954</v>
      </c>
      <c r="S102" s="137">
        <f t="shared" si="16"/>
        <v>143054.10943455249</v>
      </c>
      <c r="T102" s="137">
        <f t="shared" si="17"/>
        <v>713269.4731413509</v>
      </c>
      <c r="U102" s="137">
        <f t="shared" si="18"/>
        <v>130156.77984085344</v>
      </c>
      <c r="V102" s="137">
        <f t="shared" si="19"/>
        <v>1092934.0252227106</v>
      </c>
      <c r="W102" s="137">
        <f t="shared" si="20"/>
        <v>523133.35813612904</v>
      </c>
      <c r="X102" s="138">
        <f t="shared" si="21"/>
        <v>2459493.6363410437</v>
      </c>
    </row>
    <row r="103" spans="4:24">
      <c r="D103" s="9" t="s">
        <v>300</v>
      </c>
      <c r="E103" s="9" t="s">
        <v>2283</v>
      </c>
      <c r="F103" s="4" t="s">
        <v>1042</v>
      </c>
      <c r="G103" s="9" t="s">
        <v>2989</v>
      </c>
      <c r="H103" s="136">
        <v>2876281.113157298</v>
      </c>
      <c r="I103" s="137">
        <v>4165241.5721310619</v>
      </c>
      <c r="J103" s="137">
        <v>4770384.9040579498</v>
      </c>
      <c r="K103" s="137">
        <v>16335185.610163294</v>
      </c>
      <c r="L103" s="149">
        <f t="shared" si="11"/>
        <v>7646666.0172152482</v>
      </c>
      <c r="M103" s="138">
        <f t="shared" si="12"/>
        <v>20500427.182294354</v>
      </c>
      <c r="N103" s="139">
        <f>INDEX('CHIRP Payment Calc'!AM:AM,MATCH(F:F,'CHIRP Payment Calc'!C:C,0))</f>
        <v>0.81</v>
      </c>
      <c r="O103" s="139">
        <f>INDEX('CHIRP Payment Calc'!AL:AL,MATCH(F:F,'CHIRP Payment Calc'!C:C,0))</f>
        <v>1.74</v>
      </c>
      <c r="P103" s="136">
        <f t="shared" si="13"/>
        <v>41864542.77113653</v>
      </c>
      <c r="Q103" s="149">
        <f t="shared" si="14"/>
        <v>584292.00226738874</v>
      </c>
      <c r="R103" s="149">
        <f t="shared" si="15"/>
        <v>2060887.3234449623</v>
      </c>
      <c r="S103" s="137">
        <f t="shared" si="16"/>
        <v>2645179.3257123511</v>
      </c>
      <c r="T103" s="137">
        <f t="shared" si="17"/>
        <v>2471923.2908831951</v>
      </c>
      <c r="U103" s="137">
        <f t="shared" si="18"/>
        <v>4110650.8215818508</v>
      </c>
      <c r="V103" s="137">
        <f t="shared" si="19"/>
        <v>7689676.7485496532</v>
      </c>
      <c r="W103" s="137">
        <f t="shared" si="20"/>
        <v>30237471.235834185</v>
      </c>
      <c r="X103" s="138">
        <f t="shared" si="21"/>
        <v>44509722.096848883</v>
      </c>
    </row>
    <row r="104" spans="4:24">
      <c r="D104" s="9" t="s">
        <v>300</v>
      </c>
      <c r="E104" s="9" t="s">
        <v>2283</v>
      </c>
      <c r="F104" s="4" t="s">
        <v>417</v>
      </c>
      <c r="G104" s="9" t="s">
        <v>2990</v>
      </c>
      <c r="H104" s="136">
        <v>105321.62236737444</v>
      </c>
      <c r="I104" s="137">
        <v>0</v>
      </c>
      <c r="J104" s="137">
        <v>91743.35469414675</v>
      </c>
      <c r="K104" s="137">
        <v>88415.631638735649</v>
      </c>
      <c r="L104" s="149">
        <f t="shared" si="11"/>
        <v>197064.9770615212</v>
      </c>
      <c r="M104" s="138">
        <f t="shared" si="12"/>
        <v>88415.631638735649</v>
      </c>
      <c r="N104" s="139">
        <f>INDEX('CHIRP Payment Calc'!AM:AM,MATCH(F:F,'CHIRP Payment Calc'!C:C,0))</f>
        <v>0.96</v>
      </c>
      <c r="O104" s="139">
        <f>INDEX('CHIRP Payment Calc'!AL:AL,MATCH(F:F,'CHIRP Payment Calc'!C:C,0))</f>
        <v>1.74</v>
      </c>
      <c r="P104" s="136">
        <f t="shared" si="13"/>
        <v>343025.57703046035</v>
      </c>
      <c r="Q104" s="149">
        <f t="shared" si="14"/>
        <v>6168.4387848053775</v>
      </c>
      <c r="R104" s="149">
        <f t="shared" si="15"/>
        <v>15441.499120709423</v>
      </c>
      <c r="S104" s="137">
        <f t="shared" si="16"/>
        <v>21609.937905514802</v>
      </c>
      <c r="T104" s="137">
        <f t="shared" si="17"/>
        <v>107277.19625748483</v>
      </c>
      <c r="U104" s="137">
        <f t="shared" si="18"/>
        <v>93695.340964234987</v>
      </c>
      <c r="V104" s="137">
        <f t="shared" si="19"/>
        <v>0</v>
      </c>
      <c r="W104" s="137">
        <f t="shared" si="20"/>
        <v>163662.97771425536</v>
      </c>
      <c r="X104" s="138">
        <f t="shared" si="21"/>
        <v>364635.5149359752</v>
      </c>
    </row>
    <row r="105" spans="4:24">
      <c r="D105" s="9" t="s">
        <v>300</v>
      </c>
      <c r="E105" s="9" t="s">
        <v>2283</v>
      </c>
      <c r="F105" s="4" t="s">
        <v>1457</v>
      </c>
      <c r="G105" s="9" t="s">
        <v>2681</v>
      </c>
      <c r="H105" s="136">
        <v>0</v>
      </c>
      <c r="I105" s="137">
        <v>0</v>
      </c>
      <c r="J105" s="137">
        <v>0</v>
      </c>
      <c r="K105" s="137">
        <v>0</v>
      </c>
      <c r="L105" s="149">
        <f t="shared" si="11"/>
        <v>0</v>
      </c>
      <c r="M105" s="138">
        <f t="shared" si="12"/>
        <v>0</v>
      </c>
      <c r="N105" s="139">
        <f>INDEX('CHIRP Payment Calc'!AM:AM,MATCH(F:F,'CHIRP Payment Calc'!C:C,0))</f>
        <v>0.33</v>
      </c>
      <c r="O105" s="139">
        <f>INDEX('CHIRP Payment Calc'!AL:AL,MATCH(F:F,'CHIRP Payment Calc'!C:C,0))</f>
        <v>1.74</v>
      </c>
      <c r="P105" s="136">
        <f t="shared" si="13"/>
        <v>0</v>
      </c>
      <c r="Q105" s="149">
        <f t="shared" si="14"/>
        <v>0</v>
      </c>
      <c r="R105" s="149">
        <f t="shared" si="15"/>
        <v>0</v>
      </c>
      <c r="S105" s="137">
        <f t="shared" si="16"/>
        <v>0</v>
      </c>
      <c r="T105" s="137">
        <f t="shared" si="17"/>
        <v>0</v>
      </c>
      <c r="U105" s="137">
        <f t="shared" si="18"/>
        <v>0</v>
      </c>
      <c r="V105" s="137">
        <f t="shared" si="19"/>
        <v>0</v>
      </c>
      <c r="W105" s="137">
        <f t="shared" si="20"/>
        <v>0</v>
      </c>
      <c r="X105" s="138">
        <f t="shared" si="21"/>
        <v>0</v>
      </c>
    </row>
    <row r="106" spans="4:24">
      <c r="D106" s="9" t="s">
        <v>300</v>
      </c>
      <c r="E106" s="9" t="s">
        <v>2283</v>
      </c>
      <c r="F106" s="4" t="s">
        <v>739</v>
      </c>
      <c r="G106" s="9" t="s">
        <v>2340</v>
      </c>
      <c r="H106" s="136">
        <v>7414664.2457275912</v>
      </c>
      <c r="I106" s="137">
        <v>10528264.74557779</v>
      </c>
      <c r="J106" s="137">
        <v>10097125.062525528</v>
      </c>
      <c r="K106" s="137">
        <v>9013320.29491188</v>
      </c>
      <c r="L106" s="149">
        <f t="shared" si="11"/>
        <v>17511789.308253117</v>
      </c>
      <c r="M106" s="138">
        <f t="shared" si="12"/>
        <v>19541585.04048967</v>
      </c>
      <c r="N106" s="139">
        <f>INDEX('CHIRP Payment Calc'!AM:AM,MATCH(F:F,'CHIRP Payment Calc'!C:C,0))</f>
        <v>0.33</v>
      </c>
      <c r="O106" s="139">
        <f>INDEX('CHIRP Payment Calc'!AL:AL,MATCH(F:F,'CHIRP Payment Calc'!C:C,0))</f>
        <v>1.74</v>
      </c>
      <c r="P106" s="136">
        <f t="shared" si="13"/>
        <v>39781248.442175552</v>
      </c>
      <c r="Q106" s="149">
        <f t="shared" si="14"/>
        <v>1266892.4582044976</v>
      </c>
      <c r="R106" s="149">
        <f t="shared" si="15"/>
        <v>1213737.9947093679</v>
      </c>
      <c r="S106" s="137">
        <f t="shared" si="16"/>
        <v>2480630.4529138654</v>
      </c>
      <c r="T106" s="137">
        <f t="shared" si="17"/>
        <v>2596115.863225576</v>
      </c>
      <c r="U106" s="137">
        <f t="shared" si="18"/>
        <v>3544735.394290877</v>
      </c>
      <c r="V106" s="137">
        <f t="shared" si="19"/>
        <v>19436796.453374382</v>
      </c>
      <c r="W106" s="137">
        <f t="shared" si="20"/>
        <v>16684231.184198588</v>
      </c>
      <c r="X106" s="138">
        <f t="shared" si="21"/>
        <v>42261878.895089425</v>
      </c>
    </row>
    <row r="107" spans="4:24">
      <c r="D107" s="9" t="s">
        <v>300</v>
      </c>
      <c r="E107" s="9" t="s">
        <v>2283</v>
      </c>
      <c r="F107" s="4" t="s">
        <v>570</v>
      </c>
      <c r="G107" s="9" t="s">
        <v>2651</v>
      </c>
      <c r="H107" s="136">
        <v>7181250.2248108471</v>
      </c>
      <c r="I107" s="137">
        <v>5740645.1812067088</v>
      </c>
      <c r="J107" s="137">
        <v>1330764.1781547342</v>
      </c>
      <c r="K107" s="137">
        <v>3902788.7082982413</v>
      </c>
      <c r="L107" s="149">
        <f t="shared" si="11"/>
        <v>8512014.402965581</v>
      </c>
      <c r="M107" s="138">
        <f t="shared" si="12"/>
        <v>9643433.8895049505</v>
      </c>
      <c r="N107" s="139">
        <f>INDEX('CHIRP Payment Calc'!AM:AM,MATCH(F:F,'CHIRP Payment Calc'!C:C,0))</f>
        <v>0.33</v>
      </c>
      <c r="O107" s="139">
        <f>INDEX('CHIRP Payment Calc'!AL:AL,MATCH(F:F,'CHIRP Payment Calc'!C:C,0))</f>
        <v>1.74</v>
      </c>
      <c r="P107" s="136">
        <f t="shared" si="13"/>
        <v>19588539.720717255</v>
      </c>
      <c r="Q107" s="149">
        <f t="shared" si="14"/>
        <v>753968.99034007126</v>
      </c>
      <c r="R107" s="149">
        <f t="shared" si="15"/>
        <v>461489.65092957468</v>
      </c>
      <c r="S107" s="137">
        <f t="shared" si="16"/>
        <v>1215458.6412696459</v>
      </c>
      <c r="T107" s="137">
        <f t="shared" si="17"/>
        <v>2514389.9991380153</v>
      </c>
      <c r="U107" s="137">
        <f t="shared" si="18"/>
        <v>467183.16892666201</v>
      </c>
      <c r="V107" s="137">
        <f t="shared" si="19"/>
        <v>10598114.180689309</v>
      </c>
      <c r="W107" s="137">
        <f t="shared" si="20"/>
        <v>7224311.0132329157</v>
      </c>
      <c r="X107" s="138">
        <f t="shared" si="21"/>
        <v>20803998.361986902</v>
      </c>
    </row>
    <row r="108" spans="4:24">
      <c r="D108" s="9" t="s">
        <v>300</v>
      </c>
      <c r="E108" s="9" t="s">
        <v>2283</v>
      </c>
      <c r="F108" s="4" t="s">
        <v>1435</v>
      </c>
      <c r="G108" s="9" t="s">
        <v>2650</v>
      </c>
      <c r="H108" s="136">
        <v>0</v>
      </c>
      <c r="I108" s="137">
        <v>0</v>
      </c>
      <c r="J108" s="137">
        <v>0</v>
      </c>
      <c r="K108" s="137">
        <v>0</v>
      </c>
      <c r="L108" s="149">
        <f t="shared" si="11"/>
        <v>0</v>
      </c>
      <c r="M108" s="138">
        <f t="shared" si="12"/>
        <v>0</v>
      </c>
      <c r="N108" s="139">
        <f>INDEX('CHIRP Payment Calc'!AM:AM,MATCH(F:F,'CHIRP Payment Calc'!C:C,0))</f>
        <v>0.33</v>
      </c>
      <c r="O108" s="139">
        <f>INDEX('CHIRP Payment Calc'!AL:AL,MATCH(F:F,'CHIRP Payment Calc'!C:C,0))</f>
        <v>1.74</v>
      </c>
      <c r="P108" s="136">
        <f t="shared" si="13"/>
        <v>0</v>
      </c>
      <c r="Q108" s="149">
        <f t="shared" si="14"/>
        <v>0</v>
      </c>
      <c r="R108" s="149">
        <f t="shared" si="15"/>
        <v>0</v>
      </c>
      <c r="S108" s="137">
        <f t="shared" si="16"/>
        <v>0</v>
      </c>
      <c r="T108" s="137">
        <f t="shared" si="17"/>
        <v>0</v>
      </c>
      <c r="U108" s="137">
        <f t="shared" si="18"/>
        <v>0</v>
      </c>
      <c r="V108" s="137">
        <f t="shared" si="19"/>
        <v>0</v>
      </c>
      <c r="W108" s="137">
        <f t="shared" si="20"/>
        <v>0</v>
      </c>
      <c r="X108" s="138">
        <f t="shared" si="21"/>
        <v>0</v>
      </c>
    </row>
    <row r="109" spans="4:24">
      <c r="D109" s="9" t="s">
        <v>300</v>
      </c>
      <c r="E109" s="9" t="s">
        <v>2283</v>
      </c>
      <c r="F109" s="4" t="s">
        <v>247</v>
      </c>
      <c r="G109" s="9" t="s">
        <v>2810</v>
      </c>
      <c r="H109" s="136">
        <v>4790341.7533928193</v>
      </c>
      <c r="I109" s="137">
        <v>4330586.8997617569</v>
      </c>
      <c r="J109" s="137">
        <v>1064417.9011375071</v>
      </c>
      <c r="K109" s="137">
        <v>1258556.4543702269</v>
      </c>
      <c r="L109" s="149">
        <f t="shared" si="11"/>
        <v>5854759.6545303259</v>
      </c>
      <c r="M109" s="138">
        <f t="shared" si="12"/>
        <v>5589143.3541319836</v>
      </c>
      <c r="N109" s="139">
        <f>INDEX('CHIRP Payment Calc'!AM:AM,MATCH(F:F,'CHIRP Payment Calc'!C:C,0))</f>
        <v>0.49</v>
      </c>
      <c r="O109" s="139">
        <f>INDEX('CHIRP Payment Calc'!AL:AL,MATCH(F:F,'CHIRP Payment Calc'!C:C,0))</f>
        <v>1.74</v>
      </c>
      <c r="P109" s="136">
        <f t="shared" si="13"/>
        <v>12593941.666909512</v>
      </c>
      <c r="Q109" s="149">
        <f t="shared" si="14"/>
        <v>602910.44904297765</v>
      </c>
      <c r="R109" s="149">
        <f t="shared" si="15"/>
        <v>173071.46822307917</v>
      </c>
      <c r="S109" s="137">
        <f t="shared" si="16"/>
        <v>775981.91726605687</v>
      </c>
      <c r="T109" s="137">
        <f t="shared" si="17"/>
        <v>2490469.452692288</v>
      </c>
      <c r="U109" s="137">
        <f t="shared" si="18"/>
        <v>554856.13995465799</v>
      </c>
      <c r="V109" s="137">
        <f t="shared" si="19"/>
        <v>7994929.6610986274</v>
      </c>
      <c r="W109" s="137">
        <f t="shared" si="20"/>
        <v>2329668.3304299945</v>
      </c>
      <c r="X109" s="138">
        <f t="shared" si="21"/>
        <v>13369923.584175568</v>
      </c>
    </row>
    <row r="110" spans="4:24">
      <c r="D110" s="9" t="s">
        <v>300</v>
      </c>
      <c r="E110" s="9" t="s">
        <v>2283</v>
      </c>
      <c r="F110" s="4" t="s">
        <v>244</v>
      </c>
      <c r="G110" s="9" t="s">
        <v>2812</v>
      </c>
      <c r="H110" s="136">
        <v>5023079.1017103847</v>
      </c>
      <c r="I110" s="137">
        <v>4334738.7811691035</v>
      </c>
      <c r="J110" s="137">
        <v>2973677.6624327423</v>
      </c>
      <c r="K110" s="137">
        <v>4908957.0558278887</v>
      </c>
      <c r="L110" s="149">
        <f t="shared" si="11"/>
        <v>7996756.764143127</v>
      </c>
      <c r="M110" s="138">
        <f t="shared" si="12"/>
        <v>9243695.8369969912</v>
      </c>
      <c r="N110" s="139">
        <f>INDEX('CHIRP Payment Calc'!AM:AM,MATCH(F:F,'CHIRP Payment Calc'!C:C,0))</f>
        <v>0.78</v>
      </c>
      <c r="O110" s="139">
        <f>INDEX('CHIRP Payment Calc'!AL:AL,MATCH(F:F,'CHIRP Payment Calc'!C:C,0))</f>
        <v>1.74</v>
      </c>
      <c r="P110" s="136">
        <f t="shared" si="13"/>
        <v>22321501.032406405</v>
      </c>
      <c r="Q110" s="149">
        <f t="shared" si="14"/>
        <v>699178.47508507117</v>
      </c>
      <c r="R110" s="149">
        <f t="shared" si="15"/>
        <v>693258.75662796176</v>
      </c>
      <c r="S110" s="137">
        <f t="shared" si="16"/>
        <v>1392437.2317130328</v>
      </c>
      <c r="T110" s="137">
        <f t="shared" si="17"/>
        <v>4157030.9807258355</v>
      </c>
      <c r="U110" s="137">
        <f t="shared" si="18"/>
        <v>2467519.7624441907</v>
      </c>
      <c r="V110" s="137">
        <f t="shared" si="19"/>
        <v>8002594.6729275761</v>
      </c>
      <c r="W110" s="137">
        <f t="shared" si="20"/>
        <v>9086792.848021837</v>
      </c>
      <c r="X110" s="138">
        <f t="shared" si="21"/>
        <v>23713938.264119439</v>
      </c>
    </row>
    <row r="111" spans="4:24">
      <c r="D111" s="9" t="s">
        <v>300</v>
      </c>
      <c r="E111" s="9" t="s">
        <v>2283</v>
      </c>
      <c r="F111" s="4" t="s">
        <v>1441</v>
      </c>
      <c r="G111" s="9" t="s">
        <v>2616</v>
      </c>
      <c r="H111" s="136">
        <v>0</v>
      </c>
      <c r="I111" s="137">
        <v>254229.20598313623</v>
      </c>
      <c r="J111" s="137">
        <v>0</v>
      </c>
      <c r="K111" s="137">
        <v>0</v>
      </c>
      <c r="L111" s="149">
        <f t="shared" si="11"/>
        <v>0</v>
      </c>
      <c r="M111" s="138">
        <f t="shared" si="12"/>
        <v>254229.20598313623</v>
      </c>
      <c r="N111" s="139">
        <f>INDEX('CHIRP Payment Calc'!AM:AM,MATCH(F:F,'CHIRP Payment Calc'!C:C,0))</f>
        <v>0.33</v>
      </c>
      <c r="O111" s="139">
        <f>INDEX('CHIRP Payment Calc'!AL:AL,MATCH(F:F,'CHIRP Payment Calc'!C:C,0))</f>
        <v>1.74</v>
      </c>
      <c r="P111" s="136">
        <f t="shared" si="13"/>
        <v>442358.81841065706</v>
      </c>
      <c r="Q111" s="149">
        <f t="shared" si="14"/>
        <v>26987.408019748305</v>
      </c>
      <c r="R111" s="149">
        <f t="shared" si="15"/>
        <v>0</v>
      </c>
      <c r="S111" s="137">
        <f t="shared" si="16"/>
        <v>26987.408019748305</v>
      </c>
      <c r="T111" s="137">
        <f t="shared" si="17"/>
        <v>0</v>
      </c>
      <c r="U111" s="137">
        <f t="shared" si="18"/>
        <v>0</v>
      </c>
      <c r="V111" s="137">
        <f t="shared" si="19"/>
        <v>469346.22643040528</v>
      </c>
      <c r="W111" s="137">
        <f t="shared" si="20"/>
        <v>0</v>
      </c>
      <c r="X111" s="138">
        <f t="shared" si="21"/>
        <v>469346.22643040528</v>
      </c>
    </row>
    <row r="112" spans="4:24">
      <c r="D112" s="9" t="s">
        <v>300</v>
      </c>
      <c r="E112" s="9" t="s">
        <v>2283</v>
      </c>
      <c r="F112" s="4" t="s">
        <v>1454</v>
      </c>
      <c r="G112" s="9" t="s">
        <v>2680</v>
      </c>
      <c r="H112" s="136">
        <v>0</v>
      </c>
      <c r="I112" s="137">
        <v>0</v>
      </c>
      <c r="J112" s="137">
        <v>0</v>
      </c>
      <c r="K112" s="137">
        <v>0</v>
      </c>
      <c r="L112" s="149">
        <f t="shared" si="11"/>
        <v>0</v>
      </c>
      <c r="M112" s="138">
        <f t="shared" si="12"/>
        <v>0</v>
      </c>
      <c r="N112" s="139">
        <f>INDEX('CHIRP Payment Calc'!AM:AM,MATCH(F:F,'CHIRP Payment Calc'!C:C,0))</f>
        <v>0.33</v>
      </c>
      <c r="O112" s="139">
        <f>INDEX('CHIRP Payment Calc'!AL:AL,MATCH(F:F,'CHIRP Payment Calc'!C:C,0))</f>
        <v>1.74</v>
      </c>
      <c r="P112" s="136">
        <f t="shared" si="13"/>
        <v>0</v>
      </c>
      <c r="Q112" s="149">
        <f t="shared" si="14"/>
        <v>0</v>
      </c>
      <c r="R112" s="149">
        <f t="shared" si="15"/>
        <v>0</v>
      </c>
      <c r="S112" s="137">
        <f t="shared" si="16"/>
        <v>0</v>
      </c>
      <c r="T112" s="137">
        <f t="shared" si="17"/>
        <v>0</v>
      </c>
      <c r="U112" s="137">
        <f t="shared" si="18"/>
        <v>0</v>
      </c>
      <c r="V112" s="137">
        <f t="shared" si="19"/>
        <v>0</v>
      </c>
      <c r="W112" s="137">
        <f t="shared" si="20"/>
        <v>0</v>
      </c>
      <c r="X112" s="138">
        <f t="shared" si="21"/>
        <v>0</v>
      </c>
    </row>
    <row r="113" spans="4:24">
      <c r="D113" s="9" t="s">
        <v>300</v>
      </c>
      <c r="E113" s="9" t="s">
        <v>2283</v>
      </c>
      <c r="F113" s="4" t="s">
        <v>420</v>
      </c>
      <c r="G113" s="9" t="s">
        <v>2991</v>
      </c>
      <c r="H113" s="136">
        <v>113596.76252714537</v>
      </c>
      <c r="I113" s="137">
        <v>87681.377300929555</v>
      </c>
      <c r="J113" s="137">
        <v>154443.98139929591</v>
      </c>
      <c r="K113" s="137">
        <v>611791.76354325109</v>
      </c>
      <c r="L113" s="149">
        <f t="shared" si="11"/>
        <v>268040.7439264413</v>
      </c>
      <c r="M113" s="138">
        <f t="shared" si="12"/>
        <v>699473.1408441806</v>
      </c>
      <c r="N113" s="139">
        <f>INDEX('CHIRP Payment Calc'!AM:AM,MATCH(F:F,'CHIRP Payment Calc'!C:C,0))</f>
        <v>1.57</v>
      </c>
      <c r="O113" s="139">
        <f>INDEX('CHIRP Payment Calc'!AL:AL,MATCH(F:F,'CHIRP Payment Calc'!C:C,0))</f>
        <v>1.74</v>
      </c>
      <c r="P113" s="136">
        <f t="shared" si="13"/>
        <v>1637907.233033387</v>
      </c>
      <c r="Q113" s="149">
        <f t="shared" si="14"/>
        <v>20188.296590022339</v>
      </c>
      <c r="R113" s="149">
        <f t="shared" si="15"/>
        <v>83425.194852903296</v>
      </c>
      <c r="S113" s="137">
        <f t="shared" si="16"/>
        <v>103613.49144292563</v>
      </c>
      <c r="T113" s="137">
        <f t="shared" si="17"/>
        <v>189227.49832108038</v>
      </c>
      <c r="U113" s="137">
        <f t="shared" si="18"/>
        <v>257954.30935839852</v>
      </c>
      <c r="V113" s="137">
        <f t="shared" si="19"/>
        <v>161873.31194017763</v>
      </c>
      <c r="W113" s="137">
        <f t="shared" si="20"/>
        <v>1132465.6048566564</v>
      </c>
      <c r="X113" s="138">
        <f t="shared" si="21"/>
        <v>1741520.724476313</v>
      </c>
    </row>
    <row r="114" spans="4:24">
      <c r="D114" s="9" t="s">
        <v>300</v>
      </c>
      <c r="E114" s="9" t="s">
        <v>2283</v>
      </c>
      <c r="F114" s="4" t="s">
        <v>1429</v>
      </c>
      <c r="G114" s="9" t="s">
        <v>2687</v>
      </c>
      <c r="H114" s="136">
        <v>0</v>
      </c>
      <c r="I114" s="137">
        <v>0</v>
      </c>
      <c r="J114" s="137">
        <v>0</v>
      </c>
      <c r="K114" s="137">
        <v>0</v>
      </c>
      <c r="L114" s="149">
        <f t="shared" si="11"/>
        <v>0</v>
      </c>
      <c r="M114" s="138">
        <f t="shared" si="12"/>
        <v>0</v>
      </c>
      <c r="N114" s="139">
        <f>INDEX('CHIRP Payment Calc'!AM:AM,MATCH(F:F,'CHIRP Payment Calc'!C:C,0))</f>
        <v>0.33</v>
      </c>
      <c r="O114" s="139">
        <f>INDEX('CHIRP Payment Calc'!AL:AL,MATCH(F:F,'CHIRP Payment Calc'!C:C,0))</f>
        <v>1.74</v>
      </c>
      <c r="P114" s="136">
        <f t="shared" si="13"/>
        <v>0</v>
      </c>
      <c r="Q114" s="149">
        <f t="shared" si="14"/>
        <v>0</v>
      </c>
      <c r="R114" s="149">
        <f t="shared" si="15"/>
        <v>0</v>
      </c>
      <c r="S114" s="137">
        <f t="shared" si="16"/>
        <v>0</v>
      </c>
      <c r="T114" s="137">
        <f t="shared" si="17"/>
        <v>0</v>
      </c>
      <c r="U114" s="137">
        <f t="shared" si="18"/>
        <v>0</v>
      </c>
      <c r="V114" s="137">
        <f t="shared" si="19"/>
        <v>0</v>
      </c>
      <c r="W114" s="137">
        <f t="shared" si="20"/>
        <v>0</v>
      </c>
      <c r="X114" s="138">
        <f t="shared" si="21"/>
        <v>0</v>
      </c>
    </row>
    <row r="115" spans="4:24">
      <c r="D115" s="9" t="s">
        <v>300</v>
      </c>
      <c r="E115" s="9" t="s">
        <v>2283</v>
      </c>
      <c r="F115" s="4" t="s">
        <v>274</v>
      </c>
      <c r="G115" s="9" t="s">
        <v>2831</v>
      </c>
      <c r="H115" s="136">
        <v>830168.67886399466</v>
      </c>
      <c r="I115" s="137">
        <v>1484598.9288065117</v>
      </c>
      <c r="J115" s="137">
        <v>228681.88319024144</v>
      </c>
      <c r="K115" s="137">
        <v>531753.04411865701</v>
      </c>
      <c r="L115" s="149">
        <f t="shared" si="11"/>
        <v>1058850.5620542362</v>
      </c>
      <c r="M115" s="138">
        <f t="shared" si="12"/>
        <v>2016351.9729251687</v>
      </c>
      <c r="N115" s="139">
        <f>INDEX('CHIRP Payment Calc'!AM:AM,MATCH(F:F,'CHIRP Payment Calc'!C:C,0))</f>
        <v>1.99</v>
      </c>
      <c r="O115" s="139">
        <f>INDEX('CHIRP Payment Calc'!AL:AL,MATCH(F:F,'CHIRP Payment Calc'!C:C,0))</f>
        <v>1.74</v>
      </c>
      <c r="P115" s="136">
        <f t="shared" si="13"/>
        <v>5615565.051377723</v>
      </c>
      <c r="Q115" s="149">
        <f t="shared" si="14"/>
        <v>258383.20838843938</v>
      </c>
      <c r="R115" s="149">
        <f t="shared" si="15"/>
        <v>88105.994317981531</v>
      </c>
      <c r="S115" s="137">
        <f t="shared" si="16"/>
        <v>346489.20270642091</v>
      </c>
      <c r="T115" s="137">
        <f t="shared" si="17"/>
        <v>1752822.9930390974</v>
      </c>
      <c r="U115" s="137">
        <f t="shared" si="18"/>
        <v>484124.41228572396</v>
      </c>
      <c r="V115" s="137">
        <f t="shared" si="19"/>
        <v>2740798.0224120216</v>
      </c>
      <c r="W115" s="137">
        <f t="shared" si="20"/>
        <v>984308.82634730136</v>
      </c>
      <c r="X115" s="138">
        <f t="shared" si="21"/>
        <v>5962054.2540841447</v>
      </c>
    </row>
    <row r="116" spans="4:24">
      <c r="D116" s="9" t="s">
        <v>300</v>
      </c>
      <c r="E116" s="9" t="s">
        <v>2283</v>
      </c>
      <c r="F116" s="4" t="s">
        <v>1451</v>
      </c>
      <c r="G116" s="9" t="s">
        <v>2677</v>
      </c>
      <c r="H116" s="136">
        <v>0</v>
      </c>
      <c r="I116" s="137">
        <v>0</v>
      </c>
      <c r="J116" s="137">
        <v>0</v>
      </c>
      <c r="K116" s="137">
        <v>0</v>
      </c>
      <c r="L116" s="149">
        <f t="shared" si="11"/>
        <v>0</v>
      </c>
      <c r="M116" s="138">
        <f t="shared" si="12"/>
        <v>0</v>
      </c>
      <c r="N116" s="139">
        <f>INDEX('CHIRP Payment Calc'!AM:AM,MATCH(F:F,'CHIRP Payment Calc'!C:C,0))</f>
        <v>0.33</v>
      </c>
      <c r="O116" s="139">
        <f>INDEX('CHIRP Payment Calc'!AL:AL,MATCH(F:F,'CHIRP Payment Calc'!C:C,0))</f>
        <v>1.74</v>
      </c>
      <c r="P116" s="136">
        <f t="shared" si="13"/>
        <v>0</v>
      </c>
      <c r="Q116" s="149">
        <f t="shared" si="14"/>
        <v>0</v>
      </c>
      <c r="R116" s="149">
        <f t="shared" si="15"/>
        <v>0</v>
      </c>
      <c r="S116" s="137">
        <f t="shared" si="16"/>
        <v>0</v>
      </c>
      <c r="T116" s="137">
        <f t="shared" si="17"/>
        <v>0</v>
      </c>
      <c r="U116" s="137">
        <f t="shared" si="18"/>
        <v>0</v>
      </c>
      <c r="V116" s="137">
        <f t="shared" si="19"/>
        <v>0</v>
      </c>
      <c r="W116" s="137">
        <f t="shared" si="20"/>
        <v>0</v>
      </c>
      <c r="X116" s="138">
        <f t="shared" si="21"/>
        <v>0</v>
      </c>
    </row>
    <row r="117" spans="4:24">
      <c r="D117" s="9" t="s">
        <v>300</v>
      </c>
      <c r="E117" s="9" t="s">
        <v>2283</v>
      </c>
      <c r="F117" s="4" t="s">
        <v>1138</v>
      </c>
      <c r="G117" s="9" t="s">
        <v>2835</v>
      </c>
      <c r="H117" s="136">
        <v>5780695.8922617463</v>
      </c>
      <c r="I117" s="137">
        <v>5675164.3718571011</v>
      </c>
      <c r="J117" s="137">
        <v>1957595.1742205187</v>
      </c>
      <c r="K117" s="137">
        <v>5570214.79618767</v>
      </c>
      <c r="L117" s="149">
        <f t="shared" si="11"/>
        <v>7738291.0664822645</v>
      </c>
      <c r="M117" s="138">
        <f t="shared" si="12"/>
        <v>11245379.168044772</v>
      </c>
      <c r="N117" s="139">
        <f>INDEX('CHIRP Payment Calc'!AM:AM,MATCH(F:F,'CHIRP Payment Calc'!C:C,0))</f>
        <v>0.56000000000000005</v>
      </c>
      <c r="O117" s="139">
        <f>INDEX('CHIRP Payment Calc'!AL:AL,MATCH(F:F,'CHIRP Payment Calc'!C:C,0))</f>
        <v>1.74</v>
      </c>
      <c r="P117" s="136">
        <f t="shared" si="13"/>
        <v>23900402.74962797</v>
      </c>
      <c r="Q117" s="149">
        <f t="shared" si="14"/>
        <v>799934.85743780492</v>
      </c>
      <c r="R117" s="149">
        <f t="shared" si="15"/>
        <v>688623.00274021504</v>
      </c>
      <c r="S117" s="137">
        <f t="shared" si="16"/>
        <v>1488557.8601780199</v>
      </c>
      <c r="T117" s="137">
        <f t="shared" si="17"/>
        <v>3434684.0314764758</v>
      </c>
      <c r="U117" s="137">
        <f t="shared" si="18"/>
        <v>1166226.9123015858</v>
      </c>
      <c r="V117" s="137">
        <f t="shared" si="19"/>
        <v>10477226.532659262</v>
      </c>
      <c r="W117" s="137">
        <f t="shared" si="20"/>
        <v>10310823.133368665</v>
      </c>
      <c r="X117" s="138">
        <f t="shared" si="21"/>
        <v>25388960.609805986</v>
      </c>
    </row>
    <row r="118" spans="4:24">
      <c r="D118" s="9" t="s">
        <v>300</v>
      </c>
      <c r="E118" s="9" t="s">
        <v>2283</v>
      </c>
      <c r="F118" s="4" t="s">
        <v>567</v>
      </c>
      <c r="G118" s="9" t="s">
        <v>2871</v>
      </c>
      <c r="H118" s="136">
        <v>941639.70207947097</v>
      </c>
      <c r="I118" s="137">
        <v>169098.97597094433</v>
      </c>
      <c r="J118" s="137">
        <v>423040.71707884979</v>
      </c>
      <c r="K118" s="137">
        <v>1046203.1147652159</v>
      </c>
      <c r="L118" s="149">
        <f t="shared" si="11"/>
        <v>1364680.4191583209</v>
      </c>
      <c r="M118" s="138">
        <f t="shared" si="12"/>
        <v>1215302.0907361603</v>
      </c>
      <c r="N118" s="139">
        <f>INDEX('CHIRP Payment Calc'!AM:AM,MATCH(F:F,'CHIRP Payment Calc'!C:C,0))</f>
        <v>0.57000000000000006</v>
      </c>
      <c r="O118" s="139">
        <f>INDEX('CHIRP Payment Calc'!AL:AL,MATCH(F:F,'CHIRP Payment Calc'!C:C,0))</f>
        <v>1.74</v>
      </c>
      <c r="P118" s="136">
        <f t="shared" si="13"/>
        <v>2892493.4768011621</v>
      </c>
      <c r="Q118" s="149">
        <f t="shared" si="14"/>
        <v>50695.590219148697</v>
      </c>
      <c r="R118" s="149">
        <f t="shared" si="15"/>
        <v>131586.80606977153</v>
      </c>
      <c r="S118" s="137">
        <f t="shared" si="16"/>
        <v>182282.39628892022</v>
      </c>
      <c r="T118" s="137">
        <f t="shared" si="17"/>
        <v>569479.71372445463</v>
      </c>
      <c r="U118" s="137">
        <f t="shared" si="18"/>
        <v>256524.69014355791</v>
      </c>
      <c r="V118" s="137">
        <f t="shared" si="19"/>
        <v>312182.72486943571</v>
      </c>
      <c r="W118" s="137">
        <f t="shared" si="20"/>
        <v>1936588.7443526338</v>
      </c>
      <c r="X118" s="138">
        <f t="shared" si="21"/>
        <v>3074775.8730900818</v>
      </c>
    </row>
    <row r="119" spans="4:24">
      <c r="D119" s="9" t="s">
        <v>300</v>
      </c>
      <c r="E119" s="9" t="s">
        <v>2283</v>
      </c>
      <c r="F119" s="4" t="s">
        <v>411</v>
      </c>
      <c r="G119" s="9" t="s">
        <v>2992</v>
      </c>
      <c r="H119" s="136">
        <v>1081346.1868683414</v>
      </c>
      <c r="I119" s="137">
        <v>1919777.3872008938</v>
      </c>
      <c r="J119" s="137">
        <v>457239.31885532255</v>
      </c>
      <c r="K119" s="137">
        <v>1082247.7512973822</v>
      </c>
      <c r="L119" s="149">
        <f t="shared" si="11"/>
        <v>1538585.5057236641</v>
      </c>
      <c r="M119" s="138">
        <f t="shared" si="12"/>
        <v>3002025.138498276</v>
      </c>
      <c r="N119" s="139">
        <f>INDEX('CHIRP Payment Calc'!AM:AM,MATCH(F:F,'CHIRP Payment Calc'!C:C,0))</f>
        <v>0.49</v>
      </c>
      <c r="O119" s="139">
        <f>INDEX('CHIRP Payment Calc'!AL:AL,MATCH(F:F,'CHIRP Payment Calc'!C:C,0))</f>
        <v>1.74</v>
      </c>
      <c r="P119" s="136">
        <f t="shared" si="13"/>
        <v>5977430.6387915956</v>
      </c>
      <c r="Q119" s="149">
        <f t="shared" si="14"/>
        <v>236117.40732569224</v>
      </c>
      <c r="R119" s="149">
        <f t="shared" si="15"/>
        <v>134499.46937212042</v>
      </c>
      <c r="S119" s="137">
        <f t="shared" si="16"/>
        <v>370616.8766978127</v>
      </c>
      <c r="T119" s="137">
        <f t="shared" si="17"/>
        <v>562185.28548062313</v>
      </c>
      <c r="U119" s="137">
        <f t="shared" si="18"/>
        <v>238348.15557351921</v>
      </c>
      <c r="V119" s="137">
        <f t="shared" si="19"/>
        <v>3544204.4071401116</v>
      </c>
      <c r="W119" s="137">
        <f t="shared" si="20"/>
        <v>2003309.6672951544</v>
      </c>
      <c r="X119" s="138">
        <f t="shared" si="21"/>
        <v>6348047.5154894078</v>
      </c>
    </row>
    <row r="120" spans="4:24">
      <c r="D120" s="9" t="s">
        <v>300</v>
      </c>
      <c r="E120" s="9" t="s">
        <v>2283</v>
      </c>
      <c r="F120" s="4" t="s">
        <v>1048</v>
      </c>
      <c r="G120" s="9" t="s">
        <v>2685</v>
      </c>
      <c r="H120" s="136">
        <v>4734473.7175374171</v>
      </c>
      <c r="I120" s="137">
        <v>2035927.8559916685</v>
      </c>
      <c r="J120" s="137">
        <v>990531.63460715686</v>
      </c>
      <c r="K120" s="137">
        <v>1043283.6432637107</v>
      </c>
      <c r="L120" s="149">
        <f t="shared" si="11"/>
        <v>5725005.3521445738</v>
      </c>
      <c r="M120" s="138">
        <f t="shared" si="12"/>
        <v>3079211.4992553792</v>
      </c>
      <c r="N120" s="139">
        <f>INDEX('CHIRP Payment Calc'!AM:AM,MATCH(F:F,'CHIRP Payment Calc'!C:C,0))</f>
        <v>0.47000000000000003</v>
      </c>
      <c r="O120" s="139">
        <f>INDEX('CHIRP Payment Calc'!AL:AL,MATCH(F:F,'CHIRP Payment Calc'!C:C,0))</f>
        <v>1.74</v>
      </c>
      <c r="P120" s="136">
        <f t="shared" si="13"/>
        <v>8048580.5242123101</v>
      </c>
      <c r="Q120" s="149">
        <f t="shared" si="14"/>
        <v>351876.64106993651</v>
      </c>
      <c r="R120" s="149">
        <f t="shared" si="15"/>
        <v>145587.02601346088</v>
      </c>
      <c r="S120" s="137">
        <f t="shared" si="16"/>
        <v>497463.66708339739</v>
      </c>
      <c r="T120" s="137">
        <f t="shared" si="17"/>
        <v>2360957.7159072533</v>
      </c>
      <c r="U120" s="137">
        <f t="shared" si="18"/>
        <v>495265.81730357849</v>
      </c>
      <c r="V120" s="137">
        <f t="shared" si="19"/>
        <v>3758636.0418307725</v>
      </c>
      <c r="W120" s="137">
        <f t="shared" si="20"/>
        <v>1931184.6162541029</v>
      </c>
      <c r="X120" s="138">
        <f t="shared" si="21"/>
        <v>8546044.1912957076</v>
      </c>
    </row>
    <row r="121" spans="4:24">
      <c r="D121" s="9" t="s">
        <v>300</v>
      </c>
      <c r="E121" s="9" t="s">
        <v>2283</v>
      </c>
      <c r="F121" s="4" t="s">
        <v>1611</v>
      </c>
      <c r="G121" s="9" t="s">
        <v>2993</v>
      </c>
      <c r="H121" s="136">
        <v>1382184.2428443036</v>
      </c>
      <c r="I121" s="137">
        <v>2282898.7236066312</v>
      </c>
      <c r="J121" s="137">
        <v>416826.14407588716</v>
      </c>
      <c r="K121" s="137">
        <v>925422.77224599977</v>
      </c>
      <c r="L121" s="149">
        <f t="shared" si="11"/>
        <v>1799010.3869201909</v>
      </c>
      <c r="M121" s="138">
        <f t="shared" si="12"/>
        <v>3208321.4958526311</v>
      </c>
      <c r="N121" s="139">
        <f>INDEX('CHIRP Payment Calc'!AM:AM,MATCH(F:F,'CHIRP Payment Calc'!C:C,0))</f>
        <v>0.54</v>
      </c>
      <c r="O121" s="139">
        <f>INDEX('CHIRP Payment Calc'!AL:AL,MATCH(F:F,'CHIRP Payment Calc'!C:C,0))</f>
        <v>1.74</v>
      </c>
      <c r="P121" s="136">
        <f t="shared" si="13"/>
        <v>6553945.0117204813</v>
      </c>
      <c r="Q121" s="149">
        <f t="shared" si="14"/>
        <v>287873.56820918736</v>
      </c>
      <c r="R121" s="149">
        <f t="shared" si="15"/>
        <v>117148.19626653312</v>
      </c>
      <c r="S121" s="137">
        <f t="shared" si="16"/>
        <v>405021.76447572047</v>
      </c>
      <c r="T121" s="137">
        <f t="shared" si="17"/>
        <v>791914.57945456123</v>
      </c>
      <c r="U121" s="137">
        <f t="shared" si="18"/>
        <v>239453.31680955223</v>
      </c>
      <c r="V121" s="137">
        <f t="shared" si="19"/>
        <v>4214582.2589660883</v>
      </c>
      <c r="W121" s="137">
        <f t="shared" si="20"/>
        <v>1713016.6209659996</v>
      </c>
      <c r="X121" s="138">
        <f t="shared" si="21"/>
        <v>6958966.7761962013</v>
      </c>
    </row>
    <row r="122" spans="4:24">
      <c r="D122" s="9" t="s">
        <v>300</v>
      </c>
      <c r="E122" s="9" t="s">
        <v>2283</v>
      </c>
      <c r="F122" s="4" t="s">
        <v>1663</v>
      </c>
      <c r="G122" s="9" t="s">
        <v>2813</v>
      </c>
      <c r="H122" s="136">
        <v>332831.84603017283</v>
      </c>
      <c r="I122" s="137">
        <v>100334.17757410753</v>
      </c>
      <c r="J122" s="137">
        <v>994098.61300510471</v>
      </c>
      <c r="K122" s="137">
        <v>52026.375157766175</v>
      </c>
      <c r="L122" s="149">
        <f t="shared" si="11"/>
        <v>1326930.4590352776</v>
      </c>
      <c r="M122" s="138">
        <f t="shared" si="12"/>
        <v>152360.5527318737</v>
      </c>
      <c r="N122" s="139">
        <f>INDEX('CHIRP Payment Calc'!AM:AM,MATCH(F:F,'CHIRP Payment Calc'!C:C,0))</f>
        <v>0.33</v>
      </c>
      <c r="O122" s="139">
        <f>INDEX('CHIRP Payment Calc'!AL:AL,MATCH(F:F,'CHIRP Payment Calc'!C:C,0))</f>
        <v>1.74</v>
      </c>
      <c r="P122" s="136">
        <f t="shared" si="13"/>
        <v>702994.41323510185</v>
      </c>
      <c r="Q122" s="149">
        <f t="shared" si="14"/>
        <v>17351.63792542386</v>
      </c>
      <c r="R122" s="149">
        <f t="shared" si="15"/>
        <v>26717.772451033899</v>
      </c>
      <c r="S122" s="137">
        <f t="shared" si="16"/>
        <v>44069.410376457759</v>
      </c>
      <c r="T122" s="137">
        <f t="shared" si="17"/>
        <v>116535.28826520641</v>
      </c>
      <c r="U122" s="137">
        <f t="shared" si="18"/>
        <v>348992.06626774959</v>
      </c>
      <c r="V122" s="137">
        <f t="shared" si="19"/>
        <v>185232.32782912158</v>
      </c>
      <c r="W122" s="137">
        <f t="shared" si="20"/>
        <v>96304.141249482069</v>
      </c>
      <c r="X122" s="138">
        <f t="shared" si="21"/>
        <v>747063.8236115597</v>
      </c>
    </row>
    <row r="123" spans="4:24">
      <c r="D123" s="9" t="s">
        <v>300</v>
      </c>
      <c r="E123" s="9" t="s">
        <v>2283</v>
      </c>
      <c r="F123" s="4" t="s">
        <v>14</v>
      </c>
      <c r="G123" s="9" t="s">
        <v>2808</v>
      </c>
      <c r="H123" s="136">
        <v>21232002.537347678</v>
      </c>
      <c r="I123" s="137">
        <v>32368104.188674219</v>
      </c>
      <c r="J123" s="137">
        <v>11237376.197174333</v>
      </c>
      <c r="K123" s="137">
        <v>25852877.904903334</v>
      </c>
      <c r="L123" s="149">
        <f t="shared" si="11"/>
        <v>32469378.734522011</v>
      </c>
      <c r="M123" s="138">
        <f t="shared" si="12"/>
        <v>58220982.093577549</v>
      </c>
      <c r="N123" s="139">
        <f>INDEX('CHIRP Payment Calc'!AM:AM,MATCH(F:F,'CHIRP Payment Calc'!C:C,0))</f>
        <v>0.51</v>
      </c>
      <c r="O123" s="139">
        <f>INDEX('CHIRP Payment Calc'!AL:AL,MATCH(F:F,'CHIRP Payment Calc'!C:C,0))</f>
        <v>1.74</v>
      </c>
      <c r="P123" s="136">
        <f t="shared" si="13"/>
        <v>117863891.99743116</v>
      </c>
      <c r="Q123" s="149">
        <f t="shared" si="14"/>
        <v>4096612.5182860228</v>
      </c>
      <c r="R123" s="149">
        <f t="shared" si="15"/>
        <v>3237132.0903249397</v>
      </c>
      <c r="S123" s="137">
        <f t="shared" si="16"/>
        <v>7333744.6086109625</v>
      </c>
      <c r="T123" s="137">
        <f t="shared" si="17"/>
        <v>11488935.059997151</v>
      </c>
      <c r="U123" s="137">
        <f t="shared" si="18"/>
        <v>6096874.3197435215</v>
      </c>
      <c r="V123" s="137">
        <f t="shared" si="19"/>
        <v>59756500.040629327</v>
      </c>
      <c r="W123" s="137">
        <f t="shared" si="20"/>
        <v>47855327.185672134</v>
      </c>
      <c r="X123" s="138">
        <f t="shared" si="21"/>
        <v>125197636.60604213</v>
      </c>
    </row>
    <row r="124" spans="4:24">
      <c r="D124" s="9" t="s">
        <v>300</v>
      </c>
      <c r="E124" s="9" t="s">
        <v>2283</v>
      </c>
      <c r="F124" s="4" t="s">
        <v>839</v>
      </c>
      <c r="G124" s="9" t="s">
        <v>2809</v>
      </c>
      <c r="H124" s="136">
        <v>4621225.3579610018</v>
      </c>
      <c r="I124" s="137">
        <v>6160932.1498837592</v>
      </c>
      <c r="J124" s="137">
        <v>2173505.3069848903</v>
      </c>
      <c r="K124" s="137">
        <v>3798246.7276455103</v>
      </c>
      <c r="L124" s="149">
        <f t="shared" si="11"/>
        <v>6794730.6649458921</v>
      </c>
      <c r="M124" s="138">
        <f t="shared" si="12"/>
        <v>9959178.8775292691</v>
      </c>
      <c r="N124" s="139">
        <f>INDEX('CHIRP Payment Calc'!AM:AM,MATCH(F:F,'CHIRP Payment Calc'!C:C,0))</f>
        <v>0.51</v>
      </c>
      <c r="O124" s="139">
        <f>INDEX('CHIRP Payment Calc'!AL:AL,MATCH(F:F,'CHIRP Payment Calc'!C:C,0))</f>
        <v>1.74</v>
      </c>
      <c r="P124" s="136">
        <f t="shared" si="13"/>
        <v>20794283.886023331</v>
      </c>
      <c r="Q124" s="149">
        <f t="shared" si="14"/>
        <v>797791.71906427213</v>
      </c>
      <c r="R124" s="149">
        <f t="shared" si="15"/>
        <v>492602.36251056276</v>
      </c>
      <c r="S124" s="137">
        <f t="shared" si="16"/>
        <v>1290394.0815748349</v>
      </c>
      <c r="T124" s="137">
        <f t="shared" si="17"/>
        <v>2500610.0080213379</v>
      </c>
      <c r="U124" s="137">
        <f t="shared" si="18"/>
        <v>1179242.2410237172</v>
      </c>
      <c r="V124" s="137">
        <f t="shared" si="19"/>
        <v>11374028.584400786</v>
      </c>
      <c r="W124" s="137">
        <f t="shared" si="20"/>
        <v>7030797.1341523277</v>
      </c>
      <c r="X124" s="138">
        <f t="shared" si="21"/>
        <v>22084677.96759817</v>
      </c>
    </row>
    <row r="125" spans="4:24">
      <c r="D125" s="9" t="s">
        <v>300</v>
      </c>
      <c r="E125" s="9" t="s">
        <v>2283</v>
      </c>
      <c r="F125" s="4" t="s">
        <v>760</v>
      </c>
      <c r="G125" s="9" t="s">
        <v>2643</v>
      </c>
      <c r="H125" s="136">
        <v>3874581.8040710879</v>
      </c>
      <c r="I125" s="137">
        <v>10644924.201691559</v>
      </c>
      <c r="J125" s="137">
        <v>1319724.750223232</v>
      </c>
      <c r="K125" s="137">
        <v>5173281.7120147115</v>
      </c>
      <c r="L125" s="149">
        <f t="shared" si="11"/>
        <v>5194306.5542943198</v>
      </c>
      <c r="M125" s="138">
        <f t="shared" si="12"/>
        <v>15818205.913706269</v>
      </c>
      <c r="N125" s="139">
        <f>INDEX('CHIRP Payment Calc'!AM:AM,MATCH(F:F,'CHIRP Payment Calc'!C:C,0))</f>
        <v>0.62</v>
      </c>
      <c r="O125" s="139">
        <f>INDEX('CHIRP Payment Calc'!AL:AL,MATCH(F:F,'CHIRP Payment Calc'!C:C,0))</f>
        <v>1.74</v>
      </c>
      <c r="P125" s="136">
        <f t="shared" si="13"/>
        <v>30744148.353511386</v>
      </c>
      <c r="Q125" s="149">
        <f t="shared" si="14"/>
        <v>1276555.4458295752</v>
      </c>
      <c r="R125" s="149">
        <f t="shared" si="15"/>
        <v>626791.88451344694</v>
      </c>
      <c r="S125" s="137">
        <f t="shared" si="16"/>
        <v>1903347.330343022</v>
      </c>
      <c r="T125" s="137">
        <f t="shared" si="17"/>
        <v>2548796.5183279305</v>
      </c>
      <c r="U125" s="137">
        <f t="shared" si="18"/>
        <v>870456.75014723814</v>
      </c>
      <c r="V125" s="137">
        <f t="shared" si="19"/>
        <v>19652167.756969031</v>
      </c>
      <c r="W125" s="137">
        <f t="shared" si="20"/>
        <v>9576074.6584102102</v>
      </c>
      <c r="X125" s="138">
        <f t="shared" si="21"/>
        <v>32647495.683854409</v>
      </c>
    </row>
    <row r="126" spans="4:24">
      <c r="D126" s="9" t="s">
        <v>300</v>
      </c>
      <c r="E126" s="9" t="s">
        <v>2283</v>
      </c>
      <c r="F126" s="4" t="s">
        <v>1647</v>
      </c>
      <c r="G126" s="9" t="s">
        <v>2657</v>
      </c>
      <c r="H126" s="136">
        <v>2969887.8908237242</v>
      </c>
      <c r="I126" s="137">
        <v>2795342.280376371</v>
      </c>
      <c r="J126" s="137">
        <v>606961.66600879305</v>
      </c>
      <c r="K126" s="137">
        <v>1448254.544907369</v>
      </c>
      <c r="L126" s="149">
        <f t="shared" si="11"/>
        <v>3576849.5568325175</v>
      </c>
      <c r="M126" s="138">
        <f t="shared" si="12"/>
        <v>4243596.8252837397</v>
      </c>
      <c r="N126" s="139">
        <f>INDEX('CHIRP Payment Calc'!AM:AM,MATCH(F:F,'CHIRP Payment Calc'!C:C,0))</f>
        <v>0.41000000000000003</v>
      </c>
      <c r="O126" s="139">
        <f>INDEX('CHIRP Payment Calc'!AL:AL,MATCH(F:F,'CHIRP Payment Calc'!C:C,0))</f>
        <v>1.74</v>
      </c>
      <c r="P126" s="136">
        <f t="shared" si="13"/>
        <v>8850366.794295039</v>
      </c>
      <c r="Q126" s="149">
        <f t="shared" si="14"/>
        <v>371022.9200825732</v>
      </c>
      <c r="R126" s="149">
        <f t="shared" si="15"/>
        <v>176733.01220441025</v>
      </c>
      <c r="S126" s="137">
        <f t="shared" si="16"/>
        <v>547755.93228698347</v>
      </c>
      <c r="T126" s="137">
        <f t="shared" si="17"/>
        <v>1291940.6209418855</v>
      </c>
      <c r="U126" s="137">
        <f t="shared" si="18"/>
        <v>264738.59900383529</v>
      </c>
      <c r="V126" s="137">
        <f t="shared" si="19"/>
        <v>5160631.9022332998</v>
      </c>
      <c r="W126" s="137">
        <f t="shared" si="20"/>
        <v>2680811.6044030022</v>
      </c>
      <c r="X126" s="138">
        <f t="shared" si="21"/>
        <v>9398122.7265820224</v>
      </c>
    </row>
    <row r="127" spans="4:24">
      <c r="D127" s="9" t="s">
        <v>300</v>
      </c>
      <c r="E127" s="9" t="s">
        <v>2283</v>
      </c>
      <c r="F127" s="4" t="s">
        <v>772</v>
      </c>
      <c r="G127" s="9" t="s">
        <v>2660</v>
      </c>
      <c r="H127" s="136">
        <v>12389768.619202411</v>
      </c>
      <c r="I127" s="137">
        <v>9179748.7808653153</v>
      </c>
      <c r="J127" s="137">
        <v>1890509.9550871495</v>
      </c>
      <c r="K127" s="137">
        <v>7899824.5209484845</v>
      </c>
      <c r="L127" s="149">
        <f t="shared" si="11"/>
        <v>14280278.57428956</v>
      </c>
      <c r="M127" s="138">
        <f t="shared" si="12"/>
        <v>17079573.3018138</v>
      </c>
      <c r="N127" s="139">
        <f>INDEX('CHIRP Payment Calc'!AM:AM,MATCH(F:F,'CHIRP Payment Calc'!C:C,0))</f>
        <v>0.33</v>
      </c>
      <c r="O127" s="139">
        <f>INDEX('CHIRP Payment Calc'!AL:AL,MATCH(F:F,'CHIRP Payment Calc'!C:C,0))</f>
        <v>1.74</v>
      </c>
      <c r="P127" s="136">
        <f t="shared" si="13"/>
        <v>34430949.474671572</v>
      </c>
      <c r="Q127" s="149">
        <f t="shared" si="14"/>
        <v>1223904.2175861439</v>
      </c>
      <c r="R127" s="149">
        <f t="shared" si="15"/>
        <v>917206.1458486676</v>
      </c>
      <c r="S127" s="137">
        <f t="shared" si="16"/>
        <v>2141110.3634348116</v>
      </c>
      <c r="T127" s="137">
        <f t="shared" si="17"/>
        <v>4338062.2221080055</v>
      </c>
      <c r="U127" s="137">
        <f t="shared" si="18"/>
        <v>663689.66508378659</v>
      </c>
      <c r="V127" s="137">
        <f t="shared" si="19"/>
        <v>16947228.518520582</v>
      </c>
      <c r="W127" s="137">
        <f t="shared" si="20"/>
        <v>14623079.432394005</v>
      </c>
      <c r="X127" s="138">
        <f t="shared" si="21"/>
        <v>36572059.838106379</v>
      </c>
    </row>
    <row r="128" spans="4:24">
      <c r="D128" s="9" t="s">
        <v>300</v>
      </c>
      <c r="E128" s="9" t="s">
        <v>2283</v>
      </c>
      <c r="F128" s="4" t="s">
        <v>277</v>
      </c>
      <c r="G128" s="9" t="s">
        <v>2832</v>
      </c>
      <c r="H128" s="136">
        <v>8904275.1050798409</v>
      </c>
      <c r="I128" s="137">
        <v>8414120.3272783179</v>
      </c>
      <c r="J128" s="137">
        <v>356984.99517999979</v>
      </c>
      <c r="K128" s="137">
        <v>999293.48076683015</v>
      </c>
      <c r="L128" s="149">
        <f t="shared" si="11"/>
        <v>9261260.1002598405</v>
      </c>
      <c r="M128" s="138">
        <f t="shared" si="12"/>
        <v>9413413.8080451488</v>
      </c>
      <c r="N128" s="139">
        <f>INDEX('CHIRP Payment Calc'!AM:AM,MATCH(F:F,'CHIRP Payment Calc'!C:C,0))</f>
        <v>0.45</v>
      </c>
      <c r="O128" s="139">
        <f>INDEX('CHIRP Payment Calc'!AL:AL,MATCH(F:F,'CHIRP Payment Calc'!C:C,0))</f>
        <v>1.74</v>
      </c>
      <c r="P128" s="136">
        <f t="shared" si="13"/>
        <v>20546907.071115486</v>
      </c>
      <c r="Q128" s="149">
        <f t="shared" si="14"/>
        <v>1137645.4717115506</v>
      </c>
      <c r="R128" s="149">
        <f t="shared" si="15"/>
        <v>121239.18538501818</v>
      </c>
      <c r="S128" s="137">
        <f t="shared" si="16"/>
        <v>1258884.6570965687</v>
      </c>
      <c r="T128" s="137">
        <f t="shared" si="17"/>
        <v>4251378.0342556266</v>
      </c>
      <c r="U128" s="137">
        <f t="shared" si="18"/>
        <v>170897.0721606382</v>
      </c>
      <c r="V128" s="137">
        <f t="shared" si="19"/>
        <v>15533760.604206124</v>
      </c>
      <c r="W128" s="137">
        <f t="shared" si="20"/>
        <v>1849756.0175896646</v>
      </c>
      <c r="X128" s="138">
        <f t="shared" si="21"/>
        <v>21805791.728212055</v>
      </c>
    </row>
    <row r="129" spans="4:24">
      <c r="D129" s="9" t="s">
        <v>300</v>
      </c>
      <c r="E129" s="9" t="s">
        <v>2283</v>
      </c>
      <c r="F129" s="4" t="s">
        <v>2965</v>
      </c>
      <c r="G129" s="9" t="s">
        <v>2881</v>
      </c>
      <c r="H129" s="136">
        <v>0</v>
      </c>
      <c r="I129" s="137">
        <v>0</v>
      </c>
      <c r="J129" s="137">
        <v>0</v>
      </c>
      <c r="K129" s="137">
        <v>0</v>
      </c>
      <c r="L129" s="149">
        <f t="shared" si="11"/>
        <v>0</v>
      </c>
      <c r="M129" s="138">
        <f t="shared" si="12"/>
        <v>0</v>
      </c>
      <c r="N129" s="139">
        <f>INDEX('CHIRP Payment Calc'!AM:AM,MATCH(F:F,'CHIRP Payment Calc'!C:C,0))</f>
        <v>0.33</v>
      </c>
      <c r="O129" s="139">
        <f>INDEX('CHIRP Payment Calc'!AL:AL,MATCH(F:F,'CHIRP Payment Calc'!C:C,0))</f>
        <v>1.74</v>
      </c>
      <c r="P129" s="136">
        <f t="shared" si="13"/>
        <v>0</v>
      </c>
      <c r="Q129" s="149">
        <f t="shared" si="14"/>
        <v>0</v>
      </c>
      <c r="R129" s="149">
        <f t="shared" si="15"/>
        <v>0</v>
      </c>
      <c r="S129" s="137">
        <f t="shared" si="16"/>
        <v>0</v>
      </c>
      <c r="T129" s="137">
        <f t="shared" si="17"/>
        <v>0</v>
      </c>
      <c r="U129" s="137">
        <f t="shared" si="18"/>
        <v>0</v>
      </c>
      <c r="V129" s="137">
        <f t="shared" si="19"/>
        <v>0</v>
      </c>
      <c r="W129" s="137">
        <f t="shared" si="20"/>
        <v>0</v>
      </c>
      <c r="X129" s="138">
        <f t="shared" si="21"/>
        <v>0</v>
      </c>
    </row>
    <row r="130" spans="4:24">
      <c r="D130" s="9" t="s">
        <v>300</v>
      </c>
      <c r="E130" s="9" t="s">
        <v>2283</v>
      </c>
      <c r="F130" s="4" t="s">
        <v>1277</v>
      </c>
      <c r="G130" s="9" t="s">
        <v>2834</v>
      </c>
      <c r="H130" s="136">
        <v>10020589.727772195</v>
      </c>
      <c r="I130" s="137">
        <v>5925634.8225980652</v>
      </c>
      <c r="J130" s="137">
        <v>1210835.4490504209</v>
      </c>
      <c r="K130" s="137">
        <v>2562584.7119245916</v>
      </c>
      <c r="L130" s="149">
        <f t="shared" si="11"/>
        <v>11231425.176822616</v>
      </c>
      <c r="M130" s="138">
        <f t="shared" si="12"/>
        <v>8488219.5345226564</v>
      </c>
      <c r="N130" s="139">
        <f>INDEX('CHIRP Payment Calc'!AM:AM,MATCH(F:F,'CHIRP Payment Calc'!C:C,0))</f>
        <v>0.53</v>
      </c>
      <c r="O130" s="139">
        <f>INDEX('CHIRP Payment Calc'!AL:AL,MATCH(F:F,'CHIRP Payment Calc'!C:C,0))</f>
        <v>1.74</v>
      </c>
      <c r="P130" s="136">
        <f t="shared" si="13"/>
        <v>20722157.333785407</v>
      </c>
      <c r="Q130" s="149">
        <f t="shared" si="14"/>
        <v>953036.85512445006</v>
      </c>
      <c r="R130" s="149">
        <f t="shared" si="15"/>
        <v>325572.77787737316</v>
      </c>
      <c r="S130" s="137">
        <f t="shared" si="16"/>
        <v>1278609.6330018232</v>
      </c>
      <c r="T130" s="137">
        <f t="shared" si="17"/>
        <v>5634920.4835217651</v>
      </c>
      <c r="U130" s="137">
        <f t="shared" si="18"/>
        <v>682705.09361353517</v>
      </c>
      <c r="V130" s="137">
        <f t="shared" si="19"/>
        <v>10939633.518642582</v>
      </c>
      <c r="W130" s="137">
        <f t="shared" si="20"/>
        <v>4743507.8710093508</v>
      </c>
      <c r="X130" s="138">
        <f t="shared" si="21"/>
        <v>22000766.966787234</v>
      </c>
    </row>
    <row r="131" spans="4:24">
      <c r="D131" s="9" t="s">
        <v>300</v>
      </c>
      <c r="E131" s="9" t="s">
        <v>2283</v>
      </c>
      <c r="F131" s="4" t="s">
        <v>241</v>
      </c>
      <c r="G131" s="9" t="s">
        <v>2811</v>
      </c>
      <c r="H131" s="136">
        <v>2915752.5608406831</v>
      </c>
      <c r="I131" s="137">
        <v>1824146.1799907926</v>
      </c>
      <c r="J131" s="137">
        <v>1108166.6885666715</v>
      </c>
      <c r="K131" s="137">
        <v>2029049.3483443533</v>
      </c>
      <c r="L131" s="149">
        <f t="shared" si="11"/>
        <v>4023919.2494073547</v>
      </c>
      <c r="M131" s="138">
        <f t="shared" si="12"/>
        <v>3853195.5283351457</v>
      </c>
      <c r="N131" s="139">
        <f>INDEX('CHIRP Payment Calc'!AM:AM,MATCH(F:F,'CHIRP Payment Calc'!C:C,0))</f>
        <v>0.58000000000000007</v>
      </c>
      <c r="O131" s="139">
        <f>INDEX('CHIRP Payment Calc'!AL:AL,MATCH(F:F,'CHIRP Payment Calc'!C:C,0))</f>
        <v>1.74</v>
      </c>
      <c r="P131" s="136">
        <f t="shared" si="13"/>
        <v>9038433.38395942</v>
      </c>
      <c r="Q131" s="149">
        <f t="shared" si="14"/>
        <v>296812.9158749237</v>
      </c>
      <c r="R131" s="149">
        <f t="shared" si="15"/>
        <v>266379.73694603262</v>
      </c>
      <c r="S131" s="137">
        <f t="shared" si="16"/>
        <v>563192.65282095631</v>
      </c>
      <c r="T131" s="137">
        <f t="shared" si="17"/>
        <v>1794309.2682096513</v>
      </c>
      <c r="U131" s="137">
        <f t="shared" si="18"/>
        <v>683762.42486028676</v>
      </c>
      <c r="V131" s="137">
        <f t="shared" si="19"/>
        <v>3367654.4861368476</v>
      </c>
      <c r="W131" s="137">
        <f t="shared" si="20"/>
        <v>3755899.8575735902</v>
      </c>
      <c r="X131" s="138">
        <f t="shared" si="21"/>
        <v>9601626.036780376</v>
      </c>
    </row>
    <row r="132" spans="4:24">
      <c r="D132" s="9" t="s">
        <v>300</v>
      </c>
      <c r="E132" s="9" t="s">
        <v>2283</v>
      </c>
      <c r="F132" s="4" t="s">
        <v>1316</v>
      </c>
      <c r="G132" s="9" t="s">
        <v>2994</v>
      </c>
      <c r="H132" s="136">
        <v>2178554.3721733997</v>
      </c>
      <c r="I132" s="137">
        <v>2960440.4156023599</v>
      </c>
      <c r="J132" s="137">
        <v>945632.11784275505</v>
      </c>
      <c r="K132" s="137">
        <v>1725814.4146894871</v>
      </c>
      <c r="L132" s="149">
        <f t="shared" si="11"/>
        <v>3124186.4900161549</v>
      </c>
      <c r="M132" s="138">
        <f t="shared" si="12"/>
        <v>4686254.8302918468</v>
      </c>
      <c r="N132" s="139">
        <f>INDEX('CHIRP Payment Calc'!AM:AM,MATCH(F:F,'CHIRP Payment Calc'!C:C,0))</f>
        <v>0.84000000000000008</v>
      </c>
      <c r="O132" s="139">
        <f>INDEX('CHIRP Payment Calc'!AL:AL,MATCH(F:F,'CHIRP Payment Calc'!C:C,0))</f>
        <v>1.74</v>
      </c>
      <c r="P132" s="136">
        <f t="shared" si="13"/>
        <v>10778400.056321384</v>
      </c>
      <c r="Q132" s="149">
        <f t="shared" si="14"/>
        <v>425905.8246758529</v>
      </c>
      <c r="R132" s="149">
        <f t="shared" si="15"/>
        <v>242377.53577963545</v>
      </c>
      <c r="S132" s="137">
        <f t="shared" si="16"/>
        <v>668283.36045548832</v>
      </c>
      <c r="T132" s="137">
        <f t="shared" si="17"/>
        <v>1941629.3608760273</v>
      </c>
      <c r="U132" s="137">
        <f t="shared" si="18"/>
        <v>845032.95637012157</v>
      </c>
      <c r="V132" s="137">
        <f t="shared" si="19"/>
        <v>5465428.4595735874</v>
      </c>
      <c r="W132" s="137">
        <f t="shared" si="20"/>
        <v>3194592.639957136</v>
      </c>
      <c r="X132" s="138">
        <f t="shared" si="21"/>
        <v>11446683.416776871</v>
      </c>
    </row>
    <row r="133" spans="4:24">
      <c r="D133" s="9" t="s">
        <v>300</v>
      </c>
      <c r="E133" s="9" t="s">
        <v>2283</v>
      </c>
      <c r="F133" s="4" t="s">
        <v>184</v>
      </c>
      <c r="G133" s="9" t="s">
        <v>2836</v>
      </c>
      <c r="H133" s="136">
        <v>4083972.775541652</v>
      </c>
      <c r="I133" s="137">
        <v>1354861.6184076157</v>
      </c>
      <c r="J133" s="137">
        <v>339270.87926165573</v>
      </c>
      <c r="K133" s="137">
        <v>538999.96966061241</v>
      </c>
      <c r="L133" s="149">
        <f t="shared" ref="L133:L196" si="22">H133+J133</f>
        <v>4423243.6548033077</v>
      </c>
      <c r="M133" s="138">
        <f t="shared" ref="M133:M196" si="23">I133+K133</f>
        <v>1893861.5880682282</v>
      </c>
      <c r="N133" s="139">
        <f>INDEX('CHIRP Payment Calc'!AM:AM,MATCH(F:F,'CHIRP Payment Calc'!C:C,0))</f>
        <v>0.42000000000000004</v>
      </c>
      <c r="O133" s="139">
        <f>INDEX('CHIRP Payment Calc'!AL:AL,MATCH(F:F,'CHIRP Payment Calc'!C:C,0))</f>
        <v>1.74</v>
      </c>
      <c r="P133" s="136">
        <f t="shared" ref="P133:P196" si="24">(L133*N133)+(M133*O133)</f>
        <v>5153081.4982561069</v>
      </c>
      <c r="Q133" s="149">
        <f t="shared" si="14"/>
        <v>248468.80366155208</v>
      </c>
      <c r="R133" s="149">
        <f t="shared" si="15"/>
        <v>68958.747861661352</v>
      </c>
      <c r="S133" s="137">
        <f t="shared" si="16"/>
        <v>317427.55152321345</v>
      </c>
      <c r="T133" s="137">
        <f t="shared" ref="T133:T196" si="25">H133/(1-$B$10)*N133</f>
        <v>1819913.597588853</v>
      </c>
      <c r="U133" s="137">
        <f t="shared" ref="U133:U196" si="26">J133/(1-$B$11)*N133</f>
        <v>151589.11626584621</v>
      </c>
      <c r="V133" s="137">
        <f t="shared" ref="V133:V196" si="27">I133/(1-$B$10)*O133</f>
        <v>2501282.9878294445</v>
      </c>
      <c r="W133" s="137">
        <f t="shared" ref="W133:W196" si="28">K133/(1-$B$11)*O133</f>
        <v>997723.34809517628</v>
      </c>
      <c r="X133" s="138">
        <f t="shared" ref="X133:X196" si="29">SUM(T133:W133)</f>
        <v>5470509.0497793201</v>
      </c>
    </row>
    <row r="134" spans="4:24">
      <c r="D134" s="9" t="s">
        <v>300</v>
      </c>
      <c r="E134" s="9" t="s">
        <v>2283</v>
      </c>
      <c r="F134" s="4" t="s">
        <v>564</v>
      </c>
      <c r="G134" s="9" t="s">
        <v>2640</v>
      </c>
      <c r="H134" s="136">
        <v>8300162.631796564</v>
      </c>
      <c r="I134" s="137">
        <v>6294563.9777067509</v>
      </c>
      <c r="J134" s="137">
        <v>1588916.8566199418</v>
      </c>
      <c r="K134" s="137">
        <v>3861504.7234673309</v>
      </c>
      <c r="L134" s="149">
        <f t="shared" si="22"/>
        <v>9889079.488416506</v>
      </c>
      <c r="M134" s="138">
        <f t="shared" si="23"/>
        <v>10156068.701174082</v>
      </c>
      <c r="N134" s="139">
        <f>INDEX('CHIRP Payment Calc'!AM:AM,MATCH(F:F,'CHIRP Payment Calc'!C:C,0))</f>
        <v>0.33</v>
      </c>
      <c r="O134" s="139">
        <f>INDEX('CHIRP Payment Calc'!AL:AL,MATCH(F:F,'CHIRP Payment Calc'!C:C,0))</f>
        <v>1.74</v>
      </c>
      <c r="P134" s="136">
        <f t="shared" si="24"/>
        <v>20934955.771220349</v>
      </c>
      <c r="Q134" s="149">
        <f t="shared" ref="Q134:Q197" si="30">(T134+V134)*$B$10</f>
        <v>835296.24605612759</v>
      </c>
      <c r="R134" s="149">
        <f t="shared" ref="R134:R197" si="31">(U134+W134)*$B$11</f>
        <v>462342.17754368531</v>
      </c>
      <c r="S134" s="137">
        <f t="shared" ref="S134:S197" si="32">(T134+V134)*$B$10+(U134+W134)*$B$11</f>
        <v>1297638.4235998129</v>
      </c>
      <c r="T134" s="137">
        <f t="shared" si="25"/>
        <v>2906157.7384539698</v>
      </c>
      <c r="U134" s="137">
        <f t="shared" si="26"/>
        <v>557811.23689849023</v>
      </c>
      <c r="V134" s="137">
        <f t="shared" si="27"/>
        <v>11620733.497304771</v>
      </c>
      <c r="W134" s="137">
        <f t="shared" si="28"/>
        <v>7147891.7221629312</v>
      </c>
      <c r="X134" s="138">
        <f t="shared" si="29"/>
        <v>22232594.194820162</v>
      </c>
    </row>
    <row r="135" spans="4:24">
      <c r="D135" s="9" t="s">
        <v>300</v>
      </c>
      <c r="E135" s="9" t="s">
        <v>2283</v>
      </c>
      <c r="F135" s="4" t="s">
        <v>648</v>
      </c>
      <c r="G135" s="9" t="s">
        <v>2995</v>
      </c>
      <c r="H135" s="136">
        <v>2020538.2447886518</v>
      </c>
      <c r="I135" s="137">
        <v>519605.93323267973</v>
      </c>
      <c r="J135" s="137">
        <v>525392.37078698922</v>
      </c>
      <c r="K135" s="137">
        <v>262960.23260595807</v>
      </c>
      <c r="L135" s="149">
        <f t="shared" si="22"/>
        <v>2545930.6155756409</v>
      </c>
      <c r="M135" s="138">
        <f t="shared" si="23"/>
        <v>782566.16583863785</v>
      </c>
      <c r="N135" s="139">
        <f>INDEX('CHIRP Payment Calc'!AM:AM,MATCH(F:F,'CHIRP Payment Calc'!C:C,0))</f>
        <v>0.33</v>
      </c>
      <c r="O135" s="139">
        <f>INDEX('CHIRP Payment Calc'!AL:AL,MATCH(F:F,'CHIRP Payment Calc'!C:C,0))</f>
        <v>1.74</v>
      </c>
      <c r="P135" s="136">
        <f t="shared" si="24"/>
        <v>2201822.2316991915</v>
      </c>
      <c r="Q135" s="149">
        <f t="shared" si="30"/>
        <v>95836.909087314896</v>
      </c>
      <c r="R135" s="149">
        <f t="shared" si="31"/>
        <v>40272.1459847281</v>
      </c>
      <c r="S135" s="137">
        <f t="shared" si="32"/>
        <v>136109.055072043</v>
      </c>
      <c r="T135" s="137">
        <f t="shared" si="25"/>
        <v>707456.36157056259</v>
      </c>
      <c r="U135" s="137">
        <f t="shared" si="26"/>
        <v>184446.25782947495</v>
      </c>
      <c r="V135" s="137">
        <f t="shared" si="27"/>
        <v>959272.49212187016</v>
      </c>
      <c r="W135" s="137">
        <f t="shared" si="28"/>
        <v>486756.17524932662</v>
      </c>
      <c r="X135" s="138">
        <f t="shared" si="29"/>
        <v>2337931.2867712341</v>
      </c>
    </row>
    <row r="136" spans="4:24">
      <c r="D136" s="9" t="s">
        <v>300</v>
      </c>
      <c r="E136" s="9" t="s">
        <v>2283</v>
      </c>
      <c r="F136" s="4" t="s">
        <v>836</v>
      </c>
      <c r="G136" s="9" t="s">
        <v>2614</v>
      </c>
      <c r="H136" s="136">
        <v>34544582.29474733</v>
      </c>
      <c r="I136" s="137">
        <v>110455384.35673104</v>
      </c>
      <c r="J136" s="137">
        <v>9356078.4781960994</v>
      </c>
      <c r="K136" s="137">
        <v>24131152.529140834</v>
      </c>
      <c r="L136" s="149">
        <f t="shared" si="22"/>
        <v>43900660.77294343</v>
      </c>
      <c r="M136" s="138">
        <f t="shared" si="23"/>
        <v>134586536.88587189</v>
      </c>
      <c r="N136" s="139">
        <f>INDEX('CHIRP Payment Calc'!AM:AM,MATCH(F:F,'CHIRP Payment Calc'!C:C,0))</f>
        <v>0.60000000000000009</v>
      </c>
      <c r="O136" s="139">
        <f>INDEX('CHIRP Payment Calc'!AL:AL,MATCH(F:F,'CHIRP Payment Calc'!C:C,0))</f>
        <v>1.74</v>
      </c>
      <c r="P136" s="136">
        <f t="shared" si="24"/>
        <v>260520970.64518315</v>
      </c>
      <c r="Q136" s="149">
        <f t="shared" si="30"/>
        <v>12989760.524201298</v>
      </c>
      <c r="R136" s="149">
        <f t="shared" si="31"/>
        <v>3038416.1162312375</v>
      </c>
      <c r="S136" s="137">
        <f t="shared" si="32"/>
        <v>16028176.640432537</v>
      </c>
      <c r="T136" s="137">
        <f t="shared" si="25"/>
        <v>21991246.023181327</v>
      </c>
      <c r="U136" s="137">
        <f t="shared" si="26"/>
        <v>5971964.9860826172</v>
      </c>
      <c r="V136" s="137">
        <f t="shared" si="27"/>
        <v>203917632.65858039</v>
      </c>
      <c r="W136" s="137">
        <f t="shared" si="28"/>
        <v>44668303.617771335</v>
      </c>
      <c r="X136" s="138">
        <f t="shared" si="29"/>
        <v>276549147.28561568</v>
      </c>
    </row>
    <row r="137" spans="4:24">
      <c r="D137" s="9" t="s">
        <v>1514</v>
      </c>
      <c r="E137" s="9" t="s">
        <v>2544</v>
      </c>
      <c r="F137" s="4" t="s">
        <v>1331</v>
      </c>
      <c r="G137" s="9" t="s">
        <v>2387</v>
      </c>
      <c r="H137" s="136">
        <v>0</v>
      </c>
      <c r="I137" s="137">
        <v>2563439.2429037536</v>
      </c>
      <c r="J137" s="137">
        <v>0</v>
      </c>
      <c r="K137" s="137">
        <v>0</v>
      </c>
      <c r="L137" s="149">
        <f t="shared" si="22"/>
        <v>0</v>
      </c>
      <c r="M137" s="138">
        <f t="shared" si="23"/>
        <v>2563439.2429037536</v>
      </c>
      <c r="N137" s="139">
        <f>INDEX('CHIRP Payment Calc'!AM:AM,MATCH(F:F,'CHIRP Payment Calc'!C:C,0))</f>
        <v>0</v>
      </c>
      <c r="O137" s="139">
        <f>INDEX('CHIRP Payment Calc'!AL:AL,MATCH(F:F,'CHIRP Payment Calc'!C:C,0))</f>
        <v>0.13</v>
      </c>
      <c r="P137" s="136">
        <f t="shared" si="24"/>
        <v>333247.10157748801</v>
      </c>
      <c r="Q137" s="149">
        <f t="shared" si="30"/>
        <v>20330.725029926325</v>
      </c>
      <c r="R137" s="149">
        <f t="shared" si="31"/>
        <v>0</v>
      </c>
      <c r="S137" s="137">
        <f t="shared" si="32"/>
        <v>20330.725029926325</v>
      </c>
      <c r="T137" s="137">
        <f t="shared" si="25"/>
        <v>0</v>
      </c>
      <c r="U137" s="137">
        <f t="shared" si="26"/>
        <v>0</v>
      </c>
      <c r="V137" s="137">
        <f t="shared" si="27"/>
        <v>353577.82660741435</v>
      </c>
      <c r="W137" s="137">
        <f t="shared" si="28"/>
        <v>0</v>
      </c>
      <c r="X137" s="138">
        <f t="shared" si="29"/>
        <v>353577.82660741435</v>
      </c>
    </row>
    <row r="138" spans="4:24">
      <c r="D138" s="9" t="s">
        <v>1514</v>
      </c>
      <c r="E138" s="9" t="s">
        <v>2295</v>
      </c>
      <c r="F138" s="4" t="s">
        <v>1054</v>
      </c>
      <c r="G138" s="9" t="s">
        <v>2908</v>
      </c>
      <c r="H138" s="136">
        <v>2257643.8276227755</v>
      </c>
      <c r="I138" s="137">
        <v>864903.50201034232</v>
      </c>
      <c r="J138" s="137">
        <v>630608.19681308186</v>
      </c>
      <c r="K138" s="137">
        <v>328725.7715694916</v>
      </c>
      <c r="L138" s="149">
        <f t="shared" si="22"/>
        <v>2888252.0244358573</v>
      </c>
      <c r="M138" s="138">
        <f t="shared" si="23"/>
        <v>1193629.273579834</v>
      </c>
      <c r="N138" s="139">
        <f>INDEX('CHIRP Payment Calc'!AM:AM,MATCH(F:F,'CHIRP Payment Calc'!C:C,0))</f>
        <v>0.06</v>
      </c>
      <c r="O138" s="139">
        <f>INDEX('CHIRP Payment Calc'!AL:AL,MATCH(F:F,'CHIRP Payment Calc'!C:C,0))</f>
        <v>0.04</v>
      </c>
      <c r="P138" s="136">
        <f t="shared" si="24"/>
        <v>221040.29240934481</v>
      </c>
      <c r="Q138" s="149">
        <f t="shared" si="30"/>
        <v>10374.694174983939</v>
      </c>
      <c r="R138" s="149">
        <f t="shared" si="31"/>
        <v>3254.3950641424203</v>
      </c>
      <c r="S138" s="137">
        <f t="shared" si="32"/>
        <v>13629.089239126359</v>
      </c>
      <c r="T138" s="137">
        <f t="shared" si="25"/>
        <v>143722.68398659577</v>
      </c>
      <c r="U138" s="137">
        <f t="shared" si="26"/>
        <v>40251.58703062225</v>
      </c>
      <c r="V138" s="137">
        <f t="shared" si="27"/>
        <v>36706.779926168376</v>
      </c>
      <c r="W138" s="137">
        <f t="shared" si="28"/>
        <v>13988.330705084751</v>
      </c>
      <c r="X138" s="138">
        <f t="shared" si="29"/>
        <v>234669.38164847114</v>
      </c>
    </row>
    <row r="139" spans="4:24">
      <c r="D139" s="9" t="s">
        <v>1514</v>
      </c>
      <c r="E139" s="9" t="s">
        <v>2295</v>
      </c>
      <c r="F139" s="4" t="s">
        <v>516</v>
      </c>
      <c r="G139" s="9" t="s">
        <v>2573</v>
      </c>
      <c r="H139" s="136">
        <v>3370280.6723884456</v>
      </c>
      <c r="I139" s="137">
        <v>6245009.3198335152</v>
      </c>
      <c r="J139" s="137">
        <v>542119.39546058443</v>
      </c>
      <c r="K139" s="137">
        <v>1619859.9498411142</v>
      </c>
      <c r="L139" s="149">
        <f t="shared" si="22"/>
        <v>3912400.0678490298</v>
      </c>
      <c r="M139" s="138">
        <f t="shared" si="23"/>
        <v>7864869.269674629</v>
      </c>
      <c r="N139" s="139">
        <f>INDEX('CHIRP Payment Calc'!AM:AM,MATCH(F:F,'CHIRP Payment Calc'!C:C,0))</f>
        <v>0.74</v>
      </c>
      <c r="O139" s="139">
        <f>INDEX('CHIRP Payment Calc'!AL:AL,MATCH(F:F,'CHIRP Payment Calc'!C:C,0))</f>
        <v>0.25</v>
      </c>
      <c r="P139" s="136">
        <f t="shared" si="24"/>
        <v>4861393.367626939</v>
      </c>
      <c r="Q139" s="149">
        <f t="shared" si="30"/>
        <v>247403.1316527694</v>
      </c>
      <c r="R139" s="149">
        <f t="shared" si="31"/>
        <v>51455.319580921991</v>
      </c>
      <c r="S139" s="137">
        <f t="shared" si="32"/>
        <v>298858.45123369142</v>
      </c>
      <c r="T139" s="137">
        <f t="shared" si="25"/>
        <v>2646162.0133341639</v>
      </c>
      <c r="U139" s="137">
        <f t="shared" si="26"/>
        <v>426774.84323492821</v>
      </c>
      <c r="V139" s="137">
        <f t="shared" si="27"/>
        <v>1656501.1458444337</v>
      </c>
      <c r="W139" s="137">
        <f t="shared" si="28"/>
        <v>430813.81644710485</v>
      </c>
      <c r="X139" s="138">
        <f t="shared" si="29"/>
        <v>5160251.8188606314</v>
      </c>
    </row>
    <row r="140" spans="4:24">
      <c r="D140" s="9" t="s">
        <v>1514</v>
      </c>
      <c r="E140" s="9" t="s">
        <v>2964</v>
      </c>
      <c r="F140" s="4" t="s">
        <v>2313</v>
      </c>
      <c r="G140" s="9" t="s">
        <v>2894</v>
      </c>
      <c r="H140" s="136">
        <v>0</v>
      </c>
      <c r="I140" s="137">
        <v>3830.5887872679623</v>
      </c>
      <c r="J140" s="137">
        <v>0</v>
      </c>
      <c r="K140" s="137">
        <v>0</v>
      </c>
      <c r="L140" s="149">
        <f t="shared" si="22"/>
        <v>0</v>
      </c>
      <c r="M140" s="138">
        <f t="shared" si="23"/>
        <v>3830.5887872679623</v>
      </c>
      <c r="N140" s="139">
        <f>INDEX('CHIRP Payment Calc'!AM:AM,MATCH(F:F,'CHIRP Payment Calc'!C:C,0))</f>
        <v>0</v>
      </c>
      <c r="O140" s="139">
        <f>INDEX('CHIRP Payment Calc'!AL:AL,MATCH(F:F,'CHIRP Payment Calc'!C:C,0))</f>
        <v>0.36</v>
      </c>
      <c r="P140" s="136">
        <f t="shared" si="24"/>
        <v>1379.0119634164664</v>
      </c>
      <c r="Q140" s="149">
        <f t="shared" si="30"/>
        <v>84.130703338405112</v>
      </c>
      <c r="R140" s="149">
        <f t="shared" si="31"/>
        <v>0</v>
      </c>
      <c r="S140" s="137">
        <f t="shared" si="32"/>
        <v>84.130703338405112</v>
      </c>
      <c r="T140" s="137">
        <f t="shared" si="25"/>
        <v>0</v>
      </c>
      <c r="U140" s="137">
        <f t="shared" si="26"/>
        <v>0</v>
      </c>
      <c r="V140" s="137">
        <f t="shared" si="27"/>
        <v>1463.1426667548715</v>
      </c>
      <c r="W140" s="137">
        <f t="shared" si="28"/>
        <v>0</v>
      </c>
      <c r="X140" s="138">
        <f t="shared" si="29"/>
        <v>1463.1426667548715</v>
      </c>
    </row>
    <row r="141" spans="4:24">
      <c r="D141" s="9" t="s">
        <v>1514</v>
      </c>
      <c r="E141" s="9" t="s">
        <v>2283</v>
      </c>
      <c r="F141" s="4" t="s">
        <v>645</v>
      </c>
      <c r="G141" s="9" t="s">
        <v>2664</v>
      </c>
      <c r="H141" s="136">
        <v>4005465.4459321508</v>
      </c>
      <c r="I141" s="137">
        <v>9644882.9593295865</v>
      </c>
      <c r="J141" s="137">
        <v>714281.93586499663</v>
      </c>
      <c r="K141" s="137">
        <v>2097375.4667482716</v>
      </c>
      <c r="L141" s="149">
        <f t="shared" si="22"/>
        <v>4719747.3817971479</v>
      </c>
      <c r="M141" s="138">
        <f t="shared" si="23"/>
        <v>11742258.426077858</v>
      </c>
      <c r="N141" s="139">
        <f>INDEX('CHIRP Payment Calc'!AM:AM,MATCH(F:F,'CHIRP Payment Calc'!C:C,0))</f>
        <v>0.82000000000000006</v>
      </c>
      <c r="O141" s="139">
        <f>INDEX('CHIRP Payment Calc'!AL:AL,MATCH(F:F,'CHIRP Payment Calc'!C:C,0))</f>
        <v>1.41</v>
      </c>
      <c r="P141" s="136">
        <f t="shared" si="24"/>
        <v>20426777.233843438</v>
      </c>
      <c r="Q141" s="149">
        <f t="shared" si="30"/>
        <v>1030044.1185181404</v>
      </c>
      <c r="R141" s="149">
        <f t="shared" si="31"/>
        <v>226149.61248027833</v>
      </c>
      <c r="S141" s="137">
        <f t="shared" si="32"/>
        <v>1256193.7309984188</v>
      </c>
      <c r="T141" s="137">
        <f t="shared" si="25"/>
        <v>3484861.1837287685</v>
      </c>
      <c r="U141" s="137">
        <f t="shared" si="26"/>
        <v>623097.00788223126</v>
      </c>
      <c r="V141" s="137">
        <f t="shared" si="27"/>
        <v>14428949.573108453</v>
      </c>
      <c r="W141" s="137">
        <f t="shared" si="28"/>
        <v>3146063.2001224072</v>
      </c>
      <c r="X141" s="138">
        <f t="shared" si="29"/>
        <v>21682970.964841861</v>
      </c>
    </row>
    <row r="142" spans="4:24">
      <c r="D142" s="9" t="s">
        <v>1514</v>
      </c>
      <c r="E142" s="9" t="s">
        <v>2283</v>
      </c>
      <c r="F142" s="4" t="s">
        <v>1319</v>
      </c>
      <c r="G142" s="9" t="s">
        <v>2582</v>
      </c>
      <c r="H142" s="136">
        <v>17981947.455085728</v>
      </c>
      <c r="I142" s="137">
        <v>51623448.689627983</v>
      </c>
      <c r="J142" s="137">
        <v>5721095.3493737141</v>
      </c>
      <c r="K142" s="137">
        <v>7514830.3630239982</v>
      </c>
      <c r="L142" s="149">
        <f t="shared" si="22"/>
        <v>23703042.804459441</v>
      </c>
      <c r="M142" s="138">
        <f t="shared" si="23"/>
        <v>59138279.052651979</v>
      </c>
      <c r="N142" s="139">
        <f>INDEX('CHIRP Payment Calc'!AM:AM,MATCH(F:F,'CHIRP Payment Calc'!C:C,0))</f>
        <v>0.53</v>
      </c>
      <c r="O142" s="139">
        <f>INDEX('CHIRP Payment Calc'!AL:AL,MATCH(F:F,'CHIRP Payment Calc'!C:C,0))</f>
        <v>0.89999999999999991</v>
      </c>
      <c r="P142" s="136">
        <f t="shared" si="24"/>
        <v>65787063.833750278</v>
      </c>
      <c r="Q142" s="149">
        <f t="shared" si="30"/>
        <v>3415929.2502726638</v>
      </c>
      <c r="R142" s="149">
        <f t="shared" si="31"/>
        <v>625246.45926955319</v>
      </c>
      <c r="S142" s="137">
        <f t="shared" si="32"/>
        <v>4041175.7095422167</v>
      </c>
      <c r="T142" s="137">
        <f t="shared" si="25"/>
        <v>10111864.351400992</v>
      </c>
      <c r="U142" s="137">
        <f t="shared" si="26"/>
        <v>3225723.9735830515</v>
      </c>
      <c r="V142" s="137">
        <f t="shared" si="27"/>
        <v>49295600.870732285</v>
      </c>
      <c r="W142" s="137">
        <f t="shared" si="28"/>
        <v>7195050.3475761684</v>
      </c>
      <c r="X142" s="138">
        <f t="shared" si="29"/>
        <v>69828239.543292493</v>
      </c>
    </row>
    <row r="143" spans="4:24">
      <c r="D143" s="9" t="s">
        <v>1514</v>
      </c>
      <c r="E143" s="9" t="s">
        <v>2283</v>
      </c>
      <c r="F143" s="4" t="s">
        <v>1370</v>
      </c>
      <c r="G143" s="9" t="s">
        <v>2671</v>
      </c>
      <c r="H143" s="136">
        <v>6672883.9864284573</v>
      </c>
      <c r="I143" s="137">
        <v>14936839.802721838</v>
      </c>
      <c r="J143" s="137">
        <v>1718102.5614143834</v>
      </c>
      <c r="K143" s="137">
        <v>5867531.7800733773</v>
      </c>
      <c r="L143" s="149">
        <f t="shared" si="22"/>
        <v>8390986.5478428416</v>
      </c>
      <c r="M143" s="138">
        <f t="shared" si="23"/>
        <v>20804371.582795214</v>
      </c>
      <c r="N143" s="139">
        <f>INDEX('CHIRP Payment Calc'!AM:AM,MATCH(F:F,'CHIRP Payment Calc'!C:C,0))</f>
        <v>1.17</v>
      </c>
      <c r="O143" s="139">
        <f>INDEX('CHIRP Payment Calc'!AL:AL,MATCH(F:F,'CHIRP Payment Calc'!C:C,0))</f>
        <v>1.56</v>
      </c>
      <c r="P143" s="136">
        <f t="shared" si="24"/>
        <v>42272273.930136658</v>
      </c>
      <c r="Q143" s="149">
        <f t="shared" si="30"/>
        <v>1897880.9554282478</v>
      </c>
      <c r="R143" s="149">
        <f t="shared" si="31"/>
        <v>712565.71747463616</v>
      </c>
      <c r="S143" s="137">
        <f t="shared" si="32"/>
        <v>2610446.672902884</v>
      </c>
      <c r="T143" s="137">
        <f t="shared" si="25"/>
        <v>8283580.1210836023</v>
      </c>
      <c r="U143" s="137">
        <f t="shared" si="26"/>
        <v>2138489.3583562006</v>
      </c>
      <c r="V143" s="137">
        <f t="shared" si="27"/>
        <v>24723045.190712009</v>
      </c>
      <c r="W143" s="137">
        <f t="shared" si="28"/>
        <v>9737605.9328877348</v>
      </c>
      <c r="X143" s="138">
        <f t="shared" si="29"/>
        <v>44882720.603039548</v>
      </c>
    </row>
    <row r="144" spans="4:24">
      <c r="D144" s="9" t="s">
        <v>1514</v>
      </c>
      <c r="E144" s="9" t="s">
        <v>2283</v>
      </c>
      <c r="F144" s="4" t="s">
        <v>1159</v>
      </c>
      <c r="G144" s="9" t="s">
        <v>2672</v>
      </c>
      <c r="H144" s="136">
        <v>5428203.4092030162</v>
      </c>
      <c r="I144" s="137">
        <v>8954730.8250350524</v>
      </c>
      <c r="J144" s="137">
        <v>1504051.9132331228</v>
      </c>
      <c r="K144" s="137">
        <v>2942833.5356745678</v>
      </c>
      <c r="L144" s="149">
        <f t="shared" si="22"/>
        <v>6932255.322436139</v>
      </c>
      <c r="M144" s="138">
        <f t="shared" si="23"/>
        <v>11897564.360709621</v>
      </c>
      <c r="N144" s="139">
        <f>INDEX('CHIRP Payment Calc'!AM:AM,MATCH(F:F,'CHIRP Payment Calc'!C:C,0))</f>
        <v>0.93</v>
      </c>
      <c r="O144" s="139">
        <f>INDEX('CHIRP Payment Calc'!AL:AL,MATCH(F:F,'CHIRP Payment Calc'!C:C,0))</f>
        <v>1.51</v>
      </c>
      <c r="P144" s="136">
        <f t="shared" si="24"/>
        <v>24412319.634537138</v>
      </c>
      <c r="Q144" s="149">
        <f t="shared" si="30"/>
        <v>1132910.006568488</v>
      </c>
      <c r="R144" s="149">
        <f t="shared" si="31"/>
        <v>372922.14371332357</v>
      </c>
      <c r="S144" s="137">
        <f t="shared" si="32"/>
        <v>1505832.1502818116</v>
      </c>
      <c r="T144" s="137">
        <f t="shared" si="25"/>
        <v>5356211.3215478044</v>
      </c>
      <c r="U144" s="137">
        <f t="shared" si="26"/>
        <v>1488051.3609646854</v>
      </c>
      <c r="V144" s="137">
        <f t="shared" si="27"/>
        <v>14346571.401382416</v>
      </c>
      <c r="W144" s="137">
        <f t="shared" si="28"/>
        <v>4727317.7009240398</v>
      </c>
      <c r="X144" s="138">
        <f t="shared" si="29"/>
        <v>25918151.784818947</v>
      </c>
    </row>
    <row r="145" spans="4:24">
      <c r="D145" s="9" t="s">
        <v>1514</v>
      </c>
      <c r="E145" s="9" t="s">
        <v>2283</v>
      </c>
      <c r="F145" s="4" t="s">
        <v>591</v>
      </c>
      <c r="G145" s="9" t="s">
        <v>2561</v>
      </c>
      <c r="H145" s="136">
        <v>7238355.8317480981</v>
      </c>
      <c r="I145" s="137">
        <v>5468690.9493244663</v>
      </c>
      <c r="J145" s="137">
        <v>707053.74308361439</v>
      </c>
      <c r="K145" s="137">
        <v>1208974.9644189209</v>
      </c>
      <c r="L145" s="149">
        <f t="shared" si="22"/>
        <v>7945409.574831713</v>
      </c>
      <c r="M145" s="138">
        <f t="shared" si="23"/>
        <v>6677665.913743387</v>
      </c>
      <c r="N145" s="139">
        <f>INDEX('CHIRP Payment Calc'!AM:AM,MATCH(F:F,'CHIRP Payment Calc'!C:C,0))</f>
        <v>0.53</v>
      </c>
      <c r="O145" s="139">
        <f>INDEX('CHIRP Payment Calc'!AL:AL,MATCH(F:F,'CHIRP Payment Calc'!C:C,0))</f>
        <v>1.44</v>
      </c>
      <c r="P145" s="136">
        <f t="shared" si="24"/>
        <v>13826905.990451286</v>
      </c>
      <c r="Q145" s="149">
        <f t="shared" si="30"/>
        <v>714479.04994863574</v>
      </c>
      <c r="R145" s="149">
        <f t="shared" si="31"/>
        <v>135042.28293175928</v>
      </c>
      <c r="S145" s="137">
        <f t="shared" si="32"/>
        <v>849521.332880395</v>
      </c>
      <c r="T145" s="137">
        <f t="shared" si="25"/>
        <v>4070375.1626806282</v>
      </c>
      <c r="U145" s="137">
        <f t="shared" si="26"/>
        <v>398657.96152586769</v>
      </c>
      <c r="V145" s="137">
        <f t="shared" si="27"/>
        <v>8355347.4451217316</v>
      </c>
      <c r="W145" s="137">
        <f t="shared" si="28"/>
        <v>1852046.7540034535</v>
      </c>
      <c r="X145" s="138">
        <f t="shared" si="29"/>
        <v>14676427.323331682</v>
      </c>
    </row>
    <row r="146" spans="4:24">
      <c r="D146" s="9" t="s">
        <v>1514</v>
      </c>
      <c r="E146" s="9" t="s">
        <v>2283</v>
      </c>
      <c r="F146" s="4" t="s">
        <v>663</v>
      </c>
      <c r="G146" s="9" t="s">
        <v>2578</v>
      </c>
      <c r="H146" s="136">
        <v>542324.6374010744</v>
      </c>
      <c r="I146" s="137">
        <v>147757.58754120211</v>
      </c>
      <c r="J146" s="137">
        <v>114328.83239884654</v>
      </c>
      <c r="K146" s="137">
        <v>111618.74993128589</v>
      </c>
      <c r="L146" s="149">
        <f t="shared" si="22"/>
        <v>656653.46979992092</v>
      </c>
      <c r="M146" s="138">
        <f t="shared" si="23"/>
        <v>259376.337472488</v>
      </c>
      <c r="N146" s="139">
        <f>INDEX('CHIRP Payment Calc'!AM:AM,MATCH(F:F,'CHIRP Payment Calc'!C:C,0))</f>
        <v>0.74</v>
      </c>
      <c r="O146" s="139">
        <f>INDEX('CHIRP Payment Calc'!AL:AL,MATCH(F:F,'CHIRP Payment Calc'!C:C,0))</f>
        <v>0.72</v>
      </c>
      <c r="P146" s="136">
        <f t="shared" si="24"/>
        <v>672674.5306321329</v>
      </c>
      <c r="Q146" s="149">
        <f t="shared" si="30"/>
        <v>30974.087475460463</v>
      </c>
      <c r="R146" s="149">
        <f t="shared" si="31"/>
        <v>10529.925697383338</v>
      </c>
      <c r="S146" s="137">
        <f t="shared" si="32"/>
        <v>41504.013172843799</v>
      </c>
      <c r="T146" s="137">
        <f t="shared" si="25"/>
        <v>425803.95933877461</v>
      </c>
      <c r="U146" s="137">
        <f t="shared" si="26"/>
        <v>90003.548909730263</v>
      </c>
      <c r="V146" s="137">
        <f t="shared" si="27"/>
        <v>112875.82284314644</v>
      </c>
      <c r="W146" s="137">
        <f t="shared" si="28"/>
        <v>85495.212713325353</v>
      </c>
      <c r="X146" s="138">
        <f t="shared" si="29"/>
        <v>714178.54380497674</v>
      </c>
    </row>
    <row r="147" spans="4:24">
      <c r="D147" s="9" t="s">
        <v>1514</v>
      </c>
      <c r="E147" s="9" t="s">
        <v>2283</v>
      </c>
      <c r="F147" s="4" t="s">
        <v>793</v>
      </c>
      <c r="G147" s="9" t="s">
        <v>2574</v>
      </c>
      <c r="H147" s="136">
        <v>8820918.4382163193</v>
      </c>
      <c r="I147" s="137">
        <v>7637560.8878985969</v>
      </c>
      <c r="J147" s="137">
        <v>1419587.5498356179</v>
      </c>
      <c r="K147" s="137">
        <v>1563470.0303577415</v>
      </c>
      <c r="L147" s="149">
        <f t="shared" si="22"/>
        <v>10240505.988051938</v>
      </c>
      <c r="M147" s="138">
        <f t="shared" si="23"/>
        <v>9201030.9182563387</v>
      </c>
      <c r="N147" s="139">
        <f>INDEX('CHIRP Payment Calc'!AM:AM,MATCH(F:F,'CHIRP Payment Calc'!C:C,0))</f>
        <v>0.70000000000000007</v>
      </c>
      <c r="O147" s="139">
        <f>INDEX('CHIRP Payment Calc'!AL:AL,MATCH(F:F,'CHIRP Payment Calc'!C:C,0))</f>
        <v>0.90999999999999992</v>
      </c>
      <c r="P147" s="136">
        <f t="shared" si="24"/>
        <v>15541292.327249624</v>
      </c>
      <c r="Q147" s="149">
        <f t="shared" si="30"/>
        <v>800718.66376392671</v>
      </c>
      <c r="R147" s="149">
        <f t="shared" si="31"/>
        <v>154242.70292620073</v>
      </c>
      <c r="S147" s="137">
        <f t="shared" si="32"/>
        <v>954961.36669012741</v>
      </c>
      <c r="T147" s="137">
        <f t="shared" si="25"/>
        <v>6551345.2591527039</v>
      </c>
      <c r="U147" s="137">
        <f t="shared" si="26"/>
        <v>1057139.664771205</v>
      </c>
      <c r="V147" s="137">
        <f t="shared" si="27"/>
        <v>7374196.7193503687</v>
      </c>
      <c r="W147" s="137">
        <f t="shared" si="28"/>
        <v>1513572.0506654731</v>
      </c>
      <c r="X147" s="138">
        <f t="shared" si="29"/>
        <v>16496253.693939751</v>
      </c>
    </row>
    <row r="148" spans="4:24">
      <c r="D148" s="9" t="s">
        <v>1514</v>
      </c>
      <c r="E148" s="9" t="s">
        <v>2283</v>
      </c>
      <c r="F148" s="4" t="s">
        <v>790</v>
      </c>
      <c r="G148" s="9" t="s">
        <v>2452</v>
      </c>
      <c r="H148" s="136">
        <v>7195403.8253818685</v>
      </c>
      <c r="I148" s="137">
        <v>9588249.842279423</v>
      </c>
      <c r="J148" s="137">
        <v>4326932.6193904681</v>
      </c>
      <c r="K148" s="137">
        <v>3225149.8465894032</v>
      </c>
      <c r="L148" s="149">
        <f t="shared" si="22"/>
        <v>11522336.444772337</v>
      </c>
      <c r="M148" s="138">
        <f t="shared" si="23"/>
        <v>12813399.688868826</v>
      </c>
      <c r="N148" s="139">
        <f>INDEX('CHIRP Payment Calc'!AM:AM,MATCH(F:F,'CHIRP Payment Calc'!C:C,0))</f>
        <v>1.04</v>
      </c>
      <c r="O148" s="139">
        <f>INDEX('CHIRP Payment Calc'!AL:AL,MATCH(F:F,'CHIRP Payment Calc'!C:C,0))</f>
        <v>1.97</v>
      </c>
      <c r="P148" s="136">
        <f t="shared" si="24"/>
        <v>37225627.289634816</v>
      </c>
      <c r="Q148" s="149">
        <f t="shared" si="30"/>
        <v>1608906.2595671485</v>
      </c>
      <c r="R148" s="149">
        <f t="shared" si="31"/>
        <v>692780.11416684336</v>
      </c>
      <c r="S148" s="137">
        <f t="shared" si="32"/>
        <v>2301686.3737339918</v>
      </c>
      <c r="T148" s="137">
        <f t="shared" si="25"/>
        <v>7939755.9452489587</v>
      </c>
      <c r="U148" s="137">
        <f t="shared" si="26"/>
        <v>4787244.6001766892</v>
      </c>
      <c r="V148" s="137">
        <f t="shared" si="27"/>
        <v>20041222.482005797</v>
      </c>
      <c r="W148" s="137">
        <f t="shared" si="28"/>
        <v>6759090.6359373666</v>
      </c>
      <c r="X148" s="138">
        <f t="shared" si="29"/>
        <v>39527313.663368806</v>
      </c>
    </row>
    <row r="149" spans="4:24">
      <c r="D149" s="9" t="s">
        <v>1514</v>
      </c>
      <c r="E149" s="9" t="s">
        <v>2283</v>
      </c>
      <c r="F149" s="4" t="s">
        <v>642</v>
      </c>
      <c r="G149" s="9" t="s">
        <v>2692</v>
      </c>
      <c r="H149" s="136">
        <v>8356377.9399054991</v>
      </c>
      <c r="I149" s="137">
        <v>14704046.152616678</v>
      </c>
      <c r="J149" s="137">
        <v>1055196.715838931</v>
      </c>
      <c r="K149" s="137">
        <v>3750350.6394607923</v>
      </c>
      <c r="L149" s="149">
        <f t="shared" si="22"/>
        <v>9411574.6557444297</v>
      </c>
      <c r="M149" s="138">
        <f t="shared" si="23"/>
        <v>18454396.792077471</v>
      </c>
      <c r="N149" s="139">
        <f>INDEX('CHIRP Payment Calc'!AM:AM,MATCH(F:F,'CHIRP Payment Calc'!C:C,0))</f>
        <v>0.58000000000000007</v>
      </c>
      <c r="O149" s="139">
        <f>INDEX('CHIRP Payment Calc'!AL:AL,MATCH(F:F,'CHIRP Payment Calc'!C:C,0))</f>
        <v>1.1099999999999999</v>
      </c>
      <c r="P149" s="136">
        <f t="shared" si="24"/>
        <v>25943093.739537761</v>
      </c>
      <c r="Q149" s="149">
        <f t="shared" si="30"/>
        <v>1291428.0636462683</v>
      </c>
      <c r="R149" s="149">
        <f t="shared" si="31"/>
        <v>304781.06202051445</v>
      </c>
      <c r="S149" s="137">
        <f t="shared" si="32"/>
        <v>1596209.1256667827</v>
      </c>
      <c r="T149" s="137">
        <f t="shared" si="25"/>
        <v>5142386.4245572304</v>
      </c>
      <c r="U149" s="137">
        <f t="shared" si="26"/>
        <v>651078.8246665746</v>
      </c>
      <c r="V149" s="137">
        <f t="shared" si="27"/>
        <v>17317232.073638737</v>
      </c>
      <c r="W149" s="137">
        <f t="shared" si="28"/>
        <v>4428605.5423419988</v>
      </c>
      <c r="X149" s="138">
        <f t="shared" si="29"/>
        <v>27539302.865204543</v>
      </c>
    </row>
    <row r="150" spans="4:24">
      <c r="D150" s="9" t="s">
        <v>1514</v>
      </c>
      <c r="E150" s="9" t="s">
        <v>2283</v>
      </c>
      <c r="F150" s="4" t="s">
        <v>1613</v>
      </c>
      <c r="G150" s="9" t="s">
        <v>2576</v>
      </c>
      <c r="H150" s="136">
        <v>20288736.851757631</v>
      </c>
      <c r="I150" s="137">
        <v>18759048.343243852</v>
      </c>
      <c r="J150" s="137">
        <v>2746671.5601250394</v>
      </c>
      <c r="K150" s="137">
        <v>5429968.0151286917</v>
      </c>
      <c r="L150" s="149">
        <f t="shared" si="22"/>
        <v>23035408.411882669</v>
      </c>
      <c r="M150" s="138">
        <f t="shared" si="23"/>
        <v>24189016.358372543</v>
      </c>
      <c r="N150" s="139">
        <f>INDEX('CHIRP Payment Calc'!AM:AM,MATCH(F:F,'CHIRP Payment Calc'!C:C,0))</f>
        <v>0.98</v>
      </c>
      <c r="O150" s="139">
        <f>INDEX('CHIRP Payment Calc'!AL:AL,MATCH(F:F,'CHIRP Payment Calc'!C:C,0))</f>
        <v>1.5699999999999998</v>
      </c>
      <c r="P150" s="136">
        <f t="shared" si="24"/>
        <v>60551455.926289901</v>
      </c>
      <c r="Q150" s="149">
        <f t="shared" si="30"/>
        <v>3009807.33239563</v>
      </c>
      <c r="R150" s="149">
        <f t="shared" si="31"/>
        <v>715965.18591539899</v>
      </c>
      <c r="S150" s="137">
        <f t="shared" si="32"/>
        <v>3725772.5183110288</v>
      </c>
      <c r="T150" s="137">
        <f t="shared" si="25"/>
        <v>21095981.023578227</v>
      </c>
      <c r="U150" s="137">
        <f t="shared" si="26"/>
        <v>2863551.2009814242</v>
      </c>
      <c r="V150" s="137">
        <f t="shared" si="27"/>
        <v>31248494.322432727</v>
      </c>
      <c r="W150" s="137">
        <f t="shared" si="28"/>
        <v>9069201.8976085596</v>
      </c>
      <c r="X150" s="138">
        <f t="shared" si="29"/>
        <v>64277228.44460094</v>
      </c>
    </row>
    <row r="151" spans="4:24">
      <c r="D151" s="9" t="s">
        <v>1514</v>
      </c>
      <c r="E151" s="9" t="s">
        <v>2283</v>
      </c>
      <c r="F151" s="4" t="s">
        <v>775</v>
      </c>
      <c r="G151" s="9" t="s">
        <v>2349</v>
      </c>
      <c r="H151" s="136">
        <v>3586210.3266384471</v>
      </c>
      <c r="I151" s="137">
        <v>5840644.2069389485</v>
      </c>
      <c r="J151" s="137">
        <v>390600.39017649158</v>
      </c>
      <c r="K151" s="137">
        <v>1387445.2387044521</v>
      </c>
      <c r="L151" s="149">
        <f t="shared" si="22"/>
        <v>3976810.7168149389</v>
      </c>
      <c r="M151" s="138">
        <f t="shared" si="23"/>
        <v>7228089.4456434008</v>
      </c>
      <c r="N151" s="139">
        <f>INDEX('CHIRP Payment Calc'!AM:AM,MATCH(F:F,'CHIRP Payment Calc'!C:C,0))</f>
        <v>1.23</v>
      </c>
      <c r="O151" s="139">
        <f>INDEX('CHIRP Payment Calc'!AL:AL,MATCH(F:F,'CHIRP Payment Calc'!C:C,0))</f>
        <v>1.26</v>
      </c>
      <c r="P151" s="136">
        <f t="shared" si="24"/>
        <v>13998869.883193061</v>
      </c>
      <c r="Q151" s="149">
        <f t="shared" si="30"/>
        <v>718078.93702305679</v>
      </c>
      <c r="R151" s="149">
        <f t="shared" si="31"/>
        <v>142252.30727774647</v>
      </c>
      <c r="S151" s="137">
        <f t="shared" si="32"/>
        <v>860331.24430080329</v>
      </c>
      <c r="T151" s="137">
        <f t="shared" si="25"/>
        <v>4680147.1636767006</v>
      </c>
      <c r="U151" s="137">
        <f t="shared" si="26"/>
        <v>511104.765869239</v>
      </c>
      <c r="V151" s="137">
        <f t="shared" si="27"/>
        <v>7808182.175854722</v>
      </c>
      <c r="W151" s="137">
        <f t="shared" si="28"/>
        <v>1859767.0220932018</v>
      </c>
      <c r="X151" s="138">
        <f t="shared" si="29"/>
        <v>14859201.127493864</v>
      </c>
    </row>
    <row r="152" spans="4:24">
      <c r="D152" s="9" t="s">
        <v>1514</v>
      </c>
      <c r="E152" s="9" t="s">
        <v>2283</v>
      </c>
      <c r="F152" s="4" t="s">
        <v>163</v>
      </c>
      <c r="G152" s="9" t="s">
        <v>2826</v>
      </c>
      <c r="H152" s="136">
        <v>1837214.8724300517</v>
      </c>
      <c r="I152" s="137">
        <v>2438811.829859403</v>
      </c>
      <c r="J152" s="137">
        <v>287784.04613414331</v>
      </c>
      <c r="K152" s="137">
        <v>821078.32571697037</v>
      </c>
      <c r="L152" s="149">
        <f t="shared" si="22"/>
        <v>2124998.9185641948</v>
      </c>
      <c r="M152" s="138">
        <f t="shared" si="23"/>
        <v>3259890.1555763735</v>
      </c>
      <c r="N152" s="139">
        <f>INDEX('CHIRP Payment Calc'!AM:AM,MATCH(F:F,'CHIRP Payment Calc'!C:C,0))</f>
        <v>1.26</v>
      </c>
      <c r="O152" s="139">
        <f>INDEX('CHIRP Payment Calc'!AL:AL,MATCH(F:F,'CHIRP Payment Calc'!C:C,0))</f>
        <v>0.77</v>
      </c>
      <c r="P152" s="136">
        <f t="shared" si="24"/>
        <v>5187614.0571846925</v>
      </c>
      <c r="Q152" s="149">
        <f t="shared" si="30"/>
        <v>255792.69100751437</v>
      </c>
      <c r="R152" s="149">
        <f t="shared" si="31"/>
        <v>63500.311208367311</v>
      </c>
      <c r="S152" s="137">
        <f t="shared" si="32"/>
        <v>319293.00221588166</v>
      </c>
      <c r="T152" s="137">
        <f t="shared" si="25"/>
        <v>2456117.4952380531</v>
      </c>
      <c r="U152" s="137">
        <f t="shared" si="26"/>
        <v>385753.08311597933</v>
      </c>
      <c r="V152" s="137">
        <f t="shared" si="27"/>
        <v>1992451.0440230665</v>
      </c>
      <c r="W152" s="137">
        <f t="shared" si="28"/>
        <v>672585.43702347577</v>
      </c>
      <c r="X152" s="138">
        <f t="shared" si="29"/>
        <v>5506907.0594005752</v>
      </c>
    </row>
    <row r="153" spans="4:24">
      <c r="D153" s="9" t="s">
        <v>1550</v>
      </c>
      <c r="E153" s="9" t="s">
        <v>2295</v>
      </c>
      <c r="F153" s="4" t="s">
        <v>799</v>
      </c>
      <c r="G153" s="9" t="s">
        <v>2806</v>
      </c>
      <c r="H153" s="136">
        <v>413549.2383538133</v>
      </c>
      <c r="I153" s="137">
        <v>3107.9329893822028</v>
      </c>
      <c r="J153" s="137">
        <v>196843.17528394976</v>
      </c>
      <c r="K153" s="137">
        <v>30045.195827298943</v>
      </c>
      <c r="L153" s="149">
        <f t="shared" si="22"/>
        <v>610392.41363776312</v>
      </c>
      <c r="M153" s="138">
        <f t="shared" si="23"/>
        <v>33153.128816681143</v>
      </c>
      <c r="N153" s="139">
        <f>INDEX('CHIRP Payment Calc'!AM:AM,MATCH(F:F,'CHIRP Payment Calc'!C:C,0))</f>
        <v>0.23</v>
      </c>
      <c r="O153" s="139">
        <f>INDEX('CHIRP Payment Calc'!AL:AL,MATCH(F:F,'CHIRP Payment Calc'!C:C,0))</f>
        <v>0</v>
      </c>
      <c r="P153" s="136">
        <f t="shared" si="24"/>
        <v>140390.25513668553</v>
      </c>
      <c r="Q153" s="149">
        <f t="shared" si="30"/>
        <v>5802.8527079354708</v>
      </c>
      <c r="R153" s="149">
        <f t="shared" si="31"/>
        <v>2889.825339275008</v>
      </c>
      <c r="S153" s="137">
        <f t="shared" si="32"/>
        <v>8692.6780472104783</v>
      </c>
      <c r="T153" s="137">
        <f t="shared" si="25"/>
        <v>100919.17752931252</v>
      </c>
      <c r="U153" s="137">
        <f t="shared" si="26"/>
        <v>48163.75565458346</v>
      </c>
      <c r="V153" s="137">
        <f t="shared" si="27"/>
        <v>0</v>
      </c>
      <c r="W153" s="137">
        <f t="shared" si="28"/>
        <v>0</v>
      </c>
      <c r="X153" s="138">
        <f t="shared" si="29"/>
        <v>149082.93318389598</v>
      </c>
    </row>
    <row r="154" spans="4:24">
      <c r="D154" s="9" t="s">
        <v>1550</v>
      </c>
      <c r="E154" s="9" t="s">
        <v>2295</v>
      </c>
      <c r="F154" s="4" t="s">
        <v>528</v>
      </c>
      <c r="G154" s="9" t="s">
        <v>2957</v>
      </c>
      <c r="H154" s="136">
        <v>386410.71832621703</v>
      </c>
      <c r="I154" s="137">
        <v>29804.926877425045</v>
      </c>
      <c r="J154" s="137">
        <v>128935.42923377952</v>
      </c>
      <c r="K154" s="137">
        <v>48999.556081333823</v>
      </c>
      <c r="L154" s="149">
        <f t="shared" si="22"/>
        <v>515346.14755999658</v>
      </c>
      <c r="M154" s="138">
        <f t="shared" si="23"/>
        <v>78804.482958758861</v>
      </c>
      <c r="N154" s="139">
        <f>INDEX('CHIRP Payment Calc'!AM:AM,MATCH(F:F,'CHIRP Payment Calc'!C:C,0))</f>
        <v>0.23</v>
      </c>
      <c r="O154" s="139">
        <f>INDEX('CHIRP Payment Calc'!AL:AL,MATCH(F:F,'CHIRP Payment Calc'!C:C,0))</f>
        <v>0</v>
      </c>
      <c r="P154" s="136">
        <f t="shared" si="24"/>
        <v>118529.61393879922</v>
      </c>
      <c r="Q154" s="149">
        <f t="shared" si="30"/>
        <v>5422.049601977953</v>
      </c>
      <c r="R154" s="149">
        <f t="shared" si="31"/>
        <v>1892.8818334320829</v>
      </c>
      <c r="S154" s="137">
        <f t="shared" si="32"/>
        <v>7314.9314354100361</v>
      </c>
      <c r="T154" s="137">
        <f t="shared" si="25"/>
        <v>94296.514817007876</v>
      </c>
      <c r="U154" s="137">
        <f t="shared" si="26"/>
        <v>31548.030557201379</v>
      </c>
      <c r="V154" s="137">
        <f t="shared" si="27"/>
        <v>0</v>
      </c>
      <c r="W154" s="137">
        <f t="shared" si="28"/>
        <v>0</v>
      </c>
      <c r="X154" s="138">
        <f t="shared" si="29"/>
        <v>125844.54537420925</v>
      </c>
    </row>
    <row r="155" spans="4:24">
      <c r="D155" s="9" t="s">
        <v>1550</v>
      </c>
      <c r="E155" s="9" t="s">
        <v>2295</v>
      </c>
      <c r="F155" s="4" t="s">
        <v>600</v>
      </c>
      <c r="G155" s="9" t="s">
        <v>2996</v>
      </c>
      <c r="H155" s="136">
        <v>1521141.6664365835</v>
      </c>
      <c r="I155" s="137">
        <v>176052.56820490936</v>
      </c>
      <c r="J155" s="137">
        <v>690897.09112766676</v>
      </c>
      <c r="K155" s="137">
        <v>477892.72605501034</v>
      </c>
      <c r="L155" s="149">
        <f t="shared" si="22"/>
        <v>2212038.7575642504</v>
      </c>
      <c r="M155" s="138">
        <f t="shared" si="23"/>
        <v>653945.29425991967</v>
      </c>
      <c r="N155" s="139">
        <f>INDEX('CHIRP Payment Calc'!AM:AM,MATCH(F:F,'CHIRP Payment Calc'!C:C,0))</f>
        <v>0.48</v>
      </c>
      <c r="O155" s="139">
        <f>INDEX('CHIRP Payment Calc'!AL:AL,MATCH(F:F,'CHIRP Payment Calc'!C:C,0))</f>
        <v>0</v>
      </c>
      <c r="P155" s="136">
        <f t="shared" si="24"/>
        <v>1061778.6036308401</v>
      </c>
      <c r="Q155" s="149">
        <f t="shared" si="30"/>
        <v>44544.838189548755</v>
      </c>
      <c r="R155" s="149">
        <f t="shared" si="31"/>
        <v>21167.910877102986</v>
      </c>
      <c r="S155" s="137">
        <f t="shared" si="32"/>
        <v>65712.749066651741</v>
      </c>
      <c r="T155" s="137">
        <f t="shared" si="25"/>
        <v>774692.83807910874</v>
      </c>
      <c r="U155" s="137">
        <f t="shared" si="26"/>
        <v>352798.51461838308</v>
      </c>
      <c r="V155" s="137">
        <f t="shared" si="27"/>
        <v>0</v>
      </c>
      <c r="W155" s="137">
        <f t="shared" si="28"/>
        <v>0</v>
      </c>
      <c r="X155" s="138">
        <f t="shared" si="29"/>
        <v>1127491.3526974919</v>
      </c>
    </row>
    <row r="156" spans="4:24">
      <c r="D156" s="9" t="s">
        <v>1550</v>
      </c>
      <c r="E156" s="9" t="s">
        <v>2295</v>
      </c>
      <c r="F156" s="4" t="s">
        <v>848</v>
      </c>
      <c r="G156" s="9" t="s">
        <v>2997</v>
      </c>
      <c r="H156" s="136">
        <v>1808823.4546607379</v>
      </c>
      <c r="I156" s="137">
        <v>3547233.9814289389</v>
      </c>
      <c r="J156" s="137">
        <v>608132.61439016135</v>
      </c>
      <c r="K156" s="137">
        <v>1261818.3293898443</v>
      </c>
      <c r="L156" s="149">
        <f t="shared" si="22"/>
        <v>2416956.0690508992</v>
      </c>
      <c r="M156" s="138">
        <f t="shared" si="23"/>
        <v>4809052.310818783</v>
      </c>
      <c r="N156" s="139">
        <f>INDEX('CHIRP Payment Calc'!AM:AM,MATCH(F:F,'CHIRP Payment Calc'!C:C,0))</f>
        <v>0.91999999999999993</v>
      </c>
      <c r="O156" s="139">
        <f>INDEX('CHIRP Payment Calc'!AL:AL,MATCH(F:F,'CHIRP Payment Calc'!C:C,0))</f>
        <v>0</v>
      </c>
      <c r="P156" s="136">
        <f t="shared" si="24"/>
        <v>2223599.5835268269</v>
      </c>
      <c r="Q156" s="149">
        <f t="shared" si="30"/>
        <v>101524.41459050719</v>
      </c>
      <c r="R156" s="149">
        <f t="shared" si="31"/>
        <v>35711.617355677561</v>
      </c>
      <c r="S156" s="137">
        <f t="shared" si="32"/>
        <v>137236.03194618475</v>
      </c>
      <c r="T156" s="137">
        <f t="shared" si="25"/>
        <v>1765641.9928783858</v>
      </c>
      <c r="U156" s="137">
        <f t="shared" si="26"/>
        <v>595193.62259462592</v>
      </c>
      <c r="V156" s="137">
        <f t="shared" si="27"/>
        <v>0</v>
      </c>
      <c r="W156" s="137">
        <f t="shared" si="28"/>
        <v>0</v>
      </c>
      <c r="X156" s="138">
        <f t="shared" si="29"/>
        <v>2360835.6154730115</v>
      </c>
    </row>
    <row r="157" spans="4:24">
      <c r="D157" s="9" t="s">
        <v>1550</v>
      </c>
      <c r="E157" s="9" t="s">
        <v>2283</v>
      </c>
      <c r="F157" s="4" t="s">
        <v>504</v>
      </c>
      <c r="G157" s="9" t="s">
        <v>2427</v>
      </c>
      <c r="H157" s="136">
        <v>2915511.2936309357</v>
      </c>
      <c r="I157" s="137">
        <v>5759236.5349110635</v>
      </c>
      <c r="J157" s="137">
        <v>2189553.1756322645</v>
      </c>
      <c r="K157" s="137">
        <v>2747404.157815787</v>
      </c>
      <c r="L157" s="149">
        <f t="shared" si="22"/>
        <v>5105064.4692631997</v>
      </c>
      <c r="M157" s="138">
        <f t="shared" si="23"/>
        <v>8506640.6927268505</v>
      </c>
      <c r="N157" s="139">
        <f>INDEX('CHIRP Payment Calc'!AM:AM,MATCH(F:F,'CHIRP Payment Calc'!C:C,0))</f>
        <v>1.26</v>
      </c>
      <c r="O157" s="139">
        <f>INDEX('CHIRP Payment Calc'!AL:AL,MATCH(F:F,'CHIRP Payment Calc'!C:C,0))</f>
        <v>3.67</v>
      </c>
      <c r="P157" s="136">
        <f t="shared" si="24"/>
        <v>37651752.573579177</v>
      </c>
      <c r="Q157" s="149">
        <f t="shared" si="30"/>
        <v>1513603.9076956694</v>
      </c>
      <c r="R157" s="149">
        <f t="shared" si="31"/>
        <v>819690.01662642078</v>
      </c>
      <c r="S157" s="137">
        <f t="shared" si="32"/>
        <v>2333293.9243220901</v>
      </c>
      <c r="T157" s="137">
        <f t="shared" si="25"/>
        <v>3897659.660450906</v>
      </c>
      <c r="U157" s="137">
        <f t="shared" si="26"/>
        <v>2934932.9801028227</v>
      </c>
      <c r="V157" s="137">
        <f t="shared" si="27"/>
        <v>22425886.560343344</v>
      </c>
      <c r="W157" s="137">
        <f t="shared" si="28"/>
        <v>10726567.297004189</v>
      </c>
      <c r="X157" s="138">
        <f t="shared" si="29"/>
        <v>39985046.497901261</v>
      </c>
    </row>
    <row r="158" spans="4:24">
      <c r="D158" s="9" t="s">
        <v>1550</v>
      </c>
      <c r="E158" s="9" t="s">
        <v>2283</v>
      </c>
      <c r="F158" s="4" t="s">
        <v>2289</v>
      </c>
      <c r="G158" s="9" t="s">
        <v>2958</v>
      </c>
      <c r="H158" s="136">
        <v>372275.90011487185</v>
      </c>
      <c r="I158" s="137">
        <v>229585.67160574242</v>
      </c>
      <c r="J158" s="137">
        <v>456488.53332044982</v>
      </c>
      <c r="K158" s="137">
        <v>449629.87836193648</v>
      </c>
      <c r="L158" s="149">
        <f t="shared" si="22"/>
        <v>828764.43343532167</v>
      </c>
      <c r="M158" s="138">
        <f t="shared" si="23"/>
        <v>679215.54996767896</v>
      </c>
      <c r="N158" s="139">
        <f>INDEX('CHIRP Payment Calc'!AM:AM,MATCH(F:F,'CHIRP Payment Calc'!C:C,0))</f>
        <v>1.34</v>
      </c>
      <c r="O158" s="139">
        <f>INDEX('CHIRP Payment Calc'!AL:AL,MATCH(F:F,'CHIRP Payment Calc'!C:C,0))</f>
        <v>1.58</v>
      </c>
      <c r="P158" s="136">
        <f t="shared" si="24"/>
        <v>2183704.9097522637</v>
      </c>
      <c r="Q158" s="149">
        <f t="shared" si="30"/>
        <v>52564.155298920508</v>
      </c>
      <c r="R158" s="149">
        <f t="shared" si="31"/>
        <v>84389.989944335903</v>
      </c>
      <c r="S158" s="137">
        <f t="shared" si="32"/>
        <v>136954.14524325641</v>
      </c>
      <c r="T158" s="137">
        <f t="shared" si="25"/>
        <v>529283.50785562687</v>
      </c>
      <c r="U158" s="137">
        <f t="shared" si="26"/>
        <v>650738.97303127951</v>
      </c>
      <c r="V158" s="137">
        <f t="shared" si="27"/>
        <v>384875.71473429503</v>
      </c>
      <c r="W158" s="137">
        <f t="shared" si="28"/>
        <v>755760.85937431885</v>
      </c>
      <c r="X158" s="138">
        <f t="shared" si="29"/>
        <v>2320659.05499552</v>
      </c>
    </row>
    <row r="159" spans="4:24">
      <c r="D159" s="9" t="s">
        <v>1550</v>
      </c>
      <c r="E159" s="9" t="s">
        <v>2283</v>
      </c>
      <c r="F159" s="4" t="s">
        <v>594</v>
      </c>
      <c r="G159" s="9" t="s">
        <v>2998</v>
      </c>
      <c r="H159" s="136">
        <v>4640097.5335628288</v>
      </c>
      <c r="I159" s="137">
        <v>6725514.8782119332</v>
      </c>
      <c r="J159" s="137">
        <v>2592903.7407816662</v>
      </c>
      <c r="K159" s="137">
        <v>3930068.1290096687</v>
      </c>
      <c r="L159" s="149">
        <f t="shared" si="22"/>
        <v>7233001.2743444946</v>
      </c>
      <c r="M159" s="138">
        <f t="shared" si="23"/>
        <v>10655583.007221602</v>
      </c>
      <c r="N159" s="139">
        <f>INDEX('CHIRP Payment Calc'!AM:AM,MATCH(F:F,'CHIRP Payment Calc'!C:C,0))</f>
        <v>1.17</v>
      </c>
      <c r="O159" s="139">
        <f>INDEX('CHIRP Payment Calc'!AL:AL,MATCH(F:F,'CHIRP Payment Calc'!C:C,0))</f>
        <v>1.63</v>
      </c>
      <c r="P159" s="136">
        <f t="shared" si="24"/>
        <v>25831211.792754266</v>
      </c>
      <c r="Q159" s="149">
        <f t="shared" si="30"/>
        <v>1000012.1416772973</v>
      </c>
      <c r="R159" s="149">
        <f t="shared" si="31"/>
        <v>602534.58044682839</v>
      </c>
      <c r="S159" s="137">
        <f t="shared" si="32"/>
        <v>1602546.7221241258</v>
      </c>
      <c r="T159" s="137">
        <f t="shared" si="25"/>
        <v>5760121.0761469593</v>
      </c>
      <c r="U159" s="137">
        <f t="shared" si="26"/>
        <v>3227337.6348027121</v>
      </c>
      <c r="V159" s="137">
        <f t="shared" si="27"/>
        <v>11631394.431284297</v>
      </c>
      <c r="W159" s="137">
        <f t="shared" si="28"/>
        <v>6814905.3726444254</v>
      </c>
      <c r="X159" s="138">
        <f t="shared" si="29"/>
        <v>27433758.514878392</v>
      </c>
    </row>
    <row r="160" spans="4:24">
      <c r="D160" s="9" t="s">
        <v>1550</v>
      </c>
      <c r="E160" s="9" t="s">
        <v>2283</v>
      </c>
      <c r="F160" s="4" t="s">
        <v>1135</v>
      </c>
      <c r="G160" s="9" t="s">
        <v>2904</v>
      </c>
      <c r="H160" s="136">
        <v>2125665.1968404818</v>
      </c>
      <c r="I160" s="137">
        <v>3768958.3891386739</v>
      </c>
      <c r="J160" s="137">
        <v>897038.51330276392</v>
      </c>
      <c r="K160" s="137">
        <v>1467142.7458945466</v>
      </c>
      <c r="L160" s="149">
        <f t="shared" si="22"/>
        <v>3022703.7101432458</v>
      </c>
      <c r="M160" s="138">
        <f t="shared" si="23"/>
        <v>5236101.1350332201</v>
      </c>
      <c r="N160" s="139">
        <f>INDEX('CHIRP Payment Calc'!AM:AM,MATCH(F:F,'CHIRP Payment Calc'!C:C,0))</f>
        <v>1.04</v>
      </c>
      <c r="O160" s="139">
        <f>INDEX('CHIRP Payment Calc'!AL:AL,MATCH(F:F,'CHIRP Payment Calc'!C:C,0))</f>
        <v>1.26</v>
      </c>
      <c r="P160" s="136">
        <f t="shared" si="24"/>
        <v>9741099.2886908315</v>
      </c>
      <c r="Q160" s="149">
        <f t="shared" si="30"/>
        <v>424589.72314499493</v>
      </c>
      <c r="R160" s="149">
        <f t="shared" si="31"/>
        <v>177543.82427629811</v>
      </c>
      <c r="S160" s="137">
        <f t="shared" si="32"/>
        <v>602133.5474212931</v>
      </c>
      <c r="T160" s="137">
        <f t="shared" si="25"/>
        <v>2345561.596513635</v>
      </c>
      <c r="U160" s="137">
        <f t="shared" si="26"/>
        <v>992468.14237752615</v>
      </c>
      <c r="V160" s="137">
        <f t="shared" si="27"/>
        <v>5038607.5016601896</v>
      </c>
      <c r="W160" s="137">
        <f t="shared" si="28"/>
        <v>1966595.5955607754</v>
      </c>
      <c r="X160" s="138">
        <f t="shared" si="29"/>
        <v>10343232.836112127</v>
      </c>
    </row>
    <row r="161" spans="4:24">
      <c r="D161" s="9" t="s">
        <v>1526</v>
      </c>
      <c r="E161" s="9" t="s">
        <v>1547</v>
      </c>
      <c r="F161" s="4" t="s">
        <v>884</v>
      </c>
      <c r="G161" s="9" t="s">
        <v>2819</v>
      </c>
      <c r="H161" s="136">
        <v>8534183.7658307925</v>
      </c>
      <c r="I161" s="137">
        <v>32463629.38739552</v>
      </c>
      <c r="J161" s="137">
        <v>1842318.7684747612</v>
      </c>
      <c r="K161" s="137">
        <v>281242.68043739599</v>
      </c>
      <c r="L161" s="149">
        <f t="shared" si="22"/>
        <v>10376502.534305554</v>
      </c>
      <c r="M161" s="138">
        <f t="shared" si="23"/>
        <v>32744872.067832917</v>
      </c>
      <c r="N161" s="139">
        <f>INDEX('CHIRP Payment Calc'!AM:AM,MATCH(F:F,'CHIRP Payment Calc'!C:C,0))</f>
        <v>1.73</v>
      </c>
      <c r="O161" s="139">
        <f>INDEX('CHIRP Payment Calc'!AL:AL,MATCH(F:F,'CHIRP Payment Calc'!C:C,0))</f>
        <v>0.49</v>
      </c>
      <c r="P161" s="136">
        <f t="shared" si="24"/>
        <v>33996336.697586738</v>
      </c>
      <c r="Q161" s="149">
        <f t="shared" si="30"/>
        <v>1871194.3640274659</v>
      </c>
      <c r="R161" s="149">
        <f t="shared" si="31"/>
        <v>212235.34358780817</v>
      </c>
      <c r="S161" s="137">
        <f t="shared" si="32"/>
        <v>2083429.707615274</v>
      </c>
      <c r="T161" s="137">
        <f t="shared" si="25"/>
        <v>15664867.814204</v>
      </c>
      <c r="U161" s="137">
        <f t="shared" si="26"/>
        <v>3390650.4994269544</v>
      </c>
      <c r="V161" s="137">
        <f t="shared" si="27"/>
        <v>16877642.864534538</v>
      </c>
      <c r="W161" s="137">
        <f t="shared" si="28"/>
        <v>146605.22703651493</v>
      </c>
      <c r="X161" s="138">
        <f t="shared" si="29"/>
        <v>36079766.405202009</v>
      </c>
    </row>
    <row r="162" spans="4:24">
      <c r="D162" s="9" t="s">
        <v>1526</v>
      </c>
      <c r="E162" s="9" t="s">
        <v>2544</v>
      </c>
      <c r="F162" s="4" t="s">
        <v>1269</v>
      </c>
      <c r="G162" s="9" t="s">
        <v>2999</v>
      </c>
      <c r="H162" s="136">
        <v>0</v>
      </c>
      <c r="I162" s="137">
        <v>5872.5329898181408</v>
      </c>
      <c r="J162" s="137">
        <v>0</v>
      </c>
      <c r="K162" s="137">
        <v>0</v>
      </c>
      <c r="L162" s="149">
        <f t="shared" si="22"/>
        <v>0</v>
      </c>
      <c r="M162" s="138">
        <f t="shared" si="23"/>
        <v>5872.5329898181408</v>
      </c>
      <c r="N162" s="139">
        <f>INDEX('CHIRP Payment Calc'!AM:AM,MATCH(F:F,'CHIRP Payment Calc'!C:C,0))</f>
        <v>0</v>
      </c>
      <c r="O162" s="139">
        <f>INDEX('CHIRP Payment Calc'!AL:AL,MATCH(F:F,'CHIRP Payment Calc'!C:C,0))</f>
        <v>0.15</v>
      </c>
      <c r="P162" s="136">
        <f t="shared" si="24"/>
        <v>880.87994847272114</v>
      </c>
      <c r="Q162" s="149">
        <f t="shared" si="30"/>
        <v>53.740686511598376</v>
      </c>
      <c r="R162" s="149">
        <f t="shared" si="31"/>
        <v>0</v>
      </c>
      <c r="S162" s="137">
        <f t="shared" si="32"/>
        <v>53.740686511598376</v>
      </c>
      <c r="T162" s="137">
        <f t="shared" si="25"/>
        <v>0</v>
      </c>
      <c r="U162" s="137">
        <f t="shared" si="26"/>
        <v>0</v>
      </c>
      <c r="V162" s="137">
        <f t="shared" si="27"/>
        <v>934.62063498431951</v>
      </c>
      <c r="W162" s="137">
        <f t="shared" si="28"/>
        <v>0</v>
      </c>
      <c r="X162" s="138">
        <f t="shared" si="29"/>
        <v>934.62063498431951</v>
      </c>
    </row>
    <row r="163" spans="4:24">
      <c r="D163" s="9" t="s">
        <v>1526</v>
      </c>
      <c r="E163" s="9" t="s">
        <v>2295</v>
      </c>
      <c r="F163" s="4" t="s">
        <v>878</v>
      </c>
      <c r="G163" s="9" t="s">
        <v>2821</v>
      </c>
      <c r="H163" s="136">
        <v>1918530.9316670634</v>
      </c>
      <c r="I163" s="137">
        <v>2057644.9306332911</v>
      </c>
      <c r="J163" s="137">
        <v>229039.6472388843</v>
      </c>
      <c r="K163" s="137">
        <v>371324.12685993355</v>
      </c>
      <c r="L163" s="149">
        <f t="shared" si="22"/>
        <v>2147570.5789059475</v>
      </c>
      <c r="M163" s="138">
        <f t="shared" si="23"/>
        <v>2428969.0574932247</v>
      </c>
      <c r="N163" s="139">
        <f>INDEX('CHIRP Payment Calc'!AM:AM,MATCH(F:F,'CHIRP Payment Calc'!C:C,0))</f>
        <v>0.60000000000000009</v>
      </c>
      <c r="O163" s="139">
        <f>INDEX('CHIRP Payment Calc'!AL:AL,MATCH(F:F,'CHIRP Payment Calc'!C:C,0))</f>
        <v>0.62</v>
      </c>
      <c r="P163" s="136">
        <f t="shared" si="24"/>
        <v>2794503.1629893677</v>
      </c>
      <c r="Q163" s="149">
        <f t="shared" si="30"/>
        <v>148057.67524624991</v>
      </c>
      <c r="R163" s="149">
        <f t="shared" si="31"/>
        <v>23466.685978499328</v>
      </c>
      <c r="S163" s="137">
        <f t="shared" si="32"/>
        <v>171524.36122474924</v>
      </c>
      <c r="T163" s="137">
        <f t="shared" si="25"/>
        <v>1221345.9511938868</v>
      </c>
      <c r="U163" s="137">
        <f t="shared" si="26"/>
        <v>146195.51951418151</v>
      </c>
      <c r="V163" s="137">
        <f t="shared" si="27"/>
        <v>1353570.1400452419</v>
      </c>
      <c r="W163" s="137">
        <f t="shared" si="28"/>
        <v>244915.91346080726</v>
      </c>
      <c r="X163" s="138">
        <f t="shared" si="29"/>
        <v>2966027.5242141173</v>
      </c>
    </row>
    <row r="164" spans="4:24">
      <c r="D164" s="9" t="s">
        <v>1526</v>
      </c>
      <c r="E164" s="9" t="s">
        <v>2295</v>
      </c>
      <c r="F164" s="4" t="s">
        <v>1178</v>
      </c>
      <c r="G164" s="9" t="s">
        <v>2580</v>
      </c>
      <c r="H164" s="136">
        <v>299147.85547027073</v>
      </c>
      <c r="I164" s="137">
        <v>29369.662487537738</v>
      </c>
      <c r="J164" s="137">
        <v>50187.438990806389</v>
      </c>
      <c r="K164" s="137">
        <v>11006.321732382645</v>
      </c>
      <c r="L164" s="149">
        <f t="shared" si="22"/>
        <v>349335.29446107714</v>
      </c>
      <c r="M164" s="138">
        <f t="shared" si="23"/>
        <v>40375.984219920385</v>
      </c>
      <c r="N164" s="139">
        <f>INDEX('CHIRP Payment Calc'!AM:AM,MATCH(F:F,'CHIRP Payment Calc'!C:C,0))</f>
        <v>0.2</v>
      </c>
      <c r="O164" s="139">
        <f>INDEX('CHIRP Payment Calc'!AL:AL,MATCH(F:F,'CHIRP Payment Calc'!C:C,0))</f>
        <v>0.62</v>
      </c>
      <c r="P164" s="136">
        <f t="shared" si="24"/>
        <v>94900.169108566071</v>
      </c>
      <c r="Q164" s="149">
        <f t="shared" si="30"/>
        <v>4760.9854701207787</v>
      </c>
      <c r="R164" s="149">
        <f t="shared" si="31"/>
        <v>1076.2600386535228</v>
      </c>
      <c r="S164" s="137">
        <f t="shared" si="32"/>
        <v>5837.2455087743019</v>
      </c>
      <c r="T164" s="137">
        <f t="shared" si="25"/>
        <v>63479.651028174165</v>
      </c>
      <c r="U164" s="137">
        <f t="shared" si="26"/>
        <v>10678.178508682213</v>
      </c>
      <c r="V164" s="137">
        <f t="shared" si="27"/>
        <v>19320.096278274163</v>
      </c>
      <c r="W164" s="137">
        <f t="shared" si="28"/>
        <v>7259.4888022098303</v>
      </c>
      <c r="X164" s="138">
        <f t="shared" si="29"/>
        <v>100737.41461734039</v>
      </c>
    </row>
    <row r="165" spans="4:24">
      <c r="D165" s="9" t="s">
        <v>1526</v>
      </c>
      <c r="E165" s="9" t="s">
        <v>2295</v>
      </c>
      <c r="F165" s="4" t="s">
        <v>872</v>
      </c>
      <c r="G165" s="9" t="s">
        <v>2820</v>
      </c>
      <c r="H165" s="136">
        <v>1103524.1876754879</v>
      </c>
      <c r="I165" s="137">
        <v>1526062.5603203303</v>
      </c>
      <c r="J165" s="137">
        <v>133317.49695331574</v>
      </c>
      <c r="K165" s="137">
        <v>241363.16853822223</v>
      </c>
      <c r="L165" s="149">
        <f t="shared" si="22"/>
        <v>1236841.6846288037</v>
      </c>
      <c r="M165" s="138">
        <f t="shared" si="23"/>
        <v>1767425.7288585526</v>
      </c>
      <c r="N165" s="139">
        <f>INDEX('CHIRP Payment Calc'!AM:AM,MATCH(F:F,'CHIRP Payment Calc'!C:C,0))</f>
        <v>0.44</v>
      </c>
      <c r="O165" s="139">
        <f>INDEX('CHIRP Payment Calc'!AL:AL,MATCH(F:F,'CHIRP Payment Calc'!C:C,0))</f>
        <v>0.62</v>
      </c>
      <c r="P165" s="136">
        <f t="shared" si="24"/>
        <v>1640014.2931289761</v>
      </c>
      <c r="Q165" s="149">
        <f t="shared" si="30"/>
        <v>87345.668141760878</v>
      </c>
      <c r="R165" s="149">
        <f t="shared" si="31"/>
        <v>13296.055094882344</v>
      </c>
      <c r="S165" s="137">
        <f t="shared" si="32"/>
        <v>100641.72323664321</v>
      </c>
      <c r="T165" s="137">
        <f t="shared" si="25"/>
        <v>515173.09557264153</v>
      </c>
      <c r="U165" s="137">
        <f t="shared" si="26"/>
        <v>62403.934744105245</v>
      </c>
      <c r="V165" s="137">
        <f t="shared" si="27"/>
        <v>1003882.0025449388</v>
      </c>
      <c r="W165" s="137">
        <f t="shared" si="28"/>
        <v>159196.98350393382</v>
      </c>
      <c r="X165" s="138">
        <f t="shared" si="29"/>
        <v>1740656.0163656194</v>
      </c>
    </row>
    <row r="166" spans="4:24">
      <c r="D166" s="9" t="s">
        <v>1526</v>
      </c>
      <c r="E166" s="9" t="s">
        <v>2295</v>
      </c>
      <c r="F166" s="4" t="s">
        <v>1076</v>
      </c>
      <c r="G166" s="9" t="s">
        <v>2654</v>
      </c>
      <c r="H166" s="136">
        <v>288531.28212848166</v>
      </c>
      <c r="I166" s="137">
        <v>24956.055907325495</v>
      </c>
      <c r="J166" s="137">
        <v>64095.912573845111</v>
      </c>
      <c r="K166" s="137">
        <v>2653.0773885426725</v>
      </c>
      <c r="L166" s="149">
        <f t="shared" si="22"/>
        <v>352627.19470232679</v>
      </c>
      <c r="M166" s="138">
        <f t="shared" si="23"/>
        <v>27609.133295868167</v>
      </c>
      <c r="N166" s="139">
        <f>INDEX('CHIRP Payment Calc'!AM:AM,MATCH(F:F,'CHIRP Payment Calc'!C:C,0))</f>
        <v>0.2</v>
      </c>
      <c r="O166" s="139">
        <f>INDEX('CHIRP Payment Calc'!AL:AL,MATCH(F:F,'CHIRP Payment Calc'!C:C,0))</f>
        <v>0.62</v>
      </c>
      <c r="P166" s="136">
        <f t="shared" si="24"/>
        <v>87643.101583903626</v>
      </c>
      <c r="Q166" s="149">
        <f t="shared" si="30"/>
        <v>4464.50200273071</v>
      </c>
      <c r="R166" s="149">
        <f t="shared" si="31"/>
        <v>923.23981887226489</v>
      </c>
      <c r="S166" s="137">
        <f t="shared" si="32"/>
        <v>5387.7418216029746</v>
      </c>
      <c r="T166" s="137">
        <f t="shared" si="25"/>
        <v>61226.797268643328</v>
      </c>
      <c r="U166" s="137">
        <f t="shared" si="26"/>
        <v>13637.42820720109</v>
      </c>
      <c r="V166" s="137">
        <f t="shared" si="27"/>
        <v>16416.715822325525</v>
      </c>
      <c r="W166" s="137">
        <f t="shared" si="28"/>
        <v>1749.9021073366564</v>
      </c>
      <c r="X166" s="138">
        <f t="shared" si="29"/>
        <v>93030.843405506603</v>
      </c>
    </row>
    <row r="167" spans="4:24">
      <c r="D167" s="9" t="s">
        <v>1526</v>
      </c>
      <c r="E167" s="9" t="s">
        <v>2295</v>
      </c>
      <c r="F167" s="4" t="s">
        <v>684</v>
      </c>
      <c r="G167" s="9" t="s">
        <v>2886</v>
      </c>
      <c r="H167" s="136">
        <v>1554818.4014383072</v>
      </c>
      <c r="I167" s="137">
        <v>792833.37113798503</v>
      </c>
      <c r="J167" s="137">
        <v>141877.45439618279</v>
      </c>
      <c r="K167" s="137">
        <v>35005.350963185912</v>
      </c>
      <c r="L167" s="149">
        <f t="shared" si="22"/>
        <v>1696695.8558344902</v>
      </c>
      <c r="M167" s="138">
        <f t="shared" si="23"/>
        <v>827838.72210117092</v>
      </c>
      <c r="N167" s="139">
        <f>INDEX('CHIRP Payment Calc'!AM:AM,MATCH(F:F,'CHIRP Payment Calc'!C:C,0))</f>
        <v>0.2</v>
      </c>
      <c r="O167" s="139">
        <f>INDEX('CHIRP Payment Calc'!AL:AL,MATCH(F:F,'CHIRP Payment Calc'!C:C,0))</f>
        <v>0.62</v>
      </c>
      <c r="P167" s="136">
        <f t="shared" si="24"/>
        <v>852599.17886962392</v>
      </c>
      <c r="Q167" s="149">
        <f t="shared" si="30"/>
        <v>48960.128697729131</v>
      </c>
      <c r="R167" s="149">
        <f t="shared" si="31"/>
        <v>3196.5196899837338</v>
      </c>
      <c r="S167" s="137">
        <f t="shared" si="32"/>
        <v>52156.648387712863</v>
      </c>
      <c r="T167" s="137">
        <f t="shared" si="25"/>
        <v>329934.93929725356</v>
      </c>
      <c r="U167" s="137">
        <f t="shared" si="26"/>
        <v>30186.692424719746</v>
      </c>
      <c r="V167" s="137">
        <f t="shared" si="27"/>
        <v>521545.55979368777</v>
      </c>
      <c r="W167" s="137">
        <f t="shared" si="28"/>
        <v>23088.635741675815</v>
      </c>
      <c r="X167" s="138">
        <f t="shared" si="29"/>
        <v>904755.82725733693</v>
      </c>
    </row>
    <row r="168" spans="4:24">
      <c r="D168" s="9" t="s">
        <v>1526</v>
      </c>
      <c r="E168" s="9" t="s">
        <v>2295</v>
      </c>
      <c r="F168" s="4" t="s">
        <v>787</v>
      </c>
      <c r="G168" s="9" t="s">
        <v>2807</v>
      </c>
      <c r="H168" s="136">
        <v>254401.60135990239</v>
      </c>
      <c r="I168" s="137">
        <v>279238.03425370983</v>
      </c>
      <c r="J168" s="137">
        <v>78044.889822780402</v>
      </c>
      <c r="K168" s="137">
        <v>30723.397191574652</v>
      </c>
      <c r="L168" s="149">
        <f t="shared" si="22"/>
        <v>332446.4911826828</v>
      </c>
      <c r="M168" s="138">
        <f t="shared" si="23"/>
        <v>309961.43144528451</v>
      </c>
      <c r="N168" s="139">
        <f>INDEX('CHIRP Payment Calc'!AM:AM,MATCH(F:F,'CHIRP Payment Calc'!C:C,0))</f>
        <v>0.39</v>
      </c>
      <c r="O168" s="139">
        <f>INDEX('CHIRP Payment Calc'!AL:AL,MATCH(F:F,'CHIRP Payment Calc'!C:C,0))</f>
        <v>0.62</v>
      </c>
      <c r="P168" s="136">
        <f t="shared" si="24"/>
        <v>321830.21905732271</v>
      </c>
      <c r="Q168" s="149">
        <f t="shared" si="30"/>
        <v>16615.163747098744</v>
      </c>
      <c r="R168" s="149">
        <f t="shared" si="31"/>
        <v>3158.6816993400416</v>
      </c>
      <c r="S168" s="137">
        <f t="shared" si="32"/>
        <v>19773.845446438787</v>
      </c>
      <c r="T168" s="137">
        <f t="shared" si="25"/>
        <v>105269.62814892513</v>
      </c>
      <c r="U168" s="137">
        <f t="shared" si="26"/>
        <v>32380.326628600382</v>
      </c>
      <c r="V168" s="137">
        <f t="shared" si="27"/>
        <v>183689.74136583562</v>
      </c>
      <c r="W168" s="137">
        <f t="shared" si="28"/>
        <v>20264.368360400305</v>
      </c>
      <c r="X168" s="138">
        <f t="shared" si="29"/>
        <v>341604.06450376147</v>
      </c>
    </row>
    <row r="169" spans="4:24">
      <c r="D169" s="9" t="s">
        <v>1526</v>
      </c>
      <c r="E169" s="9" t="s">
        <v>2295</v>
      </c>
      <c r="F169" s="4" t="s">
        <v>1087</v>
      </c>
      <c r="G169" s="9" t="s">
        <v>2827</v>
      </c>
      <c r="H169" s="136">
        <v>636814.4255711853</v>
      </c>
      <c r="I169" s="137">
        <v>317837.47634785232</v>
      </c>
      <c r="J169" s="137">
        <v>168472.29460818233</v>
      </c>
      <c r="K169" s="137">
        <v>66940.650370449235</v>
      </c>
      <c r="L169" s="149">
        <f t="shared" si="22"/>
        <v>805286.72017936758</v>
      </c>
      <c r="M169" s="138">
        <f t="shared" si="23"/>
        <v>384778.12671830156</v>
      </c>
      <c r="N169" s="139">
        <f>INDEX('CHIRP Payment Calc'!AM:AM,MATCH(F:F,'CHIRP Payment Calc'!C:C,0))</f>
        <v>0.33</v>
      </c>
      <c r="O169" s="139">
        <f>INDEX('CHIRP Payment Calc'!AL:AL,MATCH(F:F,'CHIRP Payment Calc'!C:C,0))</f>
        <v>0.62</v>
      </c>
      <c r="P169" s="136">
        <f t="shared" si="24"/>
        <v>504307.05622453825</v>
      </c>
      <c r="Q169" s="149">
        <f t="shared" si="30"/>
        <v>24842.928124152972</v>
      </c>
      <c r="R169" s="149">
        <f t="shared" si="31"/>
        <v>6197.8123691731089</v>
      </c>
      <c r="S169" s="137">
        <f t="shared" si="32"/>
        <v>31040.74049332608</v>
      </c>
      <c r="T169" s="137">
        <f t="shared" si="25"/>
        <v>222969.50709654234</v>
      </c>
      <c r="U169" s="137">
        <f t="shared" si="26"/>
        <v>59144.528958191673</v>
      </c>
      <c r="V169" s="137">
        <f t="shared" si="27"/>
        <v>209081.41680177022</v>
      </c>
      <c r="W169" s="137">
        <f t="shared" si="28"/>
        <v>44152.343861360132</v>
      </c>
      <c r="X169" s="138">
        <f t="shared" si="29"/>
        <v>535347.79671786434</v>
      </c>
    </row>
    <row r="170" spans="4:24">
      <c r="D170" s="9" t="s">
        <v>1526</v>
      </c>
      <c r="E170" s="9" t="s">
        <v>2295</v>
      </c>
      <c r="F170" s="4" t="s">
        <v>814</v>
      </c>
      <c r="G170" s="9" t="s">
        <v>2343</v>
      </c>
      <c r="H170" s="136">
        <v>227676.05337579706</v>
      </c>
      <c r="I170" s="137">
        <v>17.221313275952493</v>
      </c>
      <c r="J170" s="137">
        <v>54733.641906887839</v>
      </c>
      <c r="K170" s="137">
        <v>18109.554496475404</v>
      </c>
      <c r="L170" s="149">
        <f t="shared" si="22"/>
        <v>282409.69528268487</v>
      </c>
      <c r="M170" s="138">
        <f t="shared" si="23"/>
        <v>18126.775809751358</v>
      </c>
      <c r="N170" s="139">
        <f>INDEX('CHIRP Payment Calc'!AM:AM,MATCH(F:F,'CHIRP Payment Calc'!C:C,0))</f>
        <v>0.21000000000000002</v>
      </c>
      <c r="O170" s="139">
        <f>INDEX('CHIRP Payment Calc'!AL:AL,MATCH(F:F,'CHIRP Payment Calc'!C:C,0))</f>
        <v>0.62</v>
      </c>
      <c r="P170" s="136">
        <f t="shared" si="24"/>
        <v>70544.637011409679</v>
      </c>
      <c r="Q170" s="149">
        <f t="shared" si="30"/>
        <v>2917.5621053910213</v>
      </c>
      <c r="R170" s="149">
        <f t="shared" si="31"/>
        <v>1450.3396971230554</v>
      </c>
      <c r="S170" s="137">
        <f t="shared" si="32"/>
        <v>4367.9018025140767</v>
      </c>
      <c r="T170" s="137">
        <f t="shared" si="25"/>
        <v>50728.881919275744</v>
      </c>
      <c r="U170" s="137">
        <f t="shared" si="26"/>
        <v>12227.728511113242</v>
      </c>
      <c r="V170" s="137">
        <f t="shared" si="27"/>
        <v>11.328609263756546</v>
      </c>
      <c r="W170" s="137">
        <f t="shared" si="28"/>
        <v>11944.599774271011</v>
      </c>
      <c r="X170" s="138">
        <f t="shared" si="29"/>
        <v>74912.538813923762</v>
      </c>
    </row>
    <row r="171" spans="4:24">
      <c r="D171" s="9" t="s">
        <v>1526</v>
      </c>
      <c r="E171" s="9" t="s">
        <v>2295</v>
      </c>
      <c r="F171" s="4" t="s">
        <v>723</v>
      </c>
      <c r="G171" s="9" t="s">
        <v>2901</v>
      </c>
      <c r="H171" s="136">
        <v>1314578.0673449289</v>
      </c>
      <c r="I171" s="137">
        <v>1724602.9042010533</v>
      </c>
      <c r="J171" s="137">
        <v>210506.77878065628</v>
      </c>
      <c r="K171" s="137">
        <v>85046.78874498028</v>
      </c>
      <c r="L171" s="149">
        <f t="shared" si="22"/>
        <v>1525084.846125585</v>
      </c>
      <c r="M171" s="138">
        <f t="shared" si="23"/>
        <v>1809649.6929460336</v>
      </c>
      <c r="N171" s="139">
        <f>INDEX('CHIRP Payment Calc'!AM:AM,MATCH(F:F,'CHIRP Payment Calc'!C:C,0))</f>
        <v>0.2</v>
      </c>
      <c r="O171" s="139">
        <f>INDEX('CHIRP Payment Calc'!AL:AL,MATCH(F:F,'CHIRP Payment Calc'!C:C,0))</f>
        <v>0.62</v>
      </c>
      <c r="P171" s="136">
        <f t="shared" si="24"/>
        <v>1426999.7788516579</v>
      </c>
      <c r="Q171" s="149">
        <f t="shared" si="30"/>
        <v>81272.935076110589</v>
      </c>
      <c r="R171" s="149">
        <f t="shared" si="31"/>
        <v>6053.0020071075987</v>
      </c>
      <c r="S171" s="137">
        <f t="shared" si="32"/>
        <v>87325.937083218188</v>
      </c>
      <c r="T171" s="137">
        <f t="shared" si="25"/>
        <v>278955.55805727933</v>
      </c>
      <c r="U171" s="137">
        <f t="shared" si="26"/>
        <v>44788.676336309851</v>
      </c>
      <c r="V171" s="137">
        <f t="shared" si="27"/>
        <v>1134486.7910924701</v>
      </c>
      <c r="W171" s="137">
        <f t="shared" si="28"/>
        <v>56094.690448816786</v>
      </c>
      <c r="X171" s="138">
        <f t="shared" si="29"/>
        <v>1514325.7159348761</v>
      </c>
    </row>
    <row r="172" spans="4:24">
      <c r="D172" s="9" t="s">
        <v>1526</v>
      </c>
      <c r="E172" s="9" t="s">
        <v>2283</v>
      </c>
      <c r="F172" s="4" t="s">
        <v>2552</v>
      </c>
      <c r="G172" s="9" t="s">
        <v>2553</v>
      </c>
      <c r="H172" s="136">
        <v>0</v>
      </c>
      <c r="I172" s="137">
        <v>0</v>
      </c>
      <c r="J172" s="137">
        <v>0</v>
      </c>
      <c r="K172" s="137">
        <v>0</v>
      </c>
      <c r="L172" s="149">
        <f t="shared" si="22"/>
        <v>0</v>
      </c>
      <c r="M172" s="138">
        <f t="shared" si="23"/>
        <v>0</v>
      </c>
      <c r="N172" s="139">
        <f>INDEX('CHIRP Payment Calc'!AM:AM,MATCH(F:F,'CHIRP Payment Calc'!C:C,0))</f>
        <v>0.66</v>
      </c>
      <c r="O172" s="139">
        <f>INDEX('CHIRP Payment Calc'!AL:AL,MATCH(F:F,'CHIRP Payment Calc'!C:C,0))</f>
        <v>0</v>
      </c>
      <c r="P172" s="136">
        <f t="shared" si="24"/>
        <v>0</v>
      </c>
      <c r="Q172" s="149">
        <f t="shared" si="30"/>
        <v>0</v>
      </c>
      <c r="R172" s="149">
        <f t="shared" si="31"/>
        <v>0</v>
      </c>
      <c r="S172" s="137">
        <f t="shared" si="32"/>
        <v>0</v>
      </c>
      <c r="T172" s="137">
        <f t="shared" si="25"/>
        <v>0</v>
      </c>
      <c r="U172" s="137">
        <f t="shared" si="26"/>
        <v>0</v>
      </c>
      <c r="V172" s="137">
        <f t="shared" si="27"/>
        <v>0</v>
      </c>
      <c r="W172" s="137">
        <f t="shared" si="28"/>
        <v>0</v>
      </c>
      <c r="X172" s="138">
        <f t="shared" si="29"/>
        <v>0</v>
      </c>
    </row>
    <row r="173" spans="4:24">
      <c r="D173" s="9" t="s">
        <v>1526</v>
      </c>
      <c r="E173" s="9" t="s">
        <v>2283</v>
      </c>
      <c r="F173" s="4" t="s">
        <v>47</v>
      </c>
      <c r="G173" s="9" t="s">
        <v>2955</v>
      </c>
      <c r="H173" s="136">
        <v>3826508.3908146783</v>
      </c>
      <c r="I173" s="137">
        <v>4277102.1496617636</v>
      </c>
      <c r="J173" s="137">
        <v>2485606.7227225867</v>
      </c>
      <c r="K173" s="137">
        <v>2450129.8066518013</v>
      </c>
      <c r="L173" s="149">
        <f t="shared" si="22"/>
        <v>6312115.113537265</v>
      </c>
      <c r="M173" s="138">
        <f t="shared" si="23"/>
        <v>6727231.9563135654</v>
      </c>
      <c r="N173" s="139">
        <f>INDEX('CHIRP Payment Calc'!AM:AM,MATCH(F:F,'CHIRP Payment Calc'!C:C,0))</f>
        <v>1.2000000000000002</v>
      </c>
      <c r="O173" s="139">
        <f>INDEX('CHIRP Payment Calc'!AL:AL,MATCH(F:F,'CHIRP Payment Calc'!C:C,0))</f>
        <v>0.5</v>
      </c>
      <c r="P173" s="136">
        <f t="shared" si="24"/>
        <v>10938154.114401501</v>
      </c>
      <c r="Q173" s="149">
        <f t="shared" si="30"/>
        <v>410605.58702279953</v>
      </c>
      <c r="R173" s="149">
        <f t="shared" si="31"/>
        <v>268582.53003785148</v>
      </c>
      <c r="S173" s="137">
        <f t="shared" si="32"/>
        <v>679188.11706065107</v>
      </c>
      <c r="T173" s="137">
        <f t="shared" si="25"/>
        <v>4871947.0227879202</v>
      </c>
      <c r="U173" s="137">
        <f t="shared" si="26"/>
        <v>3173114.9651777712</v>
      </c>
      <c r="V173" s="137">
        <f t="shared" si="27"/>
        <v>2269019.708043376</v>
      </c>
      <c r="W173" s="137">
        <f t="shared" si="28"/>
        <v>1303260.5354530858</v>
      </c>
      <c r="X173" s="138">
        <f t="shared" si="29"/>
        <v>11617342.231462155</v>
      </c>
    </row>
    <row r="174" spans="4:24">
      <c r="D174" s="9" t="s">
        <v>1526</v>
      </c>
      <c r="E174" s="9" t="s">
        <v>2283</v>
      </c>
      <c r="F174" s="4" t="s">
        <v>1646</v>
      </c>
      <c r="G174" s="9" t="s">
        <v>2575</v>
      </c>
      <c r="H174" s="136">
        <v>10460216.590305509</v>
      </c>
      <c r="I174" s="137">
        <v>17617676.688405305</v>
      </c>
      <c r="J174" s="137">
        <v>2105834.049291078</v>
      </c>
      <c r="K174" s="137">
        <v>3320558.9887982314</v>
      </c>
      <c r="L174" s="149">
        <f t="shared" si="22"/>
        <v>12566050.639596587</v>
      </c>
      <c r="M174" s="138">
        <f t="shared" si="23"/>
        <v>20938235.677203536</v>
      </c>
      <c r="N174" s="139">
        <f>INDEX('CHIRP Payment Calc'!AM:AM,MATCH(F:F,'CHIRP Payment Calc'!C:C,0))</f>
        <v>0.66</v>
      </c>
      <c r="O174" s="139">
        <f>INDEX('CHIRP Payment Calc'!AL:AL,MATCH(F:F,'CHIRP Payment Calc'!C:C,0))</f>
        <v>0.25</v>
      </c>
      <c r="P174" s="136">
        <f t="shared" si="24"/>
        <v>13528152.341434631</v>
      </c>
      <c r="Q174" s="149">
        <f t="shared" si="30"/>
        <v>689887.87479885458</v>
      </c>
      <c r="R174" s="149">
        <f t="shared" si="31"/>
        <v>141701.50338712786</v>
      </c>
      <c r="S174" s="137">
        <f t="shared" si="32"/>
        <v>831589.37818598247</v>
      </c>
      <c r="T174" s="137">
        <f t="shared" si="25"/>
        <v>7324926.2064738851</v>
      </c>
      <c r="U174" s="137">
        <f t="shared" si="26"/>
        <v>1478564.3324809698</v>
      </c>
      <c r="V174" s="137">
        <f t="shared" si="27"/>
        <v>4673123.7900279323</v>
      </c>
      <c r="W174" s="137">
        <f t="shared" si="28"/>
        <v>883127.39063782757</v>
      </c>
      <c r="X174" s="138">
        <f t="shared" si="29"/>
        <v>14359741.719620613</v>
      </c>
    </row>
    <row r="175" spans="4:24">
      <c r="D175" s="9" t="s">
        <v>1526</v>
      </c>
      <c r="E175" s="9" t="s">
        <v>2283</v>
      </c>
      <c r="F175" s="4" t="s">
        <v>1153</v>
      </c>
      <c r="G175" s="9" t="s">
        <v>2446</v>
      </c>
      <c r="H175" s="136">
        <v>7851006.8632504335</v>
      </c>
      <c r="I175" s="137">
        <v>22209405.211777594</v>
      </c>
      <c r="J175" s="137">
        <v>5196266.1296205316</v>
      </c>
      <c r="K175" s="137">
        <v>7650602.76527486</v>
      </c>
      <c r="L175" s="149">
        <f t="shared" si="22"/>
        <v>13047272.992870964</v>
      </c>
      <c r="M175" s="138">
        <f t="shared" si="23"/>
        <v>29860007.977052454</v>
      </c>
      <c r="N175" s="139">
        <f>INDEX('CHIRP Payment Calc'!AM:AM,MATCH(F:F,'CHIRP Payment Calc'!C:C,0))</f>
        <v>1.26</v>
      </c>
      <c r="O175" s="139">
        <f>INDEX('CHIRP Payment Calc'!AL:AL,MATCH(F:F,'CHIRP Payment Calc'!C:C,0))</f>
        <v>0</v>
      </c>
      <c r="P175" s="136">
        <f t="shared" si="24"/>
        <v>16439563.971017415</v>
      </c>
      <c r="Q175" s="149">
        <f t="shared" si="30"/>
        <v>603507.10582757974</v>
      </c>
      <c r="R175" s="149">
        <f t="shared" si="31"/>
        <v>417912.46744607686</v>
      </c>
      <c r="S175" s="137">
        <f t="shared" si="32"/>
        <v>1021419.5732736567</v>
      </c>
      <c r="T175" s="137">
        <f t="shared" si="25"/>
        <v>10495775.753523126</v>
      </c>
      <c r="U175" s="137">
        <f t="shared" si="26"/>
        <v>6965207.7907679472</v>
      </c>
      <c r="V175" s="137">
        <f t="shared" si="27"/>
        <v>0</v>
      </c>
      <c r="W175" s="137">
        <f t="shared" si="28"/>
        <v>0</v>
      </c>
      <c r="X175" s="138">
        <f t="shared" si="29"/>
        <v>17460983.544291072</v>
      </c>
    </row>
    <row r="176" spans="4:24">
      <c r="D176" s="9" t="s">
        <v>1526</v>
      </c>
      <c r="E176" s="9" t="s">
        <v>2283</v>
      </c>
      <c r="F176" s="4" t="s">
        <v>318</v>
      </c>
      <c r="G176" s="9" t="s">
        <v>2956</v>
      </c>
      <c r="H176" s="136">
        <v>171401.19886476573</v>
      </c>
      <c r="I176" s="137">
        <v>19572.592861487348</v>
      </c>
      <c r="J176" s="137">
        <v>2889.1108278476595</v>
      </c>
      <c r="K176" s="137">
        <v>24524.521193769091</v>
      </c>
      <c r="L176" s="149">
        <f t="shared" si="22"/>
        <v>174290.30969261337</v>
      </c>
      <c r="M176" s="138">
        <f t="shared" si="23"/>
        <v>44097.114055256439</v>
      </c>
      <c r="N176" s="139">
        <f>INDEX('CHIRP Payment Calc'!AM:AM,MATCH(F:F,'CHIRP Payment Calc'!C:C,0))</f>
        <v>3.5100000000000002</v>
      </c>
      <c r="O176" s="139">
        <f>INDEX('CHIRP Payment Calc'!AL:AL,MATCH(F:F,'CHIRP Payment Calc'!C:C,0))</f>
        <v>0.33</v>
      </c>
      <c r="P176" s="136">
        <f t="shared" si="24"/>
        <v>626311.03465930768</v>
      </c>
      <c r="Q176" s="149">
        <f t="shared" si="30"/>
        <v>37097.545793557627</v>
      </c>
      <c r="R176" s="149">
        <f t="shared" si="31"/>
        <v>1163.8641063631333</v>
      </c>
      <c r="S176" s="137">
        <f t="shared" si="32"/>
        <v>38261.409899920764</v>
      </c>
      <c r="T176" s="137">
        <f t="shared" si="25"/>
        <v>638321.70611705852</v>
      </c>
      <c r="U176" s="137">
        <f t="shared" si="26"/>
        <v>10788.062772069454</v>
      </c>
      <c r="V176" s="137">
        <f t="shared" si="27"/>
        <v>6853.0033361175865</v>
      </c>
      <c r="W176" s="137">
        <f t="shared" si="28"/>
        <v>8609.6723339827677</v>
      </c>
      <c r="X176" s="138">
        <f t="shared" si="29"/>
        <v>664572.44455922837</v>
      </c>
    </row>
    <row r="177" spans="4:24">
      <c r="D177" s="9" t="s">
        <v>1526</v>
      </c>
      <c r="E177" s="9" t="s">
        <v>2283</v>
      </c>
      <c r="F177" s="4" t="s">
        <v>238</v>
      </c>
      <c r="G177" s="9" t="s">
        <v>2696</v>
      </c>
      <c r="H177" s="136">
        <v>11292.869055931813</v>
      </c>
      <c r="I177" s="137">
        <v>8475.1385478549491</v>
      </c>
      <c r="J177" s="137">
        <v>10142.493226706432</v>
      </c>
      <c r="K177" s="137">
        <v>25917.346787871036</v>
      </c>
      <c r="L177" s="149">
        <f t="shared" si="22"/>
        <v>21435.362282638245</v>
      </c>
      <c r="M177" s="138">
        <f t="shared" si="23"/>
        <v>34392.485335725985</v>
      </c>
      <c r="N177" s="139">
        <f>INDEX('CHIRP Payment Calc'!AM:AM,MATCH(F:F,'CHIRP Payment Calc'!C:C,0))</f>
        <v>3.27</v>
      </c>
      <c r="O177" s="139">
        <f>INDEX('CHIRP Payment Calc'!AL:AL,MATCH(F:F,'CHIRP Payment Calc'!C:C,0))</f>
        <v>0.47</v>
      </c>
      <c r="P177" s="136">
        <f t="shared" si="24"/>
        <v>86258.102772018276</v>
      </c>
      <c r="Q177" s="149">
        <f t="shared" si="30"/>
        <v>2495.8963644534315</v>
      </c>
      <c r="R177" s="149">
        <f t="shared" si="31"/>
        <v>2894.4961175508142</v>
      </c>
      <c r="S177" s="137">
        <f t="shared" si="32"/>
        <v>5390.3924820042457</v>
      </c>
      <c r="T177" s="137">
        <f t="shared" si="25"/>
        <v>39180.564257715683</v>
      </c>
      <c r="U177" s="137">
        <f t="shared" si="26"/>
        <v>35282.928565244714</v>
      </c>
      <c r="V177" s="137">
        <f t="shared" si="27"/>
        <v>4226.3290371266057</v>
      </c>
      <c r="W177" s="137">
        <f t="shared" si="28"/>
        <v>12958.673393935518</v>
      </c>
      <c r="X177" s="138">
        <f t="shared" si="29"/>
        <v>91648.49525402252</v>
      </c>
    </row>
    <row r="178" spans="4:24">
      <c r="D178" s="9" t="s">
        <v>1526</v>
      </c>
      <c r="E178" s="9" t="s">
        <v>2283</v>
      </c>
      <c r="F178" s="4" t="s">
        <v>672</v>
      </c>
      <c r="G178" s="9" t="s">
        <v>2473</v>
      </c>
      <c r="H178" s="136">
        <v>2143562.8534971741</v>
      </c>
      <c r="I178" s="137">
        <v>1392502.1451681997</v>
      </c>
      <c r="J178" s="137">
        <v>654771.79353340005</v>
      </c>
      <c r="K178" s="137">
        <v>2993820.2609754726</v>
      </c>
      <c r="L178" s="149">
        <f t="shared" si="22"/>
        <v>2798334.6470305743</v>
      </c>
      <c r="M178" s="138">
        <f t="shared" si="23"/>
        <v>4386322.4061436728</v>
      </c>
      <c r="N178" s="139">
        <f>INDEX('CHIRP Payment Calc'!AM:AM,MATCH(F:F,'CHIRP Payment Calc'!C:C,0))</f>
        <v>2.08</v>
      </c>
      <c r="O178" s="139">
        <f>INDEX('CHIRP Payment Calc'!AL:AL,MATCH(F:F,'CHIRP Payment Calc'!C:C,0))</f>
        <v>1.17</v>
      </c>
      <c r="P178" s="136">
        <f t="shared" si="24"/>
        <v>10952533.281011693</v>
      </c>
      <c r="Q178" s="149">
        <f t="shared" si="30"/>
        <v>371406.57728854392</v>
      </c>
      <c r="R178" s="149">
        <f t="shared" si="31"/>
        <v>310512.4490994112</v>
      </c>
      <c r="S178" s="137">
        <f t="shared" si="32"/>
        <v>681919.02638795506</v>
      </c>
      <c r="T178" s="137">
        <f t="shared" si="25"/>
        <v>4730621.4697868666</v>
      </c>
      <c r="U178" s="137">
        <f t="shared" si="26"/>
        <v>1448856.7346270981</v>
      </c>
      <c r="V178" s="137">
        <f t="shared" si="27"/>
        <v>1728623.3526225926</v>
      </c>
      <c r="W178" s="137">
        <f t="shared" si="28"/>
        <v>3726350.7503630882</v>
      </c>
      <c r="X178" s="138">
        <f t="shared" si="29"/>
        <v>11634452.307399645</v>
      </c>
    </row>
    <row r="179" spans="4:24">
      <c r="D179" s="9" t="s">
        <v>1486</v>
      </c>
      <c r="E179" s="9" t="s">
        <v>2544</v>
      </c>
      <c r="F179" s="4" t="s">
        <v>2968</v>
      </c>
      <c r="G179" s="9" t="s">
        <v>2889</v>
      </c>
      <c r="H179" s="136">
        <v>0</v>
      </c>
      <c r="I179" s="137">
        <v>0</v>
      </c>
      <c r="J179" s="137">
        <v>0</v>
      </c>
      <c r="K179" s="137">
        <v>0</v>
      </c>
      <c r="L179" s="149">
        <f t="shared" si="22"/>
        <v>0</v>
      </c>
      <c r="M179" s="138">
        <f t="shared" si="23"/>
        <v>0</v>
      </c>
      <c r="N179" s="139">
        <f>INDEX('CHIRP Payment Calc'!AM:AM,MATCH(F:F,'CHIRP Payment Calc'!C:C,0))</f>
        <v>0</v>
      </c>
      <c r="O179" s="139">
        <f>INDEX('CHIRP Payment Calc'!AL:AL,MATCH(F:F,'CHIRP Payment Calc'!C:C,0))</f>
        <v>0.55000000000000004</v>
      </c>
      <c r="P179" s="136">
        <f t="shared" si="24"/>
        <v>0</v>
      </c>
      <c r="Q179" s="149">
        <f t="shared" si="30"/>
        <v>0</v>
      </c>
      <c r="R179" s="149">
        <f t="shared" si="31"/>
        <v>0</v>
      </c>
      <c r="S179" s="137">
        <f t="shared" si="32"/>
        <v>0</v>
      </c>
      <c r="T179" s="137">
        <f t="shared" si="25"/>
        <v>0</v>
      </c>
      <c r="U179" s="137">
        <f t="shared" si="26"/>
        <v>0</v>
      </c>
      <c r="V179" s="137">
        <f t="shared" si="27"/>
        <v>0</v>
      </c>
      <c r="W179" s="137">
        <f t="shared" si="28"/>
        <v>0</v>
      </c>
      <c r="X179" s="138">
        <f t="shared" si="29"/>
        <v>0</v>
      </c>
    </row>
    <row r="180" spans="4:24">
      <c r="D180" s="9" t="s">
        <v>1486</v>
      </c>
      <c r="E180" s="9" t="s">
        <v>2544</v>
      </c>
      <c r="F180" s="4" t="s">
        <v>1260</v>
      </c>
      <c r="G180" s="9" t="s">
        <v>2599</v>
      </c>
      <c r="H180" s="136">
        <v>0</v>
      </c>
      <c r="I180" s="137">
        <v>2330625.7615446094</v>
      </c>
      <c r="J180" s="137">
        <v>0</v>
      </c>
      <c r="K180" s="137">
        <v>0</v>
      </c>
      <c r="L180" s="149">
        <f t="shared" si="22"/>
        <v>0</v>
      </c>
      <c r="M180" s="138">
        <f t="shared" si="23"/>
        <v>2330625.7615446094</v>
      </c>
      <c r="N180" s="139">
        <f>INDEX('CHIRP Payment Calc'!AM:AM,MATCH(F:F,'CHIRP Payment Calc'!C:C,0))</f>
        <v>0</v>
      </c>
      <c r="O180" s="139">
        <f>INDEX('CHIRP Payment Calc'!AL:AL,MATCH(F:F,'CHIRP Payment Calc'!C:C,0))</f>
        <v>0.55000000000000004</v>
      </c>
      <c r="P180" s="136">
        <f t="shared" si="24"/>
        <v>1281844.1688495353</v>
      </c>
      <c r="Q180" s="149">
        <f t="shared" si="30"/>
        <v>78202.694651297919</v>
      </c>
      <c r="R180" s="149">
        <f t="shared" si="31"/>
        <v>0</v>
      </c>
      <c r="S180" s="137">
        <f t="shared" si="32"/>
        <v>78202.694651297919</v>
      </c>
      <c r="T180" s="137">
        <f t="shared" si="25"/>
        <v>0</v>
      </c>
      <c r="U180" s="137">
        <f t="shared" si="26"/>
        <v>0</v>
      </c>
      <c r="V180" s="137">
        <f t="shared" si="27"/>
        <v>1360046.8635008333</v>
      </c>
      <c r="W180" s="137">
        <f t="shared" si="28"/>
        <v>0</v>
      </c>
      <c r="X180" s="138">
        <f t="shared" si="29"/>
        <v>1360046.8635008333</v>
      </c>
    </row>
    <row r="181" spans="4:24">
      <c r="D181" s="9" t="s">
        <v>1486</v>
      </c>
      <c r="E181" s="9" t="s">
        <v>2295</v>
      </c>
      <c r="F181" s="4" t="s">
        <v>41</v>
      </c>
      <c r="G181" s="9" t="s">
        <v>2564</v>
      </c>
      <c r="H181" s="136">
        <v>22351.554913505341</v>
      </c>
      <c r="I181" s="137">
        <v>68552.028142397903</v>
      </c>
      <c r="J181" s="137">
        <v>21162.388326139844</v>
      </c>
      <c r="K181" s="137">
        <v>15115.283127341754</v>
      </c>
      <c r="L181" s="149">
        <f t="shared" si="22"/>
        <v>43513.943239645188</v>
      </c>
      <c r="M181" s="138">
        <f t="shared" si="23"/>
        <v>83667.311269739657</v>
      </c>
      <c r="N181" s="139">
        <f>INDEX('CHIRP Payment Calc'!AM:AM,MATCH(F:F,'CHIRP Payment Calc'!C:C,0))</f>
        <v>1.36</v>
      </c>
      <c r="O181" s="139">
        <f>INDEX('CHIRP Payment Calc'!AL:AL,MATCH(F:F,'CHIRP Payment Calc'!C:C,0))</f>
        <v>0.11</v>
      </c>
      <c r="P181" s="136">
        <f t="shared" si="24"/>
        <v>68382.36704558882</v>
      </c>
      <c r="Q181" s="149">
        <f t="shared" si="30"/>
        <v>2314.5710050257662</v>
      </c>
      <c r="R181" s="149">
        <f t="shared" si="31"/>
        <v>1943.2039958015609</v>
      </c>
      <c r="S181" s="137">
        <f t="shared" si="32"/>
        <v>4257.7750008273269</v>
      </c>
      <c r="T181" s="137">
        <f t="shared" si="25"/>
        <v>32252.641572803466</v>
      </c>
      <c r="U181" s="137">
        <f t="shared" si="26"/>
        <v>30617.923535691694</v>
      </c>
      <c r="V181" s="137">
        <f t="shared" si="27"/>
        <v>8000.7672102533361</v>
      </c>
      <c r="W181" s="137">
        <f t="shared" si="28"/>
        <v>1768.8097276676522</v>
      </c>
      <c r="X181" s="138">
        <f t="shared" si="29"/>
        <v>72640.142046416149</v>
      </c>
    </row>
    <row r="182" spans="4:24">
      <c r="D182" s="9" t="s">
        <v>1486</v>
      </c>
      <c r="E182" s="9" t="s">
        <v>2295</v>
      </c>
      <c r="F182" s="4" t="s">
        <v>769</v>
      </c>
      <c r="G182" s="9" t="s">
        <v>2683</v>
      </c>
      <c r="H182" s="136">
        <v>735917.48448370153</v>
      </c>
      <c r="I182" s="137">
        <v>44383.58672242851</v>
      </c>
      <c r="J182" s="137">
        <v>130954.72198226632</v>
      </c>
      <c r="K182" s="137">
        <v>21174.310032204099</v>
      </c>
      <c r="L182" s="149">
        <f t="shared" si="22"/>
        <v>866872.20646596781</v>
      </c>
      <c r="M182" s="138">
        <f t="shared" si="23"/>
        <v>65557.896754632617</v>
      </c>
      <c r="N182" s="139">
        <f>INDEX('CHIRP Payment Calc'!AM:AM,MATCH(F:F,'CHIRP Payment Calc'!C:C,0))</f>
        <v>0.09</v>
      </c>
      <c r="O182" s="139">
        <f>INDEX('CHIRP Payment Calc'!AL:AL,MATCH(F:F,'CHIRP Payment Calc'!C:C,0))</f>
        <v>0.11</v>
      </c>
      <c r="P182" s="136">
        <f t="shared" si="24"/>
        <v>85229.867224946691</v>
      </c>
      <c r="Q182" s="149">
        <f t="shared" si="30"/>
        <v>4338.5667567347646</v>
      </c>
      <c r="R182" s="149">
        <f t="shared" si="31"/>
        <v>900.96377118806947</v>
      </c>
      <c r="S182" s="137">
        <f t="shared" si="32"/>
        <v>5239.5305279228342</v>
      </c>
      <c r="T182" s="137">
        <f t="shared" si="25"/>
        <v>70273.287643005984</v>
      </c>
      <c r="U182" s="137">
        <f t="shared" si="26"/>
        <v>12538.218062131882</v>
      </c>
      <c r="V182" s="137">
        <f t="shared" si="27"/>
        <v>5180.0472567290562</v>
      </c>
      <c r="W182" s="137">
        <f t="shared" si="28"/>
        <v>2477.8447910026075</v>
      </c>
      <c r="X182" s="138">
        <f t="shared" si="29"/>
        <v>90469.397752869525</v>
      </c>
    </row>
    <row r="183" spans="4:24">
      <c r="D183" s="9" t="s">
        <v>1486</v>
      </c>
      <c r="E183" s="9" t="s">
        <v>2295</v>
      </c>
      <c r="F183" s="4" t="s">
        <v>1014</v>
      </c>
      <c r="G183" s="9" t="s">
        <v>2567</v>
      </c>
      <c r="H183" s="136">
        <v>838457.96933104517</v>
      </c>
      <c r="I183" s="137">
        <v>1578552.8412454035</v>
      </c>
      <c r="J183" s="137">
        <v>287820.52038515417</v>
      </c>
      <c r="K183" s="137">
        <v>660462.56030307536</v>
      </c>
      <c r="L183" s="149">
        <f t="shared" si="22"/>
        <v>1126278.4897161992</v>
      </c>
      <c r="M183" s="138">
        <f t="shared" si="23"/>
        <v>2239015.4015484788</v>
      </c>
      <c r="N183" s="139">
        <f>INDEX('CHIRP Payment Calc'!AM:AM,MATCH(F:F,'CHIRP Payment Calc'!C:C,0))</f>
        <v>0.35</v>
      </c>
      <c r="O183" s="139">
        <f>INDEX('CHIRP Payment Calc'!AL:AL,MATCH(F:F,'CHIRP Payment Calc'!C:C,0))</f>
        <v>0.11</v>
      </c>
      <c r="P183" s="136">
        <f t="shared" si="24"/>
        <v>640489.16557100241</v>
      </c>
      <c r="Q183" s="149">
        <f t="shared" si="30"/>
        <v>28496.884194869457</v>
      </c>
      <c r="R183" s="149">
        <f t="shared" si="31"/>
        <v>11067.323219243124</v>
      </c>
      <c r="S183" s="137">
        <f t="shared" si="32"/>
        <v>39564.207414112578</v>
      </c>
      <c r="T183" s="137">
        <f t="shared" si="25"/>
        <v>311363.70213884965</v>
      </c>
      <c r="U183" s="137">
        <f t="shared" si="26"/>
        <v>107167.2150370255</v>
      </c>
      <c r="V183" s="137">
        <f t="shared" si="27"/>
        <v>184234.28385887999</v>
      </c>
      <c r="W183" s="137">
        <f t="shared" si="28"/>
        <v>77288.171950359887</v>
      </c>
      <c r="X183" s="138">
        <f t="shared" si="29"/>
        <v>680053.37298511504</v>
      </c>
    </row>
    <row r="184" spans="4:24">
      <c r="D184" s="9" t="s">
        <v>1486</v>
      </c>
      <c r="E184" s="9" t="s">
        <v>2295</v>
      </c>
      <c r="F184" s="4" t="s">
        <v>726</v>
      </c>
      <c r="G184" s="9" t="s">
        <v>3000</v>
      </c>
      <c r="H184" s="136">
        <v>595640.87828144792</v>
      </c>
      <c r="I184" s="137">
        <v>4205.3968997884067</v>
      </c>
      <c r="J184" s="137">
        <v>194255.8315931664</v>
      </c>
      <c r="K184" s="137">
        <v>2451.3548306296448</v>
      </c>
      <c r="L184" s="149">
        <f t="shared" si="22"/>
        <v>789896.70987461437</v>
      </c>
      <c r="M184" s="138">
        <f t="shared" si="23"/>
        <v>6656.751730418051</v>
      </c>
      <c r="N184" s="139">
        <f>INDEX('CHIRP Payment Calc'!AM:AM,MATCH(F:F,'CHIRP Payment Calc'!C:C,0))</f>
        <v>0.18</v>
      </c>
      <c r="O184" s="139">
        <f>INDEX('CHIRP Payment Calc'!AL:AL,MATCH(F:F,'CHIRP Payment Calc'!C:C,0))</f>
        <v>0.43</v>
      </c>
      <c r="P184" s="136">
        <f t="shared" si="24"/>
        <v>145043.81102151034</v>
      </c>
      <c r="Q184" s="149">
        <f t="shared" si="30"/>
        <v>6651.3119666421799</v>
      </c>
      <c r="R184" s="149">
        <f t="shared" si="31"/>
        <v>2299.1573785494065</v>
      </c>
      <c r="S184" s="137">
        <f t="shared" si="32"/>
        <v>8950.4693451915864</v>
      </c>
      <c r="T184" s="137">
        <f t="shared" si="25"/>
        <v>113756.34810680173</v>
      </c>
      <c r="U184" s="137">
        <f t="shared" si="26"/>
        <v>37197.925198691439</v>
      </c>
      <c r="V184" s="137">
        <f t="shared" si="27"/>
        <v>1918.6426174100955</v>
      </c>
      <c r="W184" s="137">
        <f t="shared" si="28"/>
        <v>1121.3644437986673</v>
      </c>
      <c r="X184" s="138">
        <f t="shared" si="29"/>
        <v>153994.28036670195</v>
      </c>
    </row>
    <row r="185" spans="4:24">
      <c r="D185" s="9" t="s">
        <v>1486</v>
      </c>
      <c r="E185" s="9" t="s">
        <v>2295</v>
      </c>
      <c r="F185" s="4" t="s">
        <v>546</v>
      </c>
      <c r="G185" s="9" t="s">
        <v>2877</v>
      </c>
      <c r="H185" s="136">
        <v>171088.0528290591</v>
      </c>
      <c r="I185" s="137">
        <v>23685.513667754694</v>
      </c>
      <c r="J185" s="137">
        <v>111272.1758192673</v>
      </c>
      <c r="K185" s="137">
        <v>26508.2963234296</v>
      </c>
      <c r="L185" s="149">
        <f t="shared" si="22"/>
        <v>282360.22864832642</v>
      </c>
      <c r="M185" s="138">
        <f t="shared" si="23"/>
        <v>50193.809991184295</v>
      </c>
      <c r="N185" s="139">
        <f>INDEX('CHIRP Payment Calc'!AM:AM,MATCH(F:F,'CHIRP Payment Calc'!C:C,0))</f>
        <v>0.09</v>
      </c>
      <c r="O185" s="139">
        <f>INDEX('CHIRP Payment Calc'!AL:AL,MATCH(F:F,'CHIRP Payment Calc'!C:C,0))</f>
        <v>0.11</v>
      </c>
      <c r="P185" s="136">
        <f t="shared" si="24"/>
        <v>30933.73967737965</v>
      </c>
      <c r="Q185" s="149">
        <f t="shared" si="30"/>
        <v>1098.346469325124</v>
      </c>
      <c r="R185" s="149">
        <f t="shared" si="31"/>
        <v>825.34521825391369</v>
      </c>
      <c r="S185" s="137">
        <f t="shared" si="32"/>
        <v>1923.6916875790375</v>
      </c>
      <c r="T185" s="137">
        <f t="shared" si="25"/>
        <v>16337.320694552063</v>
      </c>
      <c r="U185" s="137">
        <f t="shared" si="26"/>
        <v>10653.71896141921</v>
      </c>
      <c r="V185" s="137">
        <f t="shared" si="27"/>
        <v>2764.3570328413966</v>
      </c>
      <c r="W185" s="137">
        <f t="shared" si="28"/>
        <v>3102.0346761460173</v>
      </c>
      <c r="X185" s="138">
        <f t="shared" si="29"/>
        <v>32857.431364958691</v>
      </c>
    </row>
    <row r="186" spans="4:24">
      <c r="D186" s="9" t="s">
        <v>1486</v>
      </c>
      <c r="E186" s="9" t="s">
        <v>2295</v>
      </c>
      <c r="F186" s="4" t="s">
        <v>136</v>
      </c>
      <c r="G186" s="9" t="s">
        <v>2830</v>
      </c>
      <c r="H186" s="136">
        <v>356324.58351859223</v>
      </c>
      <c r="I186" s="137">
        <v>40668.511421205381</v>
      </c>
      <c r="J186" s="137">
        <v>91432.483895295984</v>
      </c>
      <c r="K186" s="137">
        <v>79203.489521982759</v>
      </c>
      <c r="L186" s="149">
        <f t="shared" si="22"/>
        <v>447757.06741388823</v>
      </c>
      <c r="M186" s="138">
        <f t="shared" si="23"/>
        <v>119872.00094318815</v>
      </c>
      <c r="N186" s="139">
        <f>INDEX('CHIRP Payment Calc'!AM:AM,MATCH(F:F,'CHIRP Payment Calc'!C:C,0))</f>
        <v>0.25</v>
      </c>
      <c r="O186" s="139">
        <f>INDEX('CHIRP Payment Calc'!AL:AL,MATCH(F:F,'CHIRP Payment Calc'!C:C,0))</f>
        <v>0.75</v>
      </c>
      <c r="P186" s="136">
        <f t="shared" si="24"/>
        <v>201843.26756086317</v>
      </c>
      <c r="Q186" s="149">
        <f t="shared" si="30"/>
        <v>7295.4858812936291</v>
      </c>
      <c r="R186" s="149">
        <f t="shared" si="31"/>
        <v>5250.6854116156001</v>
      </c>
      <c r="S186" s="137">
        <f t="shared" si="32"/>
        <v>12546.171292909228</v>
      </c>
      <c r="T186" s="137">
        <f t="shared" si="25"/>
        <v>94515.80464684144</v>
      </c>
      <c r="U186" s="137">
        <f t="shared" si="26"/>
        <v>24317.149972153187</v>
      </c>
      <c r="V186" s="137">
        <f t="shared" si="27"/>
        <v>32362.210680004282</v>
      </c>
      <c r="W186" s="137">
        <f t="shared" si="28"/>
        <v>63194.273554773477</v>
      </c>
      <c r="X186" s="138">
        <f t="shared" si="29"/>
        <v>214389.43885377239</v>
      </c>
    </row>
    <row r="187" spans="4:24">
      <c r="D187" s="9" t="s">
        <v>1486</v>
      </c>
      <c r="E187" s="9" t="s">
        <v>2295</v>
      </c>
      <c r="F187" s="4" t="s">
        <v>160</v>
      </c>
      <c r="G187" s="9" t="s">
        <v>3001</v>
      </c>
      <c r="H187" s="136">
        <v>344044.62938717939</v>
      </c>
      <c r="I187" s="137">
        <v>185051.0009429121</v>
      </c>
      <c r="J187" s="137">
        <v>169006.33006482606</v>
      </c>
      <c r="K187" s="137">
        <v>154358.82568328767</v>
      </c>
      <c r="L187" s="149">
        <f t="shared" si="22"/>
        <v>513050.95945200545</v>
      </c>
      <c r="M187" s="138">
        <f t="shared" si="23"/>
        <v>339409.82662619976</v>
      </c>
      <c r="N187" s="139">
        <f>INDEX('CHIRP Payment Calc'!AM:AM,MATCH(F:F,'CHIRP Payment Calc'!C:C,0))</f>
        <v>0.27</v>
      </c>
      <c r="O187" s="139">
        <f>INDEX('CHIRP Payment Calc'!AL:AL,MATCH(F:F,'CHIRP Payment Calc'!C:C,0))</f>
        <v>0.13</v>
      </c>
      <c r="P187" s="136">
        <f t="shared" si="24"/>
        <v>182647.03651344744</v>
      </c>
      <c r="Q187" s="149">
        <f t="shared" si="30"/>
        <v>7134.8001095853888</v>
      </c>
      <c r="R187" s="149">
        <f t="shared" si="31"/>
        <v>4193.5121142338585</v>
      </c>
      <c r="S187" s="137">
        <f t="shared" si="32"/>
        <v>11328.312223819248</v>
      </c>
      <c r="T187" s="137">
        <f t="shared" si="25"/>
        <v>98559.204174576589</v>
      </c>
      <c r="U187" s="137">
        <f t="shared" si="26"/>
        <v>48544.371401598983</v>
      </c>
      <c r="V187" s="137">
        <f t="shared" si="27"/>
        <v>25524.275992125808</v>
      </c>
      <c r="W187" s="137">
        <f t="shared" si="28"/>
        <v>21347.497168965318</v>
      </c>
      <c r="X187" s="138">
        <f t="shared" si="29"/>
        <v>193975.3487372667</v>
      </c>
    </row>
    <row r="188" spans="4:24">
      <c r="D188" s="9" t="s">
        <v>1486</v>
      </c>
      <c r="E188" s="9" t="s">
        <v>2295</v>
      </c>
      <c r="F188" s="4" t="s">
        <v>372</v>
      </c>
      <c r="G188" s="9" t="s">
        <v>2736</v>
      </c>
      <c r="H188" s="136">
        <v>99107.142798488741</v>
      </c>
      <c r="I188" s="137">
        <v>2411.6044934395222</v>
      </c>
      <c r="J188" s="137">
        <v>0</v>
      </c>
      <c r="K188" s="137">
        <v>0</v>
      </c>
      <c r="L188" s="149">
        <f t="shared" si="22"/>
        <v>99107.142798488741</v>
      </c>
      <c r="M188" s="138">
        <f t="shared" si="23"/>
        <v>2411.6044934395222</v>
      </c>
      <c r="N188" s="139">
        <f>INDEX('CHIRP Payment Calc'!AM:AM,MATCH(F:F,'CHIRP Payment Calc'!C:C,0))</f>
        <v>1.1500000000000001</v>
      </c>
      <c r="O188" s="139">
        <f>INDEX('CHIRP Payment Calc'!AL:AL,MATCH(F:F,'CHIRP Payment Calc'!C:C,0))</f>
        <v>0.27</v>
      </c>
      <c r="P188" s="136">
        <f t="shared" si="24"/>
        <v>114624.34743149074</v>
      </c>
      <c r="Q188" s="149">
        <f t="shared" si="30"/>
        <v>6992.9973234065965</v>
      </c>
      <c r="R188" s="149">
        <f t="shared" si="31"/>
        <v>0</v>
      </c>
      <c r="S188" s="137">
        <f t="shared" si="32"/>
        <v>6992.9973234065965</v>
      </c>
      <c r="T188" s="137">
        <f t="shared" si="25"/>
        <v>120926.4872342303</v>
      </c>
      <c r="U188" s="137">
        <f t="shared" si="26"/>
        <v>0</v>
      </c>
      <c r="V188" s="137">
        <f t="shared" si="27"/>
        <v>690.85752066702503</v>
      </c>
      <c r="W188" s="137">
        <f t="shared" si="28"/>
        <v>0</v>
      </c>
      <c r="X188" s="138">
        <f t="shared" si="29"/>
        <v>121617.34475489732</v>
      </c>
    </row>
    <row r="189" spans="4:24">
      <c r="D189" s="9" t="s">
        <v>1486</v>
      </c>
      <c r="E189" s="9" t="s">
        <v>2295</v>
      </c>
      <c r="F189" s="4" t="s">
        <v>1707</v>
      </c>
      <c r="G189" s="9" t="s">
        <v>2618</v>
      </c>
      <c r="H189" s="136">
        <v>355504.53896198142</v>
      </c>
      <c r="I189" s="137">
        <v>35608.228372355588</v>
      </c>
      <c r="J189" s="137">
        <v>163965.06771474908</v>
      </c>
      <c r="K189" s="137">
        <v>106931.41556568378</v>
      </c>
      <c r="L189" s="149">
        <f t="shared" si="22"/>
        <v>519469.6066767305</v>
      </c>
      <c r="M189" s="138">
        <f t="shared" si="23"/>
        <v>142539.64393803937</v>
      </c>
      <c r="N189" s="139">
        <f>INDEX('CHIRP Payment Calc'!AM:AM,MATCH(F:F,'CHIRP Payment Calc'!C:C,0))</f>
        <v>0.23</v>
      </c>
      <c r="O189" s="139">
        <f>INDEX('CHIRP Payment Calc'!AL:AL,MATCH(F:F,'CHIRP Payment Calc'!C:C,0))</f>
        <v>0.11</v>
      </c>
      <c r="P189" s="136">
        <f t="shared" si="24"/>
        <v>135157.37036883234</v>
      </c>
      <c r="Q189" s="149">
        <f t="shared" si="30"/>
        <v>5227.3417211961314</v>
      </c>
      <c r="R189" s="149">
        <f t="shared" si="31"/>
        <v>3157.9417842521821</v>
      </c>
      <c r="S189" s="137">
        <f t="shared" si="32"/>
        <v>8385.283505448313</v>
      </c>
      <c r="T189" s="137">
        <f t="shared" si="25"/>
        <v>86754.423301067087</v>
      </c>
      <c r="U189" s="137">
        <f t="shared" si="26"/>
        <v>40119.112313183294</v>
      </c>
      <c r="V189" s="137">
        <f t="shared" si="27"/>
        <v>4155.8675023438882</v>
      </c>
      <c r="W189" s="137">
        <f t="shared" si="28"/>
        <v>12513.250757686401</v>
      </c>
      <c r="X189" s="138">
        <f t="shared" si="29"/>
        <v>143542.65387428066</v>
      </c>
    </row>
    <row r="190" spans="4:24">
      <c r="D190" s="9" t="s">
        <v>1486</v>
      </c>
      <c r="E190" s="9" t="s">
        <v>2295</v>
      </c>
      <c r="F190" s="4" t="s">
        <v>98</v>
      </c>
      <c r="G190" s="9" t="s">
        <v>2899</v>
      </c>
      <c r="H190" s="136">
        <v>959318.55624761409</v>
      </c>
      <c r="I190" s="137">
        <v>980460.17802740075</v>
      </c>
      <c r="J190" s="137">
        <v>276249.88568229985</v>
      </c>
      <c r="K190" s="137">
        <v>367819.23643250833</v>
      </c>
      <c r="L190" s="149">
        <f t="shared" si="22"/>
        <v>1235568.4419299141</v>
      </c>
      <c r="M190" s="138">
        <f t="shared" si="23"/>
        <v>1348279.4144599091</v>
      </c>
      <c r="N190" s="139">
        <f>INDEX('CHIRP Payment Calc'!AM:AM,MATCH(F:F,'CHIRP Payment Calc'!C:C,0))</f>
        <v>0.33999999999999997</v>
      </c>
      <c r="O190" s="139">
        <f>INDEX('CHIRP Payment Calc'!AL:AL,MATCH(F:F,'CHIRP Payment Calc'!C:C,0))</f>
        <v>0.12</v>
      </c>
      <c r="P190" s="136">
        <f t="shared" si="24"/>
        <v>581886.79999135982</v>
      </c>
      <c r="Q190" s="149">
        <f t="shared" si="30"/>
        <v>27076.767111968085</v>
      </c>
      <c r="R190" s="149">
        <f t="shared" si="31"/>
        <v>8812.5491172691254</v>
      </c>
      <c r="S190" s="137">
        <f t="shared" si="32"/>
        <v>35889.316229237214</v>
      </c>
      <c r="T190" s="137">
        <f t="shared" si="25"/>
        <v>346067.1714845504</v>
      </c>
      <c r="U190" s="137">
        <f t="shared" si="26"/>
        <v>99920.171417002071</v>
      </c>
      <c r="V190" s="137">
        <f t="shared" si="27"/>
        <v>124833.12611489452</v>
      </c>
      <c r="W190" s="137">
        <f t="shared" si="28"/>
        <v>46955.647204150002</v>
      </c>
      <c r="X190" s="138">
        <f t="shared" si="29"/>
        <v>617776.11622059694</v>
      </c>
    </row>
    <row r="191" spans="4:24">
      <c r="D191" s="9" t="s">
        <v>1486</v>
      </c>
      <c r="E191" s="9" t="s">
        <v>2295</v>
      </c>
      <c r="F191" s="4" t="s">
        <v>963</v>
      </c>
      <c r="G191" s="9" t="s">
        <v>2450</v>
      </c>
      <c r="H191" s="136">
        <v>628599.75483716244</v>
      </c>
      <c r="I191" s="137">
        <v>123219.28217998189</v>
      </c>
      <c r="J191" s="137">
        <v>103995.44357152193</v>
      </c>
      <c r="K191" s="137">
        <v>94613.70752351296</v>
      </c>
      <c r="L191" s="149">
        <f t="shared" si="22"/>
        <v>732595.19840868434</v>
      </c>
      <c r="M191" s="138">
        <f t="shared" si="23"/>
        <v>217832.98970349485</v>
      </c>
      <c r="N191" s="139">
        <f>INDEX('CHIRP Payment Calc'!AM:AM,MATCH(F:F,'CHIRP Payment Calc'!C:C,0))</f>
        <v>1.4400000000000002</v>
      </c>
      <c r="O191" s="139">
        <f>INDEX('CHIRP Payment Calc'!AL:AL,MATCH(F:F,'CHIRP Payment Calc'!C:C,0))</f>
        <v>1.2300000000000002</v>
      </c>
      <c r="P191" s="136">
        <f t="shared" si="24"/>
        <v>1322871.6630438042</v>
      </c>
      <c r="Q191" s="149">
        <f t="shared" si="30"/>
        <v>64469.754305248047</v>
      </c>
      <c r="R191" s="149">
        <f t="shared" si="31"/>
        <v>16986.912701930592</v>
      </c>
      <c r="S191" s="137">
        <f t="shared" si="32"/>
        <v>81456.667007178636</v>
      </c>
      <c r="T191" s="137">
        <f t="shared" si="25"/>
        <v>960407.05248330405</v>
      </c>
      <c r="U191" s="137">
        <f t="shared" si="26"/>
        <v>159312.168875523</v>
      </c>
      <c r="V191" s="137">
        <f t="shared" si="27"/>
        <v>160806.06586883581</v>
      </c>
      <c r="W191" s="137">
        <f t="shared" si="28"/>
        <v>123803.04282332017</v>
      </c>
      <c r="X191" s="138">
        <f t="shared" si="29"/>
        <v>1404328.3300509832</v>
      </c>
    </row>
    <row r="192" spans="4:24">
      <c r="D192" s="9" t="s">
        <v>1486</v>
      </c>
      <c r="E192" s="9" t="s">
        <v>2295</v>
      </c>
      <c r="F192" s="4" t="s">
        <v>754</v>
      </c>
      <c r="G192" s="9" t="s">
        <v>2935</v>
      </c>
      <c r="H192" s="136">
        <v>533788.51698347938</v>
      </c>
      <c r="I192" s="137">
        <v>1754324.095964903</v>
      </c>
      <c r="J192" s="137">
        <v>144855.59724914984</v>
      </c>
      <c r="K192" s="137">
        <v>251862.79914099569</v>
      </c>
      <c r="L192" s="149">
        <f t="shared" si="22"/>
        <v>678644.11423262919</v>
      </c>
      <c r="M192" s="138">
        <f t="shared" si="23"/>
        <v>2006186.8951058986</v>
      </c>
      <c r="N192" s="139">
        <f>INDEX('CHIRP Payment Calc'!AM:AM,MATCH(F:F,'CHIRP Payment Calc'!C:C,0))</f>
        <v>0.73</v>
      </c>
      <c r="O192" s="139">
        <f>INDEX('CHIRP Payment Calc'!AL:AL,MATCH(F:F,'CHIRP Payment Calc'!C:C,0))</f>
        <v>0.28999999999999998</v>
      </c>
      <c r="P192" s="136">
        <f t="shared" si="24"/>
        <v>1077204.4029705299</v>
      </c>
      <c r="Q192" s="149">
        <f t="shared" si="30"/>
        <v>54810.74514652128</v>
      </c>
      <c r="R192" s="149">
        <f t="shared" si="31"/>
        <v>11411.795600602223</v>
      </c>
      <c r="S192" s="137">
        <f t="shared" si="32"/>
        <v>66222.540747123508</v>
      </c>
      <c r="T192" s="137">
        <f t="shared" si="25"/>
        <v>413438.32084662066</v>
      </c>
      <c r="U192" s="137">
        <f t="shared" si="26"/>
        <v>112494.24041689296</v>
      </c>
      <c r="V192" s="137">
        <f t="shared" si="27"/>
        <v>539792.02952766244</v>
      </c>
      <c r="W192" s="137">
        <f t="shared" si="28"/>
        <v>77702.352926477382</v>
      </c>
      <c r="X192" s="138">
        <f t="shared" si="29"/>
        <v>1143426.9437176534</v>
      </c>
    </row>
    <row r="193" spans="4:24">
      <c r="D193" s="9" t="s">
        <v>1486</v>
      </c>
      <c r="E193" s="9" t="s">
        <v>2295</v>
      </c>
      <c r="F193" s="4" t="s">
        <v>1051</v>
      </c>
      <c r="G193" s="9" t="s">
        <v>2612</v>
      </c>
      <c r="H193" s="136">
        <v>230653.30944938475</v>
      </c>
      <c r="I193" s="137">
        <v>2473.9446080406219</v>
      </c>
      <c r="J193" s="137">
        <v>68808.870003496893</v>
      </c>
      <c r="K193" s="137">
        <v>24125.824897010782</v>
      </c>
      <c r="L193" s="149">
        <f t="shared" si="22"/>
        <v>299462.17945288162</v>
      </c>
      <c r="M193" s="138">
        <f t="shared" si="23"/>
        <v>26599.769505051405</v>
      </c>
      <c r="N193" s="139">
        <f>INDEX('CHIRP Payment Calc'!AM:AM,MATCH(F:F,'CHIRP Payment Calc'!C:C,0))</f>
        <v>0.32999999999999996</v>
      </c>
      <c r="O193" s="139">
        <f>INDEX('CHIRP Payment Calc'!AL:AL,MATCH(F:F,'CHIRP Payment Calc'!C:C,0))</f>
        <v>0.11</v>
      </c>
      <c r="P193" s="136">
        <f t="shared" si="24"/>
        <v>101748.49386500659</v>
      </c>
      <c r="Q193" s="149">
        <f t="shared" si="30"/>
        <v>4660.259147424862</v>
      </c>
      <c r="R193" s="149">
        <f t="shared" si="31"/>
        <v>1618.7724153079891</v>
      </c>
      <c r="S193" s="137">
        <f t="shared" si="32"/>
        <v>6279.0315627328509</v>
      </c>
      <c r="T193" s="137">
        <f t="shared" si="25"/>
        <v>80759.248931880065</v>
      </c>
      <c r="U193" s="137">
        <f t="shared" si="26"/>
        <v>24156.305426759547</v>
      </c>
      <c r="V193" s="137">
        <f t="shared" si="27"/>
        <v>288.73624072622641</v>
      </c>
      <c r="W193" s="137">
        <f t="shared" si="28"/>
        <v>2823.2348283736023</v>
      </c>
      <c r="X193" s="138">
        <f t="shared" si="29"/>
        <v>108027.52542773944</v>
      </c>
    </row>
    <row r="194" spans="4:24">
      <c r="D194" s="9" t="s">
        <v>1486</v>
      </c>
      <c r="E194" s="9" t="s">
        <v>2295</v>
      </c>
      <c r="F194" s="4" t="s">
        <v>77</v>
      </c>
      <c r="G194" s="9" t="s">
        <v>2339</v>
      </c>
      <c r="H194" s="136">
        <v>543691.7408142389</v>
      </c>
      <c r="I194" s="137">
        <v>1133684.5578789038</v>
      </c>
      <c r="J194" s="137">
        <v>171628.84069088864</v>
      </c>
      <c r="K194" s="137">
        <v>98444.47877643902</v>
      </c>
      <c r="L194" s="149">
        <f t="shared" si="22"/>
        <v>715320.58150512748</v>
      </c>
      <c r="M194" s="138">
        <f t="shared" si="23"/>
        <v>1232129.0366553429</v>
      </c>
      <c r="N194" s="139">
        <f>INDEX('CHIRP Payment Calc'!AM:AM,MATCH(F:F,'CHIRP Payment Calc'!C:C,0))</f>
        <v>0.25</v>
      </c>
      <c r="O194" s="139">
        <f>INDEX('CHIRP Payment Calc'!AL:AL,MATCH(F:F,'CHIRP Payment Calc'!C:C,0))</f>
        <v>0.11</v>
      </c>
      <c r="P194" s="136">
        <f t="shared" si="24"/>
        <v>314364.33940836962</v>
      </c>
      <c r="Q194" s="149">
        <f t="shared" si="30"/>
        <v>15900.39639553183</v>
      </c>
      <c r="R194" s="149">
        <f t="shared" si="31"/>
        <v>3429.9640109444972</v>
      </c>
      <c r="S194" s="137">
        <f t="shared" si="32"/>
        <v>19330.360406476328</v>
      </c>
      <c r="T194" s="137">
        <f t="shared" si="25"/>
        <v>144215.31586584586</v>
      </c>
      <c r="U194" s="137">
        <f t="shared" si="26"/>
        <v>45645.968268853365</v>
      </c>
      <c r="V194" s="137">
        <f t="shared" si="27"/>
        <v>132313.3170999251</v>
      </c>
      <c r="W194" s="137">
        <f t="shared" si="28"/>
        <v>11520.098580221587</v>
      </c>
      <c r="X194" s="138">
        <f t="shared" si="29"/>
        <v>333694.69981484587</v>
      </c>
    </row>
    <row r="195" spans="4:24">
      <c r="D195" s="9" t="s">
        <v>1486</v>
      </c>
      <c r="E195" s="9" t="s">
        <v>2295</v>
      </c>
      <c r="F195" s="4" t="s">
        <v>543</v>
      </c>
      <c r="G195" s="9" t="s">
        <v>3002</v>
      </c>
      <c r="H195" s="136">
        <v>337392.64252900664</v>
      </c>
      <c r="I195" s="137">
        <v>14733.105773454496</v>
      </c>
      <c r="J195" s="137">
        <v>166704.41400351503</v>
      </c>
      <c r="K195" s="137">
        <v>30391.34555553403</v>
      </c>
      <c r="L195" s="149">
        <f t="shared" si="22"/>
        <v>504097.05653252167</v>
      </c>
      <c r="M195" s="138">
        <f t="shared" si="23"/>
        <v>45124.451328988522</v>
      </c>
      <c r="N195" s="139">
        <f>INDEX('CHIRP Payment Calc'!AM:AM,MATCH(F:F,'CHIRP Payment Calc'!C:C,0))</f>
        <v>0.36</v>
      </c>
      <c r="O195" s="139">
        <f>INDEX('CHIRP Payment Calc'!AL:AL,MATCH(F:F,'CHIRP Payment Calc'!C:C,0))</f>
        <v>0.2</v>
      </c>
      <c r="P195" s="136">
        <f t="shared" si="24"/>
        <v>190499.8306175055</v>
      </c>
      <c r="Q195" s="149">
        <f t="shared" si="30"/>
        <v>7589.876304238901</v>
      </c>
      <c r="R195" s="149">
        <f t="shared" si="31"/>
        <v>4218.6292437684397</v>
      </c>
      <c r="S195" s="137">
        <f t="shared" si="32"/>
        <v>11808.505548007341</v>
      </c>
      <c r="T195" s="137">
        <f t="shared" si="25"/>
        <v>128871.46027633145</v>
      </c>
      <c r="U195" s="137">
        <f t="shared" si="26"/>
        <v>63844.243660920649</v>
      </c>
      <c r="V195" s="137">
        <f t="shared" si="27"/>
        <v>3126.3884930407421</v>
      </c>
      <c r="W195" s="137">
        <f t="shared" si="28"/>
        <v>6466.2437352200068</v>
      </c>
      <c r="X195" s="138">
        <f t="shared" si="29"/>
        <v>202308.33616551285</v>
      </c>
    </row>
    <row r="196" spans="4:24">
      <c r="D196" s="9" t="s">
        <v>1486</v>
      </c>
      <c r="E196" s="9" t="s">
        <v>2295</v>
      </c>
      <c r="F196" s="4" t="s">
        <v>280</v>
      </c>
      <c r="G196" s="9" t="s">
        <v>2941</v>
      </c>
      <c r="H196" s="136">
        <v>498486.91892704472</v>
      </c>
      <c r="I196" s="137">
        <v>211.53935770409407</v>
      </c>
      <c r="J196" s="137">
        <v>94990.310239177619</v>
      </c>
      <c r="K196" s="137">
        <v>39187.324189569394</v>
      </c>
      <c r="L196" s="149">
        <f t="shared" si="22"/>
        <v>593477.22916622239</v>
      </c>
      <c r="M196" s="138">
        <f t="shared" si="23"/>
        <v>39398.86354727349</v>
      </c>
      <c r="N196" s="139">
        <f>INDEX('CHIRP Payment Calc'!AM:AM,MATCH(F:F,'CHIRP Payment Calc'!C:C,0))</f>
        <v>0.39</v>
      </c>
      <c r="O196" s="139">
        <f>INDEX('CHIRP Payment Calc'!AL:AL,MATCH(F:F,'CHIRP Payment Calc'!C:C,0))</f>
        <v>0.13</v>
      </c>
      <c r="P196" s="136">
        <f t="shared" si="24"/>
        <v>236577.97163597227</v>
      </c>
      <c r="Q196" s="149">
        <f t="shared" si="30"/>
        <v>11862.228555583892</v>
      </c>
      <c r="R196" s="149">
        <f t="shared" si="31"/>
        <v>2689.8238173142531</v>
      </c>
      <c r="S196" s="137">
        <f t="shared" si="32"/>
        <v>14552.052372898144</v>
      </c>
      <c r="T196" s="137">
        <f t="shared" si="25"/>
        <v>206270.44921119095</v>
      </c>
      <c r="U196" s="137">
        <f t="shared" si="26"/>
        <v>39410.873397105614</v>
      </c>
      <c r="V196" s="137">
        <f t="shared" si="27"/>
        <v>29.177842441944012</v>
      </c>
      <c r="W196" s="137">
        <f t="shared" si="28"/>
        <v>5419.5235581319375</v>
      </c>
      <c r="X196" s="138">
        <f t="shared" si="29"/>
        <v>251130.02400887044</v>
      </c>
    </row>
    <row r="197" spans="4:24">
      <c r="D197" s="9" t="s">
        <v>1486</v>
      </c>
      <c r="E197" s="9" t="s">
        <v>2295</v>
      </c>
      <c r="F197" s="4" t="s">
        <v>817</v>
      </c>
      <c r="G197" s="9" t="s">
        <v>2855</v>
      </c>
      <c r="H197" s="136">
        <v>627103.09368014091</v>
      </c>
      <c r="I197" s="137">
        <v>8184.2325158916437</v>
      </c>
      <c r="J197" s="137">
        <v>159826.94968219692</v>
      </c>
      <c r="K197" s="137">
        <v>2914.4604806061425</v>
      </c>
      <c r="L197" s="149">
        <f t="shared" ref="L197:L260" si="33">H197+J197</f>
        <v>786930.04336233786</v>
      </c>
      <c r="M197" s="138">
        <f t="shared" ref="M197:M260" si="34">I197+K197</f>
        <v>11098.692996497786</v>
      </c>
      <c r="N197" s="139">
        <f>INDEX('CHIRP Payment Calc'!AM:AM,MATCH(F:F,'CHIRP Payment Calc'!C:C,0))</f>
        <v>0.41000000000000003</v>
      </c>
      <c r="O197" s="139">
        <f>INDEX('CHIRP Payment Calc'!AL:AL,MATCH(F:F,'CHIRP Payment Calc'!C:C,0))</f>
        <v>0.11</v>
      </c>
      <c r="P197" s="136">
        <f t="shared" ref="P197:P260" si="35">(L197*N197)+(M197*O197)</f>
        <v>323862.17400817329</v>
      </c>
      <c r="Q197" s="149">
        <f t="shared" si="30"/>
        <v>15740.817723259777</v>
      </c>
      <c r="R197" s="149">
        <f t="shared" si="31"/>
        <v>4203.1685120787724</v>
      </c>
      <c r="S197" s="137">
        <f t="shared" si="32"/>
        <v>19943.986235338551</v>
      </c>
      <c r="T197" s="137">
        <f t="shared" ref="T197:T260" si="36">H197/(1-$B$10)*N197</f>
        <v>272798.1627680189</v>
      </c>
      <c r="U197" s="137">
        <f t="shared" ref="U197:U260" si="37">J197/(1-$B$11)*N197</f>
        <v>69711.754648617818</v>
      </c>
      <c r="V197" s="137">
        <f t="shared" ref="V197:V260" si="38">I197/(1-$B$10)*O197</f>
        <v>955.18894084677004</v>
      </c>
      <c r="W197" s="137">
        <f t="shared" ref="W197:W260" si="39">K197/(1-$B$11)*O197</f>
        <v>341.05388602837837</v>
      </c>
      <c r="X197" s="138">
        <f t="shared" ref="X197:X260" si="40">SUM(T197:W197)</f>
        <v>343806.16024351184</v>
      </c>
    </row>
    <row r="198" spans="4:24">
      <c r="D198" s="9" t="s">
        <v>1486</v>
      </c>
      <c r="E198" s="9" t="s">
        <v>2295</v>
      </c>
      <c r="F198" s="4" t="s">
        <v>89</v>
      </c>
      <c r="G198" s="9" t="s">
        <v>2694</v>
      </c>
      <c r="H198" s="136">
        <v>780494.63257262239</v>
      </c>
      <c r="I198" s="137">
        <v>56383.493732610288</v>
      </c>
      <c r="J198" s="137">
        <v>322636.43575662508</v>
      </c>
      <c r="K198" s="137">
        <v>67137.228928422061</v>
      </c>
      <c r="L198" s="149">
        <f t="shared" si="33"/>
        <v>1103131.0683292474</v>
      </c>
      <c r="M198" s="138">
        <f t="shared" si="34"/>
        <v>123520.72266103234</v>
      </c>
      <c r="N198" s="139">
        <f>INDEX('CHIRP Payment Calc'!AM:AM,MATCH(F:F,'CHIRP Payment Calc'!C:C,0))</f>
        <v>0.09</v>
      </c>
      <c r="O198" s="139">
        <f>INDEX('CHIRP Payment Calc'!AL:AL,MATCH(F:F,'CHIRP Payment Calc'!C:C,0))</f>
        <v>0.11</v>
      </c>
      <c r="P198" s="136">
        <f t="shared" si="35"/>
        <v>112869.07564234582</v>
      </c>
      <c r="Q198" s="149">
        <f t="shared" ref="Q198:Q261" si="41">(T198+V198)*$B$10</f>
        <v>4663.8571049571156</v>
      </c>
      <c r="R198" s="149">
        <f t="shared" ref="R198:R261" si="42">(U198+W198)*$B$11</f>
        <v>2324.8324085248523</v>
      </c>
      <c r="S198" s="137">
        <f t="shared" ref="S198:S261" si="43">(T198+V198)*$B$10+(U198+W198)*$B$11</f>
        <v>6988.6895134819679</v>
      </c>
      <c r="T198" s="137">
        <f t="shared" si="36"/>
        <v>74529.991439295511</v>
      </c>
      <c r="U198" s="137">
        <f t="shared" si="37"/>
        <v>30890.722572442828</v>
      </c>
      <c r="V198" s="137">
        <f t="shared" si="38"/>
        <v>6580.5669077847551</v>
      </c>
      <c r="W198" s="137">
        <f t="shared" si="39"/>
        <v>7856.4842363047101</v>
      </c>
      <c r="X198" s="138">
        <f t="shared" si="40"/>
        <v>119857.7651558278</v>
      </c>
    </row>
    <row r="199" spans="4:24">
      <c r="D199" s="9" t="s">
        <v>1486</v>
      </c>
      <c r="E199" s="9" t="s">
        <v>2295</v>
      </c>
      <c r="F199" s="4" t="s">
        <v>708</v>
      </c>
      <c r="G199" s="9" t="s">
        <v>2619</v>
      </c>
      <c r="H199" s="136">
        <v>318731.54107096209</v>
      </c>
      <c r="I199" s="137">
        <v>10732.503833571762</v>
      </c>
      <c r="J199" s="137">
        <v>181682.15166329895</v>
      </c>
      <c r="K199" s="137">
        <v>121591.75463641912</v>
      </c>
      <c r="L199" s="149">
        <f t="shared" si="33"/>
        <v>500413.69273426104</v>
      </c>
      <c r="M199" s="138">
        <f t="shared" si="34"/>
        <v>132324.25846999089</v>
      </c>
      <c r="N199" s="139">
        <f>INDEX('CHIRP Payment Calc'!AM:AM,MATCH(F:F,'CHIRP Payment Calc'!C:C,0))</f>
        <v>0.27</v>
      </c>
      <c r="O199" s="139">
        <f>INDEX('CHIRP Payment Calc'!AL:AL,MATCH(F:F,'CHIRP Payment Calc'!C:C,0))</f>
        <v>0.21000000000000002</v>
      </c>
      <c r="P199" s="136">
        <f t="shared" si="35"/>
        <v>162899.79131694857</v>
      </c>
      <c r="Q199" s="149">
        <f t="shared" si="41"/>
        <v>5387.6945983204951</v>
      </c>
      <c r="R199" s="149">
        <f t="shared" si="42"/>
        <v>4760.964856770559</v>
      </c>
      <c r="S199" s="137">
        <f t="shared" si="43"/>
        <v>10148.659455091054</v>
      </c>
      <c r="T199" s="137">
        <f t="shared" si="36"/>
        <v>91307.709378418862</v>
      </c>
      <c r="U199" s="137">
        <f t="shared" si="37"/>
        <v>52185.298882011404</v>
      </c>
      <c r="V199" s="137">
        <f t="shared" si="38"/>
        <v>2391.3271141114806</v>
      </c>
      <c r="W199" s="137">
        <f t="shared" si="39"/>
        <v>27164.115397497895</v>
      </c>
      <c r="X199" s="138">
        <f t="shared" si="40"/>
        <v>173048.45077203965</v>
      </c>
    </row>
    <row r="200" spans="4:24">
      <c r="D200" s="9" t="s">
        <v>1486</v>
      </c>
      <c r="E200" s="9" t="s">
        <v>2295</v>
      </c>
      <c r="F200" s="4" t="s">
        <v>805</v>
      </c>
      <c r="G200" s="9" t="s">
        <v>2800</v>
      </c>
      <c r="H200" s="136">
        <v>839053.65020906599</v>
      </c>
      <c r="I200" s="137">
        <v>72061.385490025175</v>
      </c>
      <c r="J200" s="137">
        <v>433186.6788567495</v>
      </c>
      <c r="K200" s="137">
        <v>48522.132247733658</v>
      </c>
      <c r="L200" s="149">
        <f t="shared" si="33"/>
        <v>1272240.3290658155</v>
      </c>
      <c r="M200" s="138">
        <f t="shared" si="34"/>
        <v>120583.51773775884</v>
      </c>
      <c r="N200" s="139">
        <f>INDEX('CHIRP Payment Calc'!AM:AM,MATCH(F:F,'CHIRP Payment Calc'!C:C,0))</f>
        <v>0.09</v>
      </c>
      <c r="O200" s="139">
        <f>INDEX('CHIRP Payment Calc'!AL:AL,MATCH(F:F,'CHIRP Payment Calc'!C:C,0))</f>
        <v>0.11</v>
      </c>
      <c r="P200" s="136">
        <f t="shared" si="35"/>
        <v>127765.81656707686</v>
      </c>
      <c r="Q200" s="149">
        <f t="shared" si="41"/>
        <v>5090.6004276459698</v>
      </c>
      <c r="R200" s="149">
        <f t="shared" si="42"/>
        <v>2829.2065304909461</v>
      </c>
      <c r="S200" s="137">
        <f t="shared" si="43"/>
        <v>7919.8069581369164</v>
      </c>
      <c r="T200" s="137">
        <f t="shared" si="36"/>
        <v>80121.833972218505</v>
      </c>
      <c r="U200" s="137">
        <f t="shared" si="37"/>
        <v>41475.32031607176</v>
      </c>
      <c r="V200" s="137">
        <f t="shared" si="38"/>
        <v>8410.3473781461744</v>
      </c>
      <c r="W200" s="137">
        <f t="shared" si="39"/>
        <v>5678.1218587773428</v>
      </c>
      <c r="X200" s="138">
        <f t="shared" si="40"/>
        <v>135685.6235252138</v>
      </c>
    </row>
    <row r="201" spans="4:24">
      <c r="D201" s="9" t="s">
        <v>1486</v>
      </c>
      <c r="E201" s="9" t="s">
        <v>2295</v>
      </c>
      <c r="F201" s="4" t="s">
        <v>1184</v>
      </c>
      <c r="G201" s="9" t="s">
        <v>2348</v>
      </c>
      <c r="H201" s="136">
        <v>430875.08981045184</v>
      </c>
      <c r="I201" s="137">
        <v>41113.820649729605</v>
      </c>
      <c r="J201" s="137">
        <v>213859.99780286878</v>
      </c>
      <c r="K201" s="137">
        <v>135548.576248595</v>
      </c>
      <c r="L201" s="149">
        <f t="shared" si="33"/>
        <v>644735.08761332068</v>
      </c>
      <c r="M201" s="138">
        <f t="shared" si="34"/>
        <v>176662.3968983246</v>
      </c>
      <c r="N201" s="139">
        <f>INDEX('CHIRP Payment Calc'!AM:AM,MATCH(F:F,'CHIRP Payment Calc'!C:C,0))</f>
        <v>0.56999999999999995</v>
      </c>
      <c r="O201" s="139">
        <f>INDEX('CHIRP Payment Calc'!AL:AL,MATCH(F:F,'CHIRP Payment Calc'!C:C,0))</f>
        <v>0.54</v>
      </c>
      <c r="P201" s="136">
        <f t="shared" si="35"/>
        <v>462896.69426468801</v>
      </c>
      <c r="Q201" s="149">
        <f t="shared" si="41"/>
        <v>16337.947161497783</v>
      </c>
      <c r="R201" s="149">
        <f t="shared" si="42"/>
        <v>12452.963612034669</v>
      </c>
      <c r="S201" s="137">
        <f t="shared" si="43"/>
        <v>28790.910773532451</v>
      </c>
      <c r="T201" s="137">
        <f t="shared" si="36"/>
        <v>260582.28243178516</v>
      </c>
      <c r="U201" s="137">
        <f t="shared" si="37"/>
        <v>129681.06249748425</v>
      </c>
      <c r="V201" s="137">
        <f t="shared" si="38"/>
        <v>23555.929072524126</v>
      </c>
      <c r="W201" s="137">
        <f t="shared" si="39"/>
        <v>77868.331036426913</v>
      </c>
      <c r="X201" s="138">
        <f t="shared" si="40"/>
        <v>491687.60503822041</v>
      </c>
    </row>
    <row r="202" spans="4:24">
      <c r="D202" s="9" t="s">
        <v>1486</v>
      </c>
      <c r="E202" s="9" t="s">
        <v>2295</v>
      </c>
      <c r="F202" s="4" t="s">
        <v>1108</v>
      </c>
      <c r="G202" s="9" t="s">
        <v>2626</v>
      </c>
      <c r="H202" s="136">
        <v>1609161.1907651736</v>
      </c>
      <c r="I202" s="137">
        <v>485600.88380234363</v>
      </c>
      <c r="J202" s="137">
        <v>416368.62347028049</v>
      </c>
      <c r="K202" s="137">
        <v>316371.5330130175</v>
      </c>
      <c r="L202" s="149">
        <f t="shared" si="33"/>
        <v>2025529.8142354542</v>
      </c>
      <c r="M202" s="138">
        <f t="shared" si="34"/>
        <v>801972.41681536112</v>
      </c>
      <c r="N202" s="139">
        <f>INDEX('CHIRP Payment Calc'!AM:AM,MATCH(F:F,'CHIRP Payment Calc'!C:C,0))</f>
        <v>0.44999999999999996</v>
      </c>
      <c r="O202" s="139">
        <f>INDEX('CHIRP Payment Calc'!AL:AL,MATCH(F:F,'CHIRP Payment Calc'!C:C,0))</f>
        <v>0.54</v>
      </c>
      <c r="P202" s="136">
        <f t="shared" si="35"/>
        <v>1344553.5214862493</v>
      </c>
      <c r="Q202" s="149">
        <f t="shared" si="41"/>
        <v>60175.016714176803</v>
      </c>
      <c r="R202" s="149">
        <f t="shared" si="42"/>
        <v>22864.245216297171</v>
      </c>
      <c r="S202" s="137">
        <f t="shared" si="43"/>
        <v>83039.261930473978</v>
      </c>
      <c r="T202" s="137">
        <f t="shared" si="36"/>
        <v>768299.77277912793</v>
      </c>
      <c r="U202" s="137">
        <f t="shared" si="37"/>
        <v>199325.40485279384</v>
      </c>
      <c r="V202" s="137">
        <f t="shared" si="38"/>
        <v>278222.25703264249</v>
      </c>
      <c r="W202" s="137">
        <f t="shared" si="39"/>
        <v>181745.34875215901</v>
      </c>
      <c r="X202" s="138">
        <f t="shared" si="40"/>
        <v>1427592.7834167231</v>
      </c>
    </row>
    <row r="203" spans="4:24">
      <c r="D203" s="9" t="s">
        <v>1486</v>
      </c>
      <c r="E203" s="9" t="s">
        <v>2295</v>
      </c>
      <c r="F203" s="4" t="s">
        <v>1485</v>
      </c>
      <c r="G203" s="9" t="s">
        <v>3003</v>
      </c>
      <c r="H203" s="136">
        <v>88258.4100608148</v>
      </c>
      <c r="I203" s="137">
        <v>998422.4859845842</v>
      </c>
      <c r="J203" s="137">
        <v>51475.85270257511</v>
      </c>
      <c r="K203" s="137">
        <v>223272.02349081545</v>
      </c>
      <c r="L203" s="149">
        <f t="shared" si="33"/>
        <v>139734.26276338991</v>
      </c>
      <c r="M203" s="138">
        <f t="shared" si="34"/>
        <v>1221694.5094753997</v>
      </c>
      <c r="N203" s="139">
        <f>INDEX('CHIRP Payment Calc'!AM:AM,MATCH(F:F,'CHIRP Payment Calc'!C:C,0))</f>
        <v>0.98</v>
      </c>
      <c r="O203" s="139">
        <f>INDEX('CHIRP Payment Calc'!AL:AL,MATCH(F:F,'CHIRP Payment Calc'!C:C,0))</f>
        <v>0.16</v>
      </c>
      <c r="P203" s="136">
        <f t="shared" si="35"/>
        <v>332410.69902418606</v>
      </c>
      <c r="Q203" s="149">
        <f t="shared" si="41"/>
        <v>15022.650692822377</v>
      </c>
      <c r="R203" s="149">
        <f t="shared" si="42"/>
        <v>5500.2037919396234</v>
      </c>
      <c r="S203" s="137">
        <f t="shared" si="43"/>
        <v>20522.854484762</v>
      </c>
      <c r="T203" s="137">
        <f t="shared" si="36"/>
        <v>91770.017888168179</v>
      </c>
      <c r="U203" s="137">
        <f t="shared" si="37"/>
        <v>53666.314519705971</v>
      </c>
      <c r="V203" s="137">
        <f t="shared" si="38"/>
        <v>169493.47242178619</v>
      </c>
      <c r="W203" s="137">
        <f t="shared" si="39"/>
        <v>38003.748679287739</v>
      </c>
      <c r="X203" s="138">
        <f t="shared" si="40"/>
        <v>352933.55350894807</v>
      </c>
    </row>
    <row r="204" spans="4:24">
      <c r="D204" s="9" t="s">
        <v>1486</v>
      </c>
      <c r="E204" s="9" t="s">
        <v>2295</v>
      </c>
      <c r="F204" s="4" t="s">
        <v>796</v>
      </c>
      <c r="G204" s="9" t="s">
        <v>2934</v>
      </c>
      <c r="H204" s="136">
        <v>217818.99592172066</v>
      </c>
      <c r="I204" s="137">
        <v>15505.790252344337</v>
      </c>
      <c r="J204" s="137">
        <v>48441.795983366414</v>
      </c>
      <c r="K204" s="137">
        <v>8491.6041705847711</v>
      </c>
      <c r="L204" s="149">
        <f t="shared" si="33"/>
        <v>266260.79190508707</v>
      </c>
      <c r="M204" s="138">
        <f t="shared" si="34"/>
        <v>23997.394422929108</v>
      </c>
      <c r="N204" s="139">
        <f>INDEX('CHIRP Payment Calc'!AM:AM,MATCH(F:F,'CHIRP Payment Calc'!C:C,0))</f>
        <v>0.09</v>
      </c>
      <c r="O204" s="139">
        <f>INDEX('CHIRP Payment Calc'!AL:AL,MATCH(F:F,'CHIRP Payment Calc'!C:C,0))</f>
        <v>0.11</v>
      </c>
      <c r="P204" s="136">
        <f t="shared" si="35"/>
        <v>26603.184657980037</v>
      </c>
      <c r="Q204" s="149">
        <f t="shared" si="41"/>
        <v>1300.0397106005119</v>
      </c>
      <c r="R204" s="149">
        <f t="shared" si="42"/>
        <v>337.90455940004063</v>
      </c>
      <c r="S204" s="137">
        <f t="shared" si="43"/>
        <v>1637.9442700005525</v>
      </c>
      <c r="T204" s="137">
        <f t="shared" si="36"/>
        <v>20799.691918254492</v>
      </c>
      <c r="U204" s="137">
        <f t="shared" si="37"/>
        <v>4638.0442962797633</v>
      </c>
      <c r="V204" s="137">
        <f t="shared" si="38"/>
        <v>1809.6943530587557</v>
      </c>
      <c r="W204" s="137">
        <f t="shared" si="39"/>
        <v>993.69836038757978</v>
      </c>
      <c r="X204" s="138">
        <f t="shared" si="40"/>
        <v>28241.128927980593</v>
      </c>
    </row>
    <row r="205" spans="4:24">
      <c r="D205" s="9" t="s">
        <v>1486</v>
      </c>
      <c r="E205" s="9" t="s">
        <v>2964</v>
      </c>
      <c r="F205" s="4" t="s">
        <v>2323</v>
      </c>
      <c r="G205" s="9" t="s">
        <v>2896</v>
      </c>
      <c r="H205" s="136">
        <v>0</v>
      </c>
      <c r="I205" s="137">
        <v>0</v>
      </c>
      <c r="J205" s="137">
        <v>0</v>
      </c>
      <c r="K205" s="137">
        <v>0</v>
      </c>
      <c r="L205" s="149">
        <f t="shared" si="33"/>
        <v>0</v>
      </c>
      <c r="M205" s="138">
        <f t="shared" si="34"/>
        <v>0</v>
      </c>
      <c r="N205" s="139">
        <f>INDEX('CHIRP Payment Calc'!AM:AM,MATCH(F:F,'CHIRP Payment Calc'!C:C,0))</f>
        <v>0</v>
      </c>
      <c r="O205" s="139">
        <f>INDEX('CHIRP Payment Calc'!AL:AL,MATCH(F:F,'CHIRP Payment Calc'!C:C,0))</f>
        <v>0</v>
      </c>
      <c r="P205" s="136">
        <f t="shared" si="35"/>
        <v>0</v>
      </c>
      <c r="Q205" s="149">
        <f t="shared" si="41"/>
        <v>0</v>
      </c>
      <c r="R205" s="149">
        <f t="shared" si="42"/>
        <v>0</v>
      </c>
      <c r="S205" s="137">
        <f t="shared" si="43"/>
        <v>0</v>
      </c>
      <c r="T205" s="137">
        <f t="shared" si="36"/>
        <v>0</v>
      </c>
      <c r="U205" s="137">
        <f t="shared" si="37"/>
        <v>0</v>
      </c>
      <c r="V205" s="137">
        <f t="shared" si="38"/>
        <v>0</v>
      </c>
      <c r="W205" s="137">
        <f t="shared" si="39"/>
        <v>0</v>
      </c>
      <c r="X205" s="138">
        <f t="shared" si="40"/>
        <v>0</v>
      </c>
    </row>
    <row r="206" spans="4:24">
      <c r="D206" s="9" t="s">
        <v>1486</v>
      </c>
      <c r="E206" s="9" t="s">
        <v>2283</v>
      </c>
      <c r="F206" s="4" t="s">
        <v>1491</v>
      </c>
      <c r="G206" s="9" t="s">
        <v>2568</v>
      </c>
      <c r="H206" s="136">
        <v>0</v>
      </c>
      <c r="I206" s="137">
        <v>0</v>
      </c>
      <c r="J206" s="137">
        <v>924.09471361110707</v>
      </c>
      <c r="K206" s="137">
        <v>0</v>
      </c>
      <c r="L206" s="149">
        <f t="shared" si="33"/>
        <v>924.09471361110707</v>
      </c>
      <c r="M206" s="138">
        <f t="shared" si="34"/>
        <v>0</v>
      </c>
      <c r="N206" s="139">
        <f>INDEX('CHIRP Payment Calc'!AM:AM,MATCH(F:F,'CHIRP Payment Calc'!C:C,0))</f>
        <v>0.99</v>
      </c>
      <c r="O206" s="139">
        <f>INDEX('CHIRP Payment Calc'!AL:AL,MATCH(F:F,'CHIRP Payment Calc'!C:C,0))</f>
        <v>0.48</v>
      </c>
      <c r="P206" s="136">
        <f t="shared" si="35"/>
        <v>914.85376647499595</v>
      </c>
      <c r="Q206" s="149">
        <f t="shared" si="41"/>
        <v>0</v>
      </c>
      <c r="R206" s="149">
        <f t="shared" si="42"/>
        <v>58.39492126436145</v>
      </c>
      <c r="S206" s="137">
        <f t="shared" si="43"/>
        <v>58.39492126436145</v>
      </c>
      <c r="T206" s="137">
        <f t="shared" si="36"/>
        <v>0</v>
      </c>
      <c r="U206" s="137">
        <f t="shared" si="37"/>
        <v>973.24868773935748</v>
      </c>
      <c r="V206" s="137">
        <f t="shared" si="38"/>
        <v>0</v>
      </c>
      <c r="W206" s="137">
        <f t="shared" si="39"/>
        <v>0</v>
      </c>
      <c r="X206" s="138">
        <f t="shared" si="40"/>
        <v>973.24868773935748</v>
      </c>
    </row>
    <row r="207" spans="4:24">
      <c r="D207" s="9" t="s">
        <v>1486</v>
      </c>
      <c r="E207" s="9" t="s">
        <v>2283</v>
      </c>
      <c r="F207" s="4" t="s">
        <v>984</v>
      </c>
      <c r="G207" s="9" t="s">
        <v>2460</v>
      </c>
      <c r="H207" s="136">
        <v>2702326.6324688327</v>
      </c>
      <c r="I207" s="137">
        <v>3918321.0529449536</v>
      </c>
      <c r="J207" s="137">
        <v>1444475.7098616101</v>
      </c>
      <c r="K207" s="137">
        <v>3904043.9242498106</v>
      </c>
      <c r="L207" s="149">
        <f t="shared" si="33"/>
        <v>4146802.3423304427</v>
      </c>
      <c r="M207" s="138">
        <f t="shared" si="34"/>
        <v>7822364.9771947637</v>
      </c>
      <c r="N207" s="139">
        <f>INDEX('CHIRP Payment Calc'!AM:AM,MATCH(F:F,'CHIRP Payment Calc'!C:C,0))</f>
        <v>0.99</v>
      </c>
      <c r="O207" s="139">
        <f>INDEX('CHIRP Payment Calc'!AL:AL,MATCH(F:F,'CHIRP Payment Calc'!C:C,0))</f>
        <v>1.04</v>
      </c>
      <c r="P207" s="136">
        <f t="shared" si="35"/>
        <v>12240593.895189693</v>
      </c>
      <c r="Q207" s="149">
        <f t="shared" si="41"/>
        <v>411825.50930439954</v>
      </c>
      <c r="R207" s="149">
        <f t="shared" si="42"/>
        <v>350440.63621166797</v>
      </c>
      <c r="S207" s="137">
        <f t="shared" si="43"/>
        <v>762266.14551606751</v>
      </c>
      <c r="T207" s="137">
        <f t="shared" si="36"/>
        <v>2838518.1603651401</v>
      </c>
      <c r="U207" s="137">
        <f t="shared" si="37"/>
        <v>1521309.5242159511</v>
      </c>
      <c r="V207" s="137">
        <f t="shared" si="38"/>
        <v>4323664.6101461556</v>
      </c>
      <c r="W207" s="137">
        <f t="shared" si="39"/>
        <v>4319367.7459785147</v>
      </c>
      <c r="X207" s="138">
        <f t="shared" si="40"/>
        <v>13002860.040705763</v>
      </c>
    </row>
    <row r="208" spans="4:24">
      <c r="D208" s="9" t="s">
        <v>1486</v>
      </c>
      <c r="E208" s="9" t="s">
        <v>2283</v>
      </c>
      <c r="F208" s="4" t="s">
        <v>2967</v>
      </c>
      <c r="G208" s="9" t="s">
        <v>2887</v>
      </c>
      <c r="H208" s="136">
        <v>0</v>
      </c>
      <c r="I208" s="137">
        <v>0</v>
      </c>
      <c r="J208" s="137">
        <v>0</v>
      </c>
      <c r="K208" s="137">
        <v>0</v>
      </c>
      <c r="L208" s="149">
        <f t="shared" si="33"/>
        <v>0</v>
      </c>
      <c r="M208" s="138">
        <f t="shared" si="34"/>
        <v>0</v>
      </c>
      <c r="N208" s="139">
        <f>INDEX('CHIRP Payment Calc'!AM:AM,MATCH(F:F,'CHIRP Payment Calc'!C:C,0))</f>
        <v>0.99</v>
      </c>
      <c r="O208" s="139">
        <f>INDEX('CHIRP Payment Calc'!AL:AL,MATCH(F:F,'CHIRP Payment Calc'!C:C,0))</f>
        <v>0.48</v>
      </c>
      <c r="P208" s="136">
        <f t="shared" si="35"/>
        <v>0</v>
      </c>
      <c r="Q208" s="149">
        <f t="shared" si="41"/>
        <v>0</v>
      </c>
      <c r="R208" s="149">
        <f t="shared" si="42"/>
        <v>0</v>
      </c>
      <c r="S208" s="137">
        <f t="shared" si="43"/>
        <v>0</v>
      </c>
      <c r="T208" s="137">
        <f t="shared" si="36"/>
        <v>0</v>
      </c>
      <c r="U208" s="137">
        <f t="shared" si="37"/>
        <v>0</v>
      </c>
      <c r="V208" s="137">
        <f t="shared" si="38"/>
        <v>0</v>
      </c>
      <c r="W208" s="137">
        <f t="shared" si="39"/>
        <v>0</v>
      </c>
      <c r="X208" s="138">
        <f t="shared" si="40"/>
        <v>0</v>
      </c>
    </row>
    <row r="209" spans="4:24">
      <c r="D209" s="9" t="s">
        <v>1486</v>
      </c>
      <c r="E209" s="9" t="s">
        <v>2283</v>
      </c>
      <c r="F209" s="4" t="s">
        <v>1002</v>
      </c>
      <c r="G209" s="9" t="s">
        <v>2863</v>
      </c>
      <c r="H209" s="136">
        <v>3024662.873543208</v>
      </c>
      <c r="I209" s="137">
        <v>3003586.5874515888</v>
      </c>
      <c r="J209" s="137">
        <v>813968.28144395014</v>
      </c>
      <c r="K209" s="137">
        <v>1003525.6835414772</v>
      </c>
      <c r="L209" s="149">
        <f t="shared" si="33"/>
        <v>3838631.1549871583</v>
      </c>
      <c r="M209" s="138">
        <f t="shared" si="34"/>
        <v>4007112.270993066</v>
      </c>
      <c r="N209" s="139">
        <f>INDEX('CHIRP Payment Calc'!AM:AM,MATCH(F:F,'CHIRP Payment Calc'!C:C,0))</f>
        <v>0.99</v>
      </c>
      <c r="O209" s="139">
        <f>INDEX('CHIRP Payment Calc'!AL:AL,MATCH(F:F,'CHIRP Payment Calc'!C:C,0))</f>
        <v>1.0899999999999999</v>
      </c>
      <c r="P209" s="136">
        <f t="shared" si="35"/>
        <v>8167997.2188197281</v>
      </c>
      <c r="Q209" s="149">
        <f t="shared" si="41"/>
        <v>382417.74370819674</v>
      </c>
      <c r="R209" s="149">
        <f t="shared" si="42"/>
        <v>121255.63363976942</v>
      </c>
      <c r="S209" s="137">
        <f t="shared" si="43"/>
        <v>503673.37734796619</v>
      </c>
      <c r="T209" s="137">
        <f t="shared" si="36"/>
        <v>3177099.4639870301</v>
      </c>
      <c r="U209" s="137">
        <f t="shared" si="37"/>
        <v>857264.46662713902</v>
      </c>
      <c r="V209" s="137">
        <f t="shared" si="38"/>
        <v>3473643.9048511735</v>
      </c>
      <c r="W209" s="137">
        <f t="shared" si="39"/>
        <v>1163662.7607023511</v>
      </c>
      <c r="X209" s="138">
        <f t="shared" si="40"/>
        <v>8671670.5961676948</v>
      </c>
    </row>
    <row r="210" spans="4:24">
      <c r="D210" s="9" t="s">
        <v>1486</v>
      </c>
      <c r="E210" s="9" t="s">
        <v>2283</v>
      </c>
      <c r="F210" s="4" t="s">
        <v>1011</v>
      </c>
      <c r="G210" s="9" t="s">
        <v>2868</v>
      </c>
      <c r="H210" s="136">
        <v>20469424.748696782</v>
      </c>
      <c r="I210" s="137">
        <v>34132386.97086858</v>
      </c>
      <c r="J210" s="137">
        <v>9213243.8194977324</v>
      </c>
      <c r="K210" s="137">
        <v>15369220.039054541</v>
      </c>
      <c r="L210" s="149">
        <f t="shared" si="33"/>
        <v>29682668.568194516</v>
      </c>
      <c r="M210" s="138">
        <f t="shared" si="34"/>
        <v>49501607.009923123</v>
      </c>
      <c r="N210" s="139">
        <f>INDEX('CHIRP Payment Calc'!AM:AM,MATCH(F:F,'CHIRP Payment Calc'!C:C,0))</f>
        <v>0.99</v>
      </c>
      <c r="O210" s="139">
        <f>INDEX('CHIRP Payment Calc'!AL:AL,MATCH(F:F,'CHIRP Payment Calc'!C:C,0))</f>
        <v>0.95</v>
      </c>
      <c r="P210" s="136">
        <f t="shared" si="35"/>
        <v>76412368.541939527</v>
      </c>
      <c r="Q210" s="149">
        <f t="shared" si="41"/>
        <v>3214539.6733191092</v>
      </c>
      <c r="R210" s="149">
        <f t="shared" si="42"/>
        <v>1514161.9416002918</v>
      </c>
      <c r="S210" s="137">
        <f t="shared" si="43"/>
        <v>4728701.6149194008</v>
      </c>
      <c r="T210" s="137">
        <f t="shared" si="36"/>
        <v>21501040.319586009</v>
      </c>
      <c r="U210" s="137">
        <f t="shared" si="37"/>
        <v>9703309.9801093135</v>
      </c>
      <c r="V210" s="137">
        <f t="shared" si="38"/>
        <v>34403997.477268063</v>
      </c>
      <c r="W210" s="137">
        <f t="shared" si="39"/>
        <v>15532722.379895547</v>
      </c>
      <c r="X210" s="138">
        <f t="shared" si="40"/>
        <v>81141070.156858936</v>
      </c>
    </row>
    <row r="211" spans="4:24">
      <c r="D211" s="9" t="s">
        <v>1486</v>
      </c>
      <c r="E211" s="9" t="s">
        <v>2283</v>
      </c>
      <c r="F211" s="4" t="s">
        <v>887</v>
      </c>
      <c r="G211" s="9" t="s">
        <v>2940</v>
      </c>
      <c r="H211" s="136">
        <v>3142065.7818704895</v>
      </c>
      <c r="I211" s="137">
        <v>4647106.6885030959</v>
      </c>
      <c r="J211" s="137">
        <v>812344.24011718517</v>
      </c>
      <c r="K211" s="137">
        <v>1933297.7446427243</v>
      </c>
      <c r="L211" s="149">
        <f t="shared" si="33"/>
        <v>3954410.0219876748</v>
      </c>
      <c r="M211" s="138">
        <f t="shared" si="34"/>
        <v>6580404.4331458202</v>
      </c>
      <c r="N211" s="139">
        <f>INDEX('CHIRP Payment Calc'!AM:AM,MATCH(F:F,'CHIRP Payment Calc'!C:C,0))</f>
        <v>0.99</v>
      </c>
      <c r="O211" s="139">
        <f>INDEX('CHIRP Payment Calc'!AL:AL,MATCH(F:F,'CHIRP Payment Calc'!C:C,0))</f>
        <v>0.96</v>
      </c>
      <c r="P211" s="136">
        <f t="shared" si="35"/>
        <v>10232054.177587785</v>
      </c>
      <c r="Q211" s="149">
        <f t="shared" si="41"/>
        <v>461944.17383379157</v>
      </c>
      <c r="R211" s="149">
        <f t="shared" si="42"/>
        <v>169799.14675998056</v>
      </c>
      <c r="S211" s="137">
        <f t="shared" si="43"/>
        <v>631743.32059377211</v>
      </c>
      <c r="T211" s="137">
        <f t="shared" si="36"/>
        <v>3300419.229763167</v>
      </c>
      <c r="U211" s="137">
        <f t="shared" si="37"/>
        <v>855554.04012341844</v>
      </c>
      <c r="V211" s="137">
        <f t="shared" si="38"/>
        <v>4733392.4890853819</v>
      </c>
      <c r="W211" s="137">
        <f t="shared" si="39"/>
        <v>1974431.7392095907</v>
      </c>
      <c r="X211" s="138">
        <f t="shared" si="40"/>
        <v>10863797.498181557</v>
      </c>
    </row>
    <row r="212" spans="4:24">
      <c r="D212" s="9" t="s">
        <v>1486</v>
      </c>
      <c r="E212" s="9" t="s">
        <v>2283</v>
      </c>
      <c r="F212" s="4" t="s">
        <v>751</v>
      </c>
      <c r="G212" s="9" t="s">
        <v>2673</v>
      </c>
      <c r="H212" s="136">
        <v>3452802.0523915398</v>
      </c>
      <c r="I212" s="137">
        <v>2484524.9024467249</v>
      </c>
      <c r="J212" s="137">
        <v>836775.68368559866</v>
      </c>
      <c r="K212" s="137">
        <v>807989.15927203686</v>
      </c>
      <c r="L212" s="149">
        <f t="shared" si="33"/>
        <v>4289577.7360771382</v>
      </c>
      <c r="M212" s="138">
        <f t="shared" si="34"/>
        <v>3292514.0617187619</v>
      </c>
      <c r="N212" s="139">
        <f>INDEX('CHIRP Payment Calc'!AM:AM,MATCH(F:F,'CHIRP Payment Calc'!C:C,0))</f>
        <v>0.99</v>
      </c>
      <c r="O212" s="139">
        <f>INDEX('CHIRP Payment Calc'!AL:AL,MATCH(F:F,'CHIRP Payment Calc'!C:C,0))</f>
        <v>1.19</v>
      </c>
      <c r="P212" s="136">
        <f t="shared" si="35"/>
        <v>8164773.6921616923</v>
      </c>
      <c r="Q212" s="149">
        <f t="shared" si="41"/>
        <v>388917.10693082819</v>
      </c>
      <c r="R212" s="149">
        <f t="shared" si="42"/>
        <v>114249.89530100852</v>
      </c>
      <c r="S212" s="137">
        <f t="shared" si="43"/>
        <v>503167.00223183673</v>
      </c>
      <c r="T212" s="137">
        <f t="shared" si="36"/>
        <v>3626815.948931166</v>
      </c>
      <c r="U212" s="137">
        <f t="shared" si="37"/>
        <v>881285.02856249223</v>
      </c>
      <c r="V212" s="137">
        <f t="shared" si="38"/>
        <v>3136959.8237788887</v>
      </c>
      <c r="W212" s="137">
        <f t="shared" si="39"/>
        <v>1022879.8931209829</v>
      </c>
      <c r="X212" s="138">
        <f t="shared" si="40"/>
        <v>8667940.6943935305</v>
      </c>
    </row>
    <row r="213" spans="4:24">
      <c r="D213" s="9" t="s">
        <v>1486</v>
      </c>
      <c r="E213" s="9" t="s">
        <v>2283</v>
      </c>
      <c r="F213" s="4" t="s">
        <v>757</v>
      </c>
      <c r="G213" s="9" t="s">
        <v>2864</v>
      </c>
      <c r="H213" s="136">
        <v>3027927.543059113</v>
      </c>
      <c r="I213" s="137">
        <v>9633171.8950062562</v>
      </c>
      <c r="J213" s="137">
        <v>2280000.4957244103</v>
      </c>
      <c r="K213" s="137">
        <v>3362958.9062524503</v>
      </c>
      <c r="L213" s="149">
        <f t="shared" si="33"/>
        <v>5307928.0387835233</v>
      </c>
      <c r="M213" s="138">
        <f t="shared" si="34"/>
        <v>12996130.801258706</v>
      </c>
      <c r="N213" s="139">
        <f>INDEX('CHIRP Payment Calc'!AM:AM,MATCH(F:F,'CHIRP Payment Calc'!C:C,0))</f>
        <v>0.99</v>
      </c>
      <c r="O213" s="139">
        <f>INDEX('CHIRP Payment Calc'!AL:AL,MATCH(F:F,'CHIRP Payment Calc'!C:C,0))</f>
        <v>1.22</v>
      </c>
      <c r="P213" s="136">
        <f t="shared" si="35"/>
        <v>21110128.335931309</v>
      </c>
      <c r="Q213" s="149">
        <f t="shared" si="41"/>
        <v>899874.57169583952</v>
      </c>
      <c r="R213" s="149">
        <f t="shared" si="42"/>
        <v>405958.10785500996</v>
      </c>
      <c r="S213" s="137">
        <f t="shared" si="43"/>
        <v>1305832.6795508494</v>
      </c>
      <c r="T213" s="137">
        <f t="shared" si="36"/>
        <v>3180528.6659188559</v>
      </c>
      <c r="U213" s="137">
        <f t="shared" si="37"/>
        <v>2401277.1178374109</v>
      </c>
      <c r="V213" s="137">
        <f t="shared" si="38"/>
        <v>12469463.885313137</v>
      </c>
      <c r="W213" s="137">
        <f t="shared" si="39"/>
        <v>4364691.3464127546</v>
      </c>
      <c r="X213" s="138">
        <f t="shared" si="40"/>
        <v>22415961.015482157</v>
      </c>
    </row>
    <row r="214" spans="4:24">
      <c r="D214" s="9" t="s">
        <v>1486</v>
      </c>
      <c r="E214" s="9" t="s">
        <v>2283</v>
      </c>
      <c r="F214" s="4" t="s">
        <v>1512</v>
      </c>
      <c r="G214" s="9" t="s">
        <v>2648</v>
      </c>
      <c r="H214" s="136">
        <v>0</v>
      </c>
      <c r="I214" s="137">
        <v>62280.225710896957</v>
      </c>
      <c r="J214" s="137">
        <v>0</v>
      </c>
      <c r="K214" s="137">
        <v>215427.6096962626</v>
      </c>
      <c r="L214" s="149">
        <f t="shared" si="33"/>
        <v>0</v>
      </c>
      <c r="M214" s="138">
        <f t="shared" si="34"/>
        <v>277707.83540715958</v>
      </c>
      <c r="N214" s="139">
        <f>INDEX('CHIRP Payment Calc'!AM:AM,MATCH(F:F,'CHIRP Payment Calc'!C:C,0))</f>
        <v>0.99</v>
      </c>
      <c r="O214" s="139">
        <f>INDEX('CHIRP Payment Calc'!AL:AL,MATCH(F:F,'CHIRP Payment Calc'!C:C,0))</f>
        <v>0.48</v>
      </c>
      <c r="P214" s="136">
        <f t="shared" si="35"/>
        <v>133299.76099543661</v>
      </c>
      <c r="Q214" s="149">
        <f t="shared" si="41"/>
        <v>1823.802896149343</v>
      </c>
      <c r="R214" s="149">
        <f t="shared" si="42"/>
        <v>6600.3352758003857</v>
      </c>
      <c r="S214" s="137">
        <f t="shared" si="43"/>
        <v>8424.1381719497294</v>
      </c>
      <c r="T214" s="137">
        <f t="shared" si="36"/>
        <v>0</v>
      </c>
      <c r="U214" s="137">
        <f t="shared" si="37"/>
        <v>0</v>
      </c>
      <c r="V214" s="137">
        <f t="shared" si="38"/>
        <v>31718.311237379879</v>
      </c>
      <c r="W214" s="137">
        <f t="shared" si="39"/>
        <v>110005.58793000643</v>
      </c>
      <c r="X214" s="138">
        <f t="shared" si="40"/>
        <v>141723.89916738629</v>
      </c>
    </row>
    <row r="215" spans="4:24">
      <c r="D215" s="9" t="s">
        <v>1486</v>
      </c>
      <c r="E215" s="9" t="s">
        <v>2283</v>
      </c>
      <c r="F215" s="4" t="s">
        <v>996</v>
      </c>
      <c r="G215" s="9" t="s">
        <v>3004</v>
      </c>
      <c r="H215" s="136">
        <v>2691618.36906187</v>
      </c>
      <c r="I215" s="137">
        <v>6056686.0694045452</v>
      </c>
      <c r="J215" s="137">
        <v>1830237.5086668842</v>
      </c>
      <c r="K215" s="137">
        <v>4628652.253938742</v>
      </c>
      <c r="L215" s="149">
        <f t="shared" si="33"/>
        <v>4521855.8777287547</v>
      </c>
      <c r="M215" s="138">
        <f t="shared" si="34"/>
        <v>10685338.323343288</v>
      </c>
      <c r="N215" s="139">
        <f>INDEX('CHIRP Payment Calc'!AM:AM,MATCH(F:F,'CHIRP Payment Calc'!C:C,0))</f>
        <v>0.99</v>
      </c>
      <c r="O215" s="139">
        <f>INDEX('CHIRP Payment Calc'!AL:AL,MATCH(F:F,'CHIRP Payment Calc'!C:C,0))</f>
        <v>0.8</v>
      </c>
      <c r="P215" s="136">
        <f t="shared" si="35"/>
        <v>13024907.977626098</v>
      </c>
      <c r="Q215" s="149">
        <f t="shared" si="41"/>
        <v>458172.87517395866</v>
      </c>
      <c r="R215" s="149">
        <f t="shared" si="42"/>
        <v>352012.14489773684</v>
      </c>
      <c r="S215" s="137">
        <f t="shared" si="43"/>
        <v>810185.02007169556</v>
      </c>
      <c r="T215" s="137">
        <f t="shared" si="36"/>
        <v>2827270.2232055715</v>
      </c>
      <c r="U215" s="137">
        <f t="shared" si="37"/>
        <v>1927590.5676385271</v>
      </c>
      <c r="V215" s="137">
        <f t="shared" si="38"/>
        <v>5140953.6928632744</v>
      </c>
      <c r="W215" s="137">
        <f t="shared" si="39"/>
        <v>3939278.513990419</v>
      </c>
      <c r="X215" s="138">
        <f t="shared" si="40"/>
        <v>13835092.997697791</v>
      </c>
    </row>
    <row r="216" spans="4:24">
      <c r="D216" s="9" t="s">
        <v>310</v>
      </c>
      <c r="E216" s="9" t="s">
        <v>2295</v>
      </c>
      <c r="F216" s="4" t="s">
        <v>597</v>
      </c>
      <c r="G216" s="9" t="s">
        <v>2920</v>
      </c>
      <c r="H216" s="136">
        <v>2072137.5759830703</v>
      </c>
      <c r="I216" s="137">
        <v>2593987.8132971684</v>
      </c>
      <c r="J216" s="137">
        <v>543488.5351633071</v>
      </c>
      <c r="K216" s="137">
        <v>735686.60493134614</v>
      </c>
      <c r="L216" s="149">
        <f t="shared" si="33"/>
        <v>2615626.1111463774</v>
      </c>
      <c r="M216" s="138">
        <f t="shared" si="34"/>
        <v>3329674.4182285145</v>
      </c>
      <c r="N216" s="139">
        <f>INDEX('CHIRP Payment Calc'!AM:AM,MATCH(F:F,'CHIRP Payment Calc'!C:C,0))</f>
        <v>0.63</v>
      </c>
      <c r="O216" s="139">
        <f>INDEX('CHIRP Payment Calc'!AL:AL,MATCH(F:F,'CHIRP Payment Calc'!C:C,0))</f>
        <v>0.4</v>
      </c>
      <c r="P216" s="136">
        <f t="shared" si="35"/>
        <v>2979714.217313624</v>
      </c>
      <c r="Q216" s="149">
        <f t="shared" si="41"/>
        <v>142944.19458442609</v>
      </c>
      <c r="R216" s="149">
        <f t="shared" si="42"/>
        <v>40638.665050558848</v>
      </c>
      <c r="S216" s="137">
        <f t="shared" si="43"/>
        <v>183582.85963498492</v>
      </c>
      <c r="T216" s="137">
        <f t="shared" si="36"/>
        <v>1385089.3080841743</v>
      </c>
      <c r="U216" s="137">
        <f t="shared" si="37"/>
        <v>364252.95441796113</v>
      </c>
      <c r="V216" s="137">
        <f t="shared" si="38"/>
        <v>1100896.6846884533</v>
      </c>
      <c r="W216" s="137">
        <f t="shared" si="39"/>
        <v>313058.12975801964</v>
      </c>
      <c r="X216" s="138">
        <f t="shared" si="40"/>
        <v>3163297.0769486083</v>
      </c>
    </row>
    <row r="217" spans="4:24">
      <c r="D217" s="9" t="s">
        <v>310</v>
      </c>
      <c r="E217" s="9" t="s">
        <v>2295</v>
      </c>
      <c r="F217" s="4" t="s">
        <v>1337</v>
      </c>
      <c r="G217" s="9" t="s">
        <v>2898</v>
      </c>
      <c r="H217" s="136">
        <v>1791796.8019927354</v>
      </c>
      <c r="I217" s="137">
        <v>3042182.4690231625</v>
      </c>
      <c r="J217" s="137">
        <v>553279.67741923791</v>
      </c>
      <c r="K217" s="137">
        <v>1294704.2842085615</v>
      </c>
      <c r="L217" s="149">
        <f t="shared" si="33"/>
        <v>2345076.4794119732</v>
      </c>
      <c r="M217" s="138">
        <f t="shared" si="34"/>
        <v>4336886.7532317238</v>
      </c>
      <c r="N217" s="139">
        <f>INDEX('CHIRP Payment Calc'!AM:AM,MATCH(F:F,'CHIRP Payment Calc'!C:C,0))</f>
        <v>1.23</v>
      </c>
      <c r="O217" s="139">
        <f>INDEX('CHIRP Payment Calc'!AL:AL,MATCH(F:F,'CHIRP Payment Calc'!C:C,0))</f>
        <v>0.14000000000000001</v>
      </c>
      <c r="P217" s="136">
        <f t="shared" si="35"/>
        <v>3491608.2151291687</v>
      </c>
      <c r="Q217" s="149">
        <f t="shared" si="41"/>
        <v>160439.67925365802</v>
      </c>
      <c r="R217" s="149">
        <f t="shared" si="42"/>
        <v>55008.038490310297</v>
      </c>
      <c r="S217" s="137">
        <f t="shared" si="43"/>
        <v>215447.7177439683</v>
      </c>
      <c r="T217" s="137">
        <f t="shared" si="36"/>
        <v>2338366.1182504664</v>
      </c>
      <c r="U217" s="137">
        <f t="shared" si="37"/>
        <v>723972.34385708789</v>
      </c>
      <c r="V217" s="137">
        <f t="shared" si="38"/>
        <v>451889.17311749898</v>
      </c>
      <c r="W217" s="137">
        <f t="shared" si="39"/>
        <v>192828.29764808365</v>
      </c>
      <c r="X217" s="138">
        <f t="shared" si="40"/>
        <v>3707055.9328731364</v>
      </c>
    </row>
    <row r="218" spans="4:24">
      <c r="D218" s="9" t="s">
        <v>310</v>
      </c>
      <c r="E218" s="9" t="s">
        <v>2295</v>
      </c>
      <c r="F218" s="4" t="s">
        <v>1478</v>
      </c>
      <c r="G218" s="9" t="s">
        <v>2732</v>
      </c>
      <c r="H218" s="136">
        <v>295050.48851242155</v>
      </c>
      <c r="I218" s="137">
        <v>1231882.2077048454</v>
      </c>
      <c r="J218" s="137">
        <v>21872.914427082647</v>
      </c>
      <c r="K218" s="137">
        <v>358786.27354212909</v>
      </c>
      <c r="L218" s="149">
        <f t="shared" si="33"/>
        <v>316923.40293950419</v>
      </c>
      <c r="M218" s="138">
        <f t="shared" si="34"/>
        <v>1590668.4812469743</v>
      </c>
      <c r="N218" s="139">
        <f>INDEX('CHIRP Payment Calc'!AM:AM,MATCH(F:F,'CHIRP Payment Calc'!C:C,0))</f>
        <v>0.32</v>
      </c>
      <c r="O218" s="139">
        <f>INDEX('CHIRP Payment Calc'!AL:AL,MATCH(F:F,'CHIRP Payment Calc'!C:C,0))</f>
        <v>0.03</v>
      </c>
      <c r="P218" s="136">
        <f t="shared" si="35"/>
        <v>149135.54337805056</v>
      </c>
      <c r="Q218" s="149">
        <f t="shared" si="41"/>
        <v>8014.7753813468607</v>
      </c>
      <c r="R218" s="149">
        <f t="shared" si="42"/>
        <v>1133.8034567827865</v>
      </c>
      <c r="S218" s="137">
        <f t="shared" si="43"/>
        <v>9148.5788381296479</v>
      </c>
      <c r="T218" s="137">
        <f t="shared" si="36"/>
        <v>100176.29318193624</v>
      </c>
      <c r="U218" s="137">
        <f t="shared" si="37"/>
        <v>7446.0985283685613</v>
      </c>
      <c r="V218" s="137">
        <f t="shared" si="38"/>
        <v>39211.104754530883</v>
      </c>
      <c r="W218" s="137">
        <f t="shared" si="39"/>
        <v>11450.625751344545</v>
      </c>
      <c r="X218" s="138">
        <f t="shared" si="40"/>
        <v>158284.12221618023</v>
      </c>
    </row>
    <row r="219" spans="4:24">
      <c r="D219" s="9" t="s">
        <v>310</v>
      </c>
      <c r="E219" s="9" t="s">
        <v>2295</v>
      </c>
      <c r="F219" s="4" t="s">
        <v>1643</v>
      </c>
      <c r="G219" s="9" t="s">
        <v>2449</v>
      </c>
      <c r="H219" s="136">
        <v>1664782.357189921</v>
      </c>
      <c r="I219" s="137">
        <v>2874646.3479508688</v>
      </c>
      <c r="J219" s="137">
        <v>303780.06689300679</v>
      </c>
      <c r="K219" s="137">
        <v>487316.52126073098</v>
      </c>
      <c r="L219" s="149">
        <f t="shared" si="33"/>
        <v>1968562.4240829279</v>
      </c>
      <c r="M219" s="138">
        <f t="shared" si="34"/>
        <v>3361962.8692115997</v>
      </c>
      <c r="N219" s="139">
        <f>INDEX('CHIRP Payment Calc'!AM:AM,MATCH(F:F,'CHIRP Payment Calc'!C:C,0))</f>
        <v>1.06</v>
      </c>
      <c r="O219" s="139">
        <f>INDEX('CHIRP Payment Calc'!AL:AL,MATCH(F:F,'CHIRP Payment Calc'!C:C,0))</f>
        <v>0.15</v>
      </c>
      <c r="P219" s="136">
        <f t="shared" si="35"/>
        <v>2590970.5999096436</v>
      </c>
      <c r="Q219" s="149">
        <f t="shared" si="41"/>
        <v>133965.31503639463</v>
      </c>
      <c r="R219" s="149">
        <f t="shared" si="42"/>
        <v>25219.426538023206</v>
      </c>
      <c r="S219" s="137">
        <f t="shared" si="43"/>
        <v>159184.74157441783</v>
      </c>
      <c r="T219" s="137">
        <f t="shared" si="36"/>
        <v>1872328.1682984789</v>
      </c>
      <c r="U219" s="137">
        <f t="shared" si="37"/>
        <v>342560.50096445449</v>
      </c>
      <c r="V219" s="137">
        <f t="shared" si="38"/>
        <v>457503.39755186235</v>
      </c>
      <c r="W219" s="137">
        <f t="shared" si="39"/>
        <v>77763.274669265578</v>
      </c>
      <c r="X219" s="138">
        <f t="shared" si="40"/>
        <v>2750155.3414840614</v>
      </c>
    </row>
    <row r="220" spans="4:24">
      <c r="D220" s="9" t="s">
        <v>310</v>
      </c>
      <c r="E220" s="9" t="s">
        <v>2295</v>
      </c>
      <c r="F220" s="4" t="s">
        <v>1289</v>
      </c>
      <c r="G220" s="9" t="s">
        <v>2857</v>
      </c>
      <c r="H220" s="136">
        <v>1934263.8202246961</v>
      </c>
      <c r="I220" s="137">
        <v>4099425.5241999272</v>
      </c>
      <c r="J220" s="137">
        <v>430305.3071467547</v>
      </c>
      <c r="K220" s="137">
        <v>548791.38802465959</v>
      </c>
      <c r="L220" s="149">
        <f t="shared" si="33"/>
        <v>2364569.1273714509</v>
      </c>
      <c r="M220" s="138">
        <f t="shared" si="34"/>
        <v>4648216.9122245871</v>
      </c>
      <c r="N220" s="139">
        <f>INDEX('CHIRP Payment Calc'!AM:AM,MATCH(F:F,'CHIRP Payment Calc'!C:C,0))</f>
        <v>0.81</v>
      </c>
      <c r="O220" s="139">
        <f>INDEX('CHIRP Payment Calc'!AL:AL,MATCH(F:F,'CHIRP Payment Calc'!C:C,0))</f>
        <v>0.09</v>
      </c>
      <c r="P220" s="136">
        <f t="shared" si="35"/>
        <v>2333640.5152710881</v>
      </c>
      <c r="Q220" s="149">
        <f t="shared" si="41"/>
        <v>118093.22494928366</v>
      </c>
      <c r="R220" s="149">
        <f t="shared" si="42"/>
        <v>25400.331300707916</v>
      </c>
      <c r="S220" s="137">
        <f t="shared" si="43"/>
        <v>143493.55624999158</v>
      </c>
      <c r="T220" s="137">
        <f t="shared" si="36"/>
        <v>1662338.1372753356</v>
      </c>
      <c r="U220" s="137">
        <f t="shared" si="37"/>
        <v>370794.99871156522</v>
      </c>
      <c r="V220" s="137">
        <f t="shared" si="38"/>
        <v>391457.07923394535</v>
      </c>
      <c r="W220" s="137">
        <f t="shared" si="39"/>
        <v>52543.856300233361</v>
      </c>
      <c r="X220" s="138">
        <f t="shared" si="40"/>
        <v>2477134.0715210796</v>
      </c>
    </row>
    <row r="221" spans="4:24">
      <c r="D221" s="9" t="s">
        <v>310</v>
      </c>
      <c r="E221" s="9" t="s">
        <v>2295</v>
      </c>
      <c r="F221" s="4" t="s">
        <v>321</v>
      </c>
      <c r="G221" s="9" t="s">
        <v>2951</v>
      </c>
      <c r="H221" s="136">
        <v>1219463.3646003322</v>
      </c>
      <c r="I221" s="137">
        <v>131791.52665094181</v>
      </c>
      <c r="J221" s="137">
        <v>473456.28740868479</v>
      </c>
      <c r="K221" s="137">
        <v>406329.51115484338</v>
      </c>
      <c r="L221" s="149">
        <f t="shared" si="33"/>
        <v>1692919.6520090171</v>
      </c>
      <c r="M221" s="138">
        <f t="shared" si="34"/>
        <v>538121.03780578519</v>
      </c>
      <c r="N221" s="139">
        <f>INDEX('CHIRP Payment Calc'!AM:AM,MATCH(F:F,'CHIRP Payment Calc'!C:C,0))</f>
        <v>0.43</v>
      </c>
      <c r="O221" s="139">
        <f>INDEX('CHIRP Payment Calc'!AL:AL,MATCH(F:F,'CHIRP Payment Calc'!C:C,0))</f>
        <v>0</v>
      </c>
      <c r="P221" s="136">
        <f t="shared" si="35"/>
        <v>727955.45036387735</v>
      </c>
      <c r="Q221" s="149">
        <f t="shared" si="41"/>
        <v>31990.696753043201</v>
      </c>
      <c r="R221" s="149">
        <f t="shared" si="42"/>
        <v>12994.864058663903</v>
      </c>
      <c r="S221" s="137">
        <f t="shared" si="43"/>
        <v>44985.560811707102</v>
      </c>
      <c r="T221" s="137">
        <f t="shared" si="36"/>
        <v>556359.94353118609</v>
      </c>
      <c r="U221" s="137">
        <f t="shared" si="37"/>
        <v>216581.06764439837</v>
      </c>
      <c r="V221" s="137">
        <f t="shared" si="38"/>
        <v>0</v>
      </c>
      <c r="W221" s="137">
        <f t="shared" si="39"/>
        <v>0</v>
      </c>
      <c r="X221" s="138">
        <f t="shared" si="40"/>
        <v>772941.01117558451</v>
      </c>
    </row>
    <row r="222" spans="4:24">
      <c r="D222" s="9" t="s">
        <v>310</v>
      </c>
      <c r="E222" s="9" t="s">
        <v>2295</v>
      </c>
      <c r="F222" s="4" t="s">
        <v>175</v>
      </c>
      <c r="G222" s="9" t="s">
        <v>2949</v>
      </c>
      <c r="H222" s="136">
        <v>2500366.3741755844</v>
      </c>
      <c r="I222" s="137">
        <v>3829624.2410139828</v>
      </c>
      <c r="J222" s="137">
        <v>635569.92917655967</v>
      </c>
      <c r="K222" s="137">
        <v>919758.97001379961</v>
      </c>
      <c r="L222" s="149">
        <f t="shared" si="33"/>
        <v>3135936.3033521441</v>
      </c>
      <c r="M222" s="138">
        <f t="shared" si="34"/>
        <v>4749383.2110277824</v>
      </c>
      <c r="N222" s="139">
        <f>INDEX('CHIRP Payment Calc'!AM:AM,MATCH(F:F,'CHIRP Payment Calc'!C:C,0))</f>
        <v>0.37</v>
      </c>
      <c r="O222" s="139">
        <f>INDEX('CHIRP Payment Calc'!AL:AL,MATCH(F:F,'CHIRP Payment Calc'!C:C,0))</f>
        <v>0</v>
      </c>
      <c r="P222" s="136">
        <f t="shared" si="35"/>
        <v>1160296.4322402934</v>
      </c>
      <c r="Q222" s="149">
        <f t="shared" si="41"/>
        <v>56440.630886562925</v>
      </c>
      <c r="R222" s="149">
        <f t="shared" si="42"/>
        <v>15010.268540127261</v>
      </c>
      <c r="S222" s="137">
        <f t="shared" si="43"/>
        <v>71450.899426690186</v>
      </c>
      <c r="T222" s="137">
        <f t="shared" si="36"/>
        <v>981576.18933152908</v>
      </c>
      <c r="U222" s="137">
        <f t="shared" si="37"/>
        <v>250171.14233545432</v>
      </c>
      <c r="V222" s="137">
        <f t="shared" si="38"/>
        <v>0</v>
      </c>
      <c r="W222" s="137">
        <f t="shared" si="39"/>
        <v>0</v>
      </c>
      <c r="X222" s="138">
        <f t="shared" si="40"/>
        <v>1231747.3316669834</v>
      </c>
    </row>
    <row r="223" spans="4:24">
      <c r="D223" s="9" t="s">
        <v>310</v>
      </c>
      <c r="E223" s="9" t="s">
        <v>2295</v>
      </c>
      <c r="F223" s="4" t="s">
        <v>854</v>
      </c>
      <c r="G223" s="9" t="s">
        <v>3005</v>
      </c>
      <c r="H223" s="136">
        <v>2337049.5233801431</v>
      </c>
      <c r="I223" s="137">
        <v>2102541.0491666691</v>
      </c>
      <c r="J223" s="137">
        <v>593935.98023053654</v>
      </c>
      <c r="K223" s="137">
        <v>2219262.7230969416</v>
      </c>
      <c r="L223" s="149">
        <f t="shared" si="33"/>
        <v>2930985.5036106799</v>
      </c>
      <c r="M223" s="138">
        <f t="shared" si="34"/>
        <v>4321803.7722636107</v>
      </c>
      <c r="N223" s="139">
        <f>INDEX('CHIRP Payment Calc'!AM:AM,MATCH(F:F,'CHIRP Payment Calc'!C:C,0))</f>
        <v>0.98</v>
      </c>
      <c r="O223" s="139">
        <f>INDEX('CHIRP Payment Calc'!AL:AL,MATCH(F:F,'CHIRP Payment Calc'!C:C,0))</f>
        <v>0.06</v>
      </c>
      <c r="P223" s="136">
        <f t="shared" si="35"/>
        <v>3131674.0198742826</v>
      </c>
      <c r="Q223" s="149">
        <f t="shared" si="41"/>
        <v>147423.34988020803</v>
      </c>
      <c r="R223" s="149">
        <f t="shared" si="42"/>
        <v>45651.895149685683</v>
      </c>
      <c r="S223" s="137">
        <f t="shared" si="43"/>
        <v>193075.2450298937</v>
      </c>
      <c r="T223" s="137">
        <f t="shared" si="36"/>
        <v>2430035.5786870453</v>
      </c>
      <c r="U223" s="137">
        <f t="shared" si="37"/>
        <v>619209.85172970837</v>
      </c>
      <c r="V223" s="137">
        <f t="shared" si="38"/>
        <v>133848.76705570307</v>
      </c>
      <c r="W223" s="137">
        <f t="shared" si="39"/>
        <v>141655.06743171968</v>
      </c>
      <c r="X223" s="138">
        <f t="shared" si="40"/>
        <v>3324749.2649041759</v>
      </c>
    </row>
    <row r="224" spans="4:24">
      <c r="D224" s="9" t="s">
        <v>310</v>
      </c>
      <c r="E224" s="9" t="s">
        <v>2295</v>
      </c>
      <c r="F224" s="4" t="s">
        <v>357</v>
      </c>
      <c r="G224" s="9" t="s">
        <v>2952</v>
      </c>
      <c r="H224" s="136">
        <v>539818.0279099188</v>
      </c>
      <c r="I224" s="137">
        <v>71023.927377678367</v>
      </c>
      <c r="J224" s="137">
        <v>279966.19914061658</v>
      </c>
      <c r="K224" s="137">
        <v>201347.54768193871</v>
      </c>
      <c r="L224" s="149">
        <f t="shared" si="33"/>
        <v>819784.22705053538</v>
      </c>
      <c r="M224" s="138">
        <f t="shared" si="34"/>
        <v>272371.47505961708</v>
      </c>
      <c r="N224" s="139">
        <f>INDEX('CHIRP Payment Calc'!AM:AM,MATCH(F:F,'CHIRP Payment Calc'!C:C,0))</f>
        <v>0.53</v>
      </c>
      <c r="O224" s="139">
        <f>INDEX('CHIRP Payment Calc'!AL:AL,MATCH(F:F,'CHIRP Payment Calc'!C:C,0))</f>
        <v>0.49</v>
      </c>
      <c r="P224" s="136">
        <f t="shared" si="35"/>
        <v>567947.66311599617</v>
      </c>
      <c r="Q224" s="149">
        <f t="shared" si="41"/>
        <v>19577.775654557943</v>
      </c>
      <c r="R224" s="149">
        <f t="shared" si="42"/>
        <v>15768.6628026815</v>
      </c>
      <c r="S224" s="137">
        <f t="shared" si="43"/>
        <v>35346.438457239441</v>
      </c>
      <c r="T224" s="137">
        <f t="shared" si="36"/>
        <v>303558.14832069702</v>
      </c>
      <c r="U224" s="137">
        <f t="shared" si="37"/>
        <v>157853.28249417746</v>
      </c>
      <c r="V224" s="137">
        <f t="shared" si="38"/>
        <v>36924.906541180259</v>
      </c>
      <c r="W224" s="137">
        <f t="shared" si="39"/>
        <v>104957.76421718083</v>
      </c>
      <c r="X224" s="138">
        <f t="shared" si="40"/>
        <v>603294.10157323559</v>
      </c>
    </row>
    <row r="225" spans="4:24">
      <c r="D225" s="9" t="s">
        <v>310</v>
      </c>
      <c r="E225" s="9" t="s">
        <v>2295</v>
      </c>
      <c r="F225" s="4" t="s">
        <v>1181</v>
      </c>
      <c r="G225" s="9" t="s">
        <v>2350</v>
      </c>
      <c r="H225" s="136">
        <v>1599011.3439607662</v>
      </c>
      <c r="I225" s="137">
        <v>6848291.7717606435</v>
      </c>
      <c r="J225" s="137">
        <v>361447.9992291056</v>
      </c>
      <c r="K225" s="137">
        <v>1801515.7830869823</v>
      </c>
      <c r="L225" s="149">
        <f t="shared" si="33"/>
        <v>1960459.3431898719</v>
      </c>
      <c r="M225" s="138">
        <f t="shared" si="34"/>
        <v>8649807.554847626</v>
      </c>
      <c r="N225" s="139">
        <f>INDEX('CHIRP Payment Calc'!AM:AM,MATCH(F:F,'CHIRP Payment Calc'!C:C,0))</f>
        <v>0.73</v>
      </c>
      <c r="O225" s="139">
        <f>INDEX('CHIRP Payment Calc'!AL:AL,MATCH(F:F,'CHIRP Payment Calc'!C:C,0))</f>
        <v>0.22</v>
      </c>
      <c r="P225" s="136">
        <f t="shared" si="35"/>
        <v>3334092.9825950842</v>
      </c>
      <c r="Q225" s="149">
        <f t="shared" si="41"/>
        <v>163129.32846209581</v>
      </c>
      <c r="R225" s="149">
        <f t="shared" si="42"/>
        <v>42139.819896790417</v>
      </c>
      <c r="S225" s="137">
        <f t="shared" si="43"/>
        <v>205269.14835888625</v>
      </c>
      <c r="T225" s="137">
        <f t="shared" si="36"/>
        <v>1238491.5449245193</v>
      </c>
      <c r="U225" s="137">
        <f t="shared" si="37"/>
        <v>280698.97812473093</v>
      </c>
      <c r="V225" s="137">
        <f t="shared" si="38"/>
        <v>1598540.2544162776</v>
      </c>
      <c r="W225" s="137">
        <f t="shared" si="39"/>
        <v>421631.35348844266</v>
      </c>
      <c r="X225" s="138">
        <f t="shared" si="40"/>
        <v>3539362.1309539704</v>
      </c>
    </row>
    <row r="226" spans="4:24">
      <c r="D226" s="9" t="s">
        <v>310</v>
      </c>
      <c r="E226" s="9" t="s">
        <v>2295</v>
      </c>
      <c r="F226" s="4" t="s">
        <v>50</v>
      </c>
      <c r="G226" s="9" t="s">
        <v>2948</v>
      </c>
      <c r="H226" s="136">
        <v>611027.70286525169</v>
      </c>
      <c r="I226" s="137">
        <v>272923.43967029237</v>
      </c>
      <c r="J226" s="137">
        <v>352653.68247546756</v>
      </c>
      <c r="K226" s="137">
        <v>585672.88809853548</v>
      </c>
      <c r="L226" s="149">
        <f t="shared" si="33"/>
        <v>963681.38534071925</v>
      </c>
      <c r="M226" s="138">
        <f t="shared" si="34"/>
        <v>858596.32776882779</v>
      </c>
      <c r="N226" s="139">
        <f>INDEX('CHIRP Payment Calc'!AM:AM,MATCH(F:F,'CHIRP Payment Calc'!C:C,0))</f>
        <v>0.77</v>
      </c>
      <c r="O226" s="139">
        <f>INDEX('CHIRP Payment Calc'!AL:AL,MATCH(F:F,'CHIRP Payment Calc'!C:C,0))</f>
        <v>0.03</v>
      </c>
      <c r="P226" s="136">
        <f t="shared" si="35"/>
        <v>767792.55654541869</v>
      </c>
      <c r="Q226" s="149">
        <f t="shared" si="41"/>
        <v>29203.230215162101</v>
      </c>
      <c r="R226" s="149">
        <f t="shared" si="42"/>
        <v>18454.054605259538</v>
      </c>
      <c r="S226" s="137">
        <f t="shared" si="43"/>
        <v>47657.284820421643</v>
      </c>
      <c r="T226" s="137">
        <f t="shared" si="36"/>
        <v>499195.04637267254</v>
      </c>
      <c r="U226" s="137">
        <f t="shared" si="37"/>
        <v>288875.88883628725</v>
      </c>
      <c r="V226" s="137">
        <f t="shared" si="38"/>
        <v>8687.218238842197</v>
      </c>
      <c r="W226" s="137">
        <f t="shared" si="39"/>
        <v>18691.687918038366</v>
      </c>
      <c r="X226" s="138">
        <f t="shared" si="40"/>
        <v>815449.84136584029</v>
      </c>
    </row>
    <row r="227" spans="4:24">
      <c r="D227" s="9" t="s">
        <v>310</v>
      </c>
      <c r="E227" s="9" t="s">
        <v>2295</v>
      </c>
      <c r="F227" s="4" t="s">
        <v>857</v>
      </c>
      <c r="G227" s="9" t="s">
        <v>3006</v>
      </c>
      <c r="H227" s="136">
        <v>0</v>
      </c>
      <c r="I227" s="137">
        <v>315998.03096312151</v>
      </c>
      <c r="J227" s="137">
        <v>0</v>
      </c>
      <c r="K227" s="137">
        <v>103036.19411005003</v>
      </c>
      <c r="L227" s="149">
        <f t="shared" si="33"/>
        <v>0</v>
      </c>
      <c r="M227" s="138">
        <f t="shared" si="34"/>
        <v>419034.22507317155</v>
      </c>
      <c r="N227" s="139">
        <f>INDEX('CHIRP Payment Calc'!AM:AM,MATCH(F:F,'CHIRP Payment Calc'!C:C,0))</f>
        <v>0.32</v>
      </c>
      <c r="O227" s="139">
        <f>INDEX('CHIRP Payment Calc'!AL:AL,MATCH(F:F,'CHIRP Payment Calc'!C:C,0))</f>
        <v>0</v>
      </c>
      <c r="P227" s="136">
        <f t="shared" si="35"/>
        <v>0</v>
      </c>
      <c r="Q227" s="149">
        <f t="shared" si="41"/>
        <v>0</v>
      </c>
      <c r="R227" s="149">
        <f t="shared" si="42"/>
        <v>0</v>
      </c>
      <c r="S227" s="137">
        <f t="shared" si="43"/>
        <v>0</v>
      </c>
      <c r="T227" s="137">
        <f t="shared" si="36"/>
        <v>0</v>
      </c>
      <c r="U227" s="137">
        <f t="shared" si="37"/>
        <v>0</v>
      </c>
      <c r="V227" s="137">
        <f t="shared" si="38"/>
        <v>0</v>
      </c>
      <c r="W227" s="137">
        <f t="shared" si="39"/>
        <v>0</v>
      </c>
      <c r="X227" s="138">
        <f t="shared" si="40"/>
        <v>0</v>
      </c>
    </row>
    <row r="228" spans="4:24">
      <c r="D228" s="9" t="s">
        <v>310</v>
      </c>
      <c r="E228" s="9" t="s">
        <v>2295</v>
      </c>
      <c r="F228" s="4" t="s">
        <v>902</v>
      </c>
      <c r="G228" s="9" t="s">
        <v>3007</v>
      </c>
      <c r="H228" s="136">
        <v>418728.01184454194</v>
      </c>
      <c r="I228" s="137">
        <v>0</v>
      </c>
      <c r="J228" s="137">
        <v>78992.068716244641</v>
      </c>
      <c r="K228" s="137">
        <v>21533.781948554002</v>
      </c>
      <c r="L228" s="149">
        <f t="shared" si="33"/>
        <v>497720.08056078659</v>
      </c>
      <c r="M228" s="138">
        <f t="shared" si="34"/>
        <v>21533.781948554002</v>
      </c>
      <c r="N228" s="139">
        <f>INDEX('CHIRP Payment Calc'!AM:AM,MATCH(F:F,'CHIRP Payment Calc'!C:C,0))</f>
        <v>0.62</v>
      </c>
      <c r="O228" s="139">
        <f>INDEX('CHIRP Payment Calc'!AL:AL,MATCH(F:F,'CHIRP Payment Calc'!C:C,0))</f>
        <v>0</v>
      </c>
      <c r="P228" s="136">
        <f t="shared" si="35"/>
        <v>308586.44994768768</v>
      </c>
      <c r="Q228" s="149">
        <f t="shared" si="41"/>
        <v>15838.359280910261</v>
      </c>
      <c r="R228" s="149">
        <f t="shared" si="42"/>
        <v>3126.0691023875543</v>
      </c>
      <c r="S228" s="137">
        <f t="shared" si="43"/>
        <v>18964.428383297814</v>
      </c>
      <c r="T228" s="137">
        <f t="shared" si="36"/>
        <v>275449.72662452626</v>
      </c>
      <c r="U228" s="137">
        <f t="shared" si="37"/>
        <v>52101.151706459234</v>
      </c>
      <c r="V228" s="137">
        <f t="shared" si="38"/>
        <v>0</v>
      </c>
      <c r="W228" s="137">
        <f t="shared" si="39"/>
        <v>0</v>
      </c>
      <c r="X228" s="138">
        <f t="shared" si="40"/>
        <v>327550.87833098549</v>
      </c>
    </row>
    <row r="229" spans="4:24">
      <c r="D229" s="9" t="s">
        <v>310</v>
      </c>
      <c r="E229" s="9" t="s">
        <v>2295</v>
      </c>
      <c r="F229" s="4" t="s">
        <v>921</v>
      </c>
      <c r="G229" s="9" t="s">
        <v>2330</v>
      </c>
      <c r="H229" s="136">
        <v>110670.70126272</v>
      </c>
      <c r="I229" s="137">
        <v>7250.4207189365388</v>
      </c>
      <c r="J229" s="137">
        <v>27057.242555636247</v>
      </c>
      <c r="K229" s="137">
        <v>14680.494298027175</v>
      </c>
      <c r="L229" s="149">
        <f t="shared" si="33"/>
        <v>137727.94381835626</v>
      </c>
      <c r="M229" s="138">
        <f t="shared" si="34"/>
        <v>21930.915016963714</v>
      </c>
      <c r="N229" s="139">
        <f>INDEX('CHIRP Payment Calc'!AM:AM,MATCH(F:F,'CHIRP Payment Calc'!C:C,0))</f>
        <v>0.32</v>
      </c>
      <c r="O229" s="139">
        <f>INDEX('CHIRP Payment Calc'!AL:AL,MATCH(F:F,'CHIRP Payment Calc'!C:C,0))</f>
        <v>0.46</v>
      </c>
      <c r="P229" s="136">
        <f t="shared" si="35"/>
        <v>54161.162929677317</v>
      </c>
      <c r="Q229" s="149">
        <f t="shared" si="41"/>
        <v>2364.0472480105245</v>
      </c>
      <c r="R229" s="149">
        <f t="shared" si="42"/>
        <v>983.70287201464487</v>
      </c>
      <c r="S229" s="137">
        <f t="shared" si="43"/>
        <v>3347.7501200251695</v>
      </c>
      <c r="T229" s="137">
        <f t="shared" si="36"/>
        <v>37575.198306705992</v>
      </c>
      <c r="U229" s="137">
        <f t="shared" si="37"/>
        <v>9210.9761891527651</v>
      </c>
      <c r="V229" s="137">
        <f t="shared" si="38"/>
        <v>3538.6668760857378</v>
      </c>
      <c r="W229" s="137">
        <f t="shared" si="39"/>
        <v>7184.0716777579801</v>
      </c>
      <c r="X229" s="138">
        <f t="shared" si="40"/>
        <v>57508.913049702474</v>
      </c>
    </row>
    <row r="230" spans="4:24">
      <c r="D230" s="9" t="s">
        <v>310</v>
      </c>
      <c r="E230" s="9" t="s">
        <v>2295</v>
      </c>
      <c r="F230" s="4" t="s">
        <v>905</v>
      </c>
      <c r="G230" s="9" t="s">
        <v>2608</v>
      </c>
      <c r="H230" s="136">
        <v>36571.899810774295</v>
      </c>
      <c r="I230" s="137">
        <v>213.93725567420466</v>
      </c>
      <c r="J230" s="137">
        <v>15120.623102525075</v>
      </c>
      <c r="K230" s="137">
        <v>0</v>
      </c>
      <c r="L230" s="149">
        <f t="shared" si="33"/>
        <v>51692.52291329937</v>
      </c>
      <c r="M230" s="138">
        <f t="shared" si="34"/>
        <v>213.93725567420466</v>
      </c>
      <c r="N230" s="139">
        <f>INDEX('CHIRP Payment Calc'!AM:AM,MATCH(F:F,'CHIRP Payment Calc'!C:C,0))</f>
        <v>0.32</v>
      </c>
      <c r="O230" s="139">
        <f>INDEX('CHIRP Payment Calc'!AL:AL,MATCH(F:F,'CHIRP Payment Calc'!C:C,0))</f>
        <v>0</v>
      </c>
      <c r="P230" s="136">
        <f t="shared" si="35"/>
        <v>16541.6073322558</v>
      </c>
      <c r="Q230" s="149">
        <f t="shared" si="41"/>
        <v>713.97661169044773</v>
      </c>
      <c r="R230" s="149">
        <f t="shared" si="42"/>
        <v>308.84676975370371</v>
      </c>
      <c r="S230" s="137">
        <f t="shared" si="43"/>
        <v>1022.8233814441514</v>
      </c>
      <c r="T230" s="137">
        <f t="shared" si="36"/>
        <v>12416.984551138221</v>
      </c>
      <c r="U230" s="137">
        <f t="shared" si="37"/>
        <v>5147.4461625617278</v>
      </c>
      <c r="V230" s="137">
        <f t="shared" si="38"/>
        <v>0</v>
      </c>
      <c r="W230" s="137">
        <f t="shared" si="39"/>
        <v>0</v>
      </c>
      <c r="X230" s="138">
        <f t="shared" si="40"/>
        <v>17564.430713699949</v>
      </c>
    </row>
    <row r="231" spans="4:24">
      <c r="D231" s="9" t="s">
        <v>310</v>
      </c>
      <c r="E231" s="9" t="s">
        <v>2295</v>
      </c>
      <c r="F231" s="4" t="s">
        <v>909</v>
      </c>
      <c r="G231" s="9" t="s">
        <v>2668</v>
      </c>
      <c r="H231" s="136">
        <v>2080432.6789181947</v>
      </c>
      <c r="I231" s="137">
        <v>3420526.6516250111</v>
      </c>
      <c r="J231" s="137">
        <v>555225.54185609228</v>
      </c>
      <c r="K231" s="137">
        <v>1362262.346653291</v>
      </c>
      <c r="L231" s="149">
        <f t="shared" si="33"/>
        <v>2635658.2207742869</v>
      </c>
      <c r="M231" s="138">
        <f t="shared" si="34"/>
        <v>4782788.9982783021</v>
      </c>
      <c r="N231" s="139">
        <f>INDEX('CHIRP Payment Calc'!AM:AM,MATCH(F:F,'CHIRP Payment Calc'!C:C,0))</f>
        <v>0.72</v>
      </c>
      <c r="O231" s="139">
        <f>INDEX('CHIRP Payment Calc'!AL:AL,MATCH(F:F,'CHIRP Payment Calc'!C:C,0))</f>
        <v>0.16</v>
      </c>
      <c r="P231" s="136">
        <f t="shared" si="35"/>
        <v>2662920.1586820148</v>
      </c>
      <c r="Q231" s="149">
        <f t="shared" si="41"/>
        <v>124773.21814553144</v>
      </c>
      <c r="R231" s="149">
        <f t="shared" si="42"/>
        <v>39429.214825590192</v>
      </c>
      <c r="S231" s="137">
        <f t="shared" si="43"/>
        <v>164202.43297112163</v>
      </c>
      <c r="T231" s="137">
        <f t="shared" si="36"/>
        <v>1589296.0517995758</v>
      </c>
      <c r="U231" s="137">
        <f t="shared" si="37"/>
        <v>425279.13844296435</v>
      </c>
      <c r="V231" s="137">
        <f t="shared" si="38"/>
        <v>580672.95942705765</v>
      </c>
      <c r="W231" s="137">
        <f t="shared" si="39"/>
        <v>231874.44198353891</v>
      </c>
      <c r="X231" s="138">
        <f t="shared" si="40"/>
        <v>2827122.5916531365</v>
      </c>
    </row>
    <row r="232" spans="4:24">
      <c r="D232" s="9" t="s">
        <v>310</v>
      </c>
      <c r="E232" s="9" t="s">
        <v>2295</v>
      </c>
      <c r="F232" s="4" t="s">
        <v>193</v>
      </c>
      <c r="G232" s="9" t="s">
        <v>2950</v>
      </c>
      <c r="H232" s="136">
        <v>2512739.1094004922</v>
      </c>
      <c r="I232" s="137">
        <v>4400125.5960095376</v>
      </c>
      <c r="J232" s="137">
        <v>479980.98716692836</v>
      </c>
      <c r="K232" s="137">
        <v>874481.80547997192</v>
      </c>
      <c r="L232" s="149">
        <f t="shared" si="33"/>
        <v>2992720.0965674203</v>
      </c>
      <c r="M232" s="138">
        <f t="shared" si="34"/>
        <v>5274607.4014895093</v>
      </c>
      <c r="N232" s="139">
        <f>INDEX('CHIRP Payment Calc'!AM:AM,MATCH(F:F,'CHIRP Payment Calc'!C:C,0))</f>
        <v>0.38</v>
      </c>
      <c r="O232" s="139">
        <f>INDEX('CHIRP Payment Calc'!AL:AL,MATCH(F:F,'CHIRP Payment Calc'!C:C,0))</f>
        <v>0</v>
      </c>
      <c r="P232" s="136">
        <f t="shared" si="35"/>
        <v>1137233.6366956197</v>
      </c>
      <c r="Q232" s="149">
        <f t="shared" si="41"/>
        <v>58252.890759045891</v>
      </c>
      <c r="R232" s="149">
        <f t="shared" si="42"/>
        <v>11642.092029155285</v>
      </c>
      <c r="S232" s="137">
        <f t="shared" si="43"/>
        <v>69894.982788201174</v>
      </c>
      <c r="T232" s="137">
        <f t="shared" si="36"/>
        <v>1013093.7523312329</v>
      </c>
      <c r="U232" s="137">
        <f t="shared" si="37"/>
        <v>194034.86715258806</v>
      </c>
      <c r="V232" s="137">
        <f t="shared" si="38"/>
        <v>0</v>
      </c>
      <c r="W232" s="137">
        <f t="shared" si="39"/>
        <v>0</v>
      </c>
      <c r="X232" s="138">
        <f t="shared" si="40"/>
        <v>1207128.6194838209</v>
      </c>
    </row>
    <row r="233" spans="4:24">
      <c r="D233" s="9" t="s">
        <v>310</v>
      </c>
      <c r="E233" s="9" t="s">
        <v>2295</v>
      </c>
      <c r="F233" s="4" t="s">
        <v>138</v>
      </c>
      <c r="G233" s="9" t="s">
        <v>2579</v>
      </c>
      <c r="H233" s="136">
        <v>541957.46579978219</v>
      </c>
      <c r="I233" s="137">
        <v>19371.284177273927</v>
      </c>
      <c r="J233" s="137">
        <v>111071.35526458324</v>
      </c>
      <c r="K233" s="137">
        <v>73925.263964679369</v>
      </c>
      <c r="L233" s="149">
        <f t="shared" si="33"/>
        <v>653028.82106436545</v>
      </c>
      <c r="M233" s="138">
        <f t="shared" si="34"/>
        <v>93296.548141953303</v>
      </c>
      <c r="N233" s="139">
        <f>INDEX('CHIRP Payment Calc'!AM:AM,MATCH(F:F,'CHIRP Payment Calc'!C:C,0))</f>
        <v>0.32</v>
      </c>
      <c r="O233" s="139">
        <f>INDEX('CHIRP Payment Calc'!AL:AL,MATCH(F:F,'CHIRP Payment Calc'!C:C,0))</f>
        <v>0.42</v>
      </c>
      <c r="P233" s="136">
        <f t="shared" si="35"/>
        <v>248153.77296021732</v>
      </c>
      <c r="Q233" s="149">
        <f t="shared" si="41"/>
        <v>11076.74682609778</v>
      </c>
      <c r="R233" s="149">
        <f t="shared" si="42"/>
        <v>4250.5177372233184</v>
      </c>
      <c r="S233" s="137">
        <f t="shared" si="43"/>
        <v>15327.2645633211</v>
      </c>
      <c r="T233" s="137">
        <f t="shared" si="36"/>
        <v>184006.77883918333</v>
      </c>
      <c r="U233" s="137">
        <f t="shared" si="37"/>
        <v>37811.525196453869</v>
      </c>
      <c r="V233" s="137">
        <f t="shared" si="38"/>
        <v>8632.2963972997859</v>
      </c>
      <c r="W233" s="137">
        <f t="shared" si="39"/>
        <v>33030.437090601423</v>
      </c>
      <c r="X233" s="138">
        <f t="shared" si="40"/>
        <v>263481.03752353846</v>
      </c>
    </row>
    <row r="234" spans="4:24">
      <c r="D234" s="9" t="s">
        <v>310</v>
      </c>
      <c r="E234" s="9" t="s">
        <v>2295</v>
      </c>
      <c r="F234" s="4" t="s">
        <v>1123</v>
      </c>
      <c r="G234" s="9" t="s">
        <v>2960</v>
      </c>
      <c r="H234" s="136">
        <v>1694522.6518462365</v>
      </c>
      <c r="I234" s="137">
        <v>3222940.8649798152</v>
      </c>
      <c r="J234" s="137">
        <v>419133.20244106755</v>
      </c>
      <c r="K234" s="137">
        <v>1193909.8422676767</v>
      </c>
      <c r="L234" s="149">
        <f t="shared" si="33"/>
        <v>2113655.854287304</v>
      </c>
      <c r="M234" s="138">
        <f t="shared" si="34"/>
        <v>4416850.7072474919</v>
      </c>
      <c r="N234" s="139">
        <f>INDEX('CHIRP Payment Calc'!AM:AM,MATCH(F:F,'CHIRP Payment Calc'!C:C,0))</f>
        <v>0.33</v>
      </c>
      <c r="O234" s="139">
        <f>INDEX('CHIRP Payment Calc'!AL:AL,MATCH(F:F,'CHIRP Payment Calc'!C:C,0))</f>
        <v>0</v>
      </c>
      <c r="P234" s="136">
        <f t="shared" si="35"/>
        <v>697506.43191481032</v>
      </c>
      <c r="Q234" s="149">
        <f t="shared" si="41"/>
        <v>34115.190789158987</v>
      </c>
      <c r="R234" s="149">
        <f t="shared" si="42"/>
        <v>8828.5504343969569</v>
      </c>
      <c r="S234" s="137">
        <f t="shared" si="43"/>
        <v>42943.741223555946</v>
      </c>
      <c r="T234" s="137">
        <f t="shared" si="36"/>
        <v>593307.66589841712</v>
      </c>
      <c r="U234" s="137">
        <f t="shared" si="37"/>
        <v>147142.50723994928</v>
      </c>
      <c r="V234" s="137">
        <f t="shared" si="38"/>
        <v>0</v>
      </c>
      <c r="W234" s="137">
        <f t="shared" si="39"/>
        <v>0</v>
      </c>
      <c r="X234" s="138">
        <f t="shared" si="40"/>
        <v>740450.17313836643</v>
      </c>
    </row>
    <row r="235" spans="4:24">
      <c r="D235" s="9" t="s">
        <v>310</v>
      </c>
      <c r="E235" s="9" t="s">
        <v>2295</v>
      </c>
      <c r="F235" s="4" t="s">
        <v>345</v>
      </c>
      <c r="G235" s="9" t="s">
        <v>2620</v>
      </c>
      <c r="H235" s="136">
        <v>281077.93970482051</v>
      </c>
      <c r="I235" s="137">
        <v>24623.154018087007</v>
      </c>
      <c r="J235" s="137">
        <v>132927.76465414077</v>
      </c>
      <c r="K235" s="137">
        <v>42334.925673644844</v>
      </c>
      <c r="L235" s="149">
        <f t="shared" si="33"/>
        <v>414005.70435896132</v>
      </c>
      <c r="M235" s="138">
        <f t="shared" si="34"/>
        <v>66958.079691731851</v>
      </c>
      <c r="N235" s="139">
        <f>INDEX('CHIRP Payment Calc'!AM:AM,MATCH(F:F,'CHIRP Payment Calc'!C:C,0))</f>
        <v>0.32</v>
      </c>
      <c r="O235" s="139">
        <f>INDEX('CHIRP Payment Calc'!AL:AL,MATCH(F:F,'CHIRP Payment Calc'!C:C,0))</f>
        <v>0</v>
      </c>
      <c r="P235" s="136">
        <f t="shared" si="35"/>
        <v>132481.82539486763</v>
      </c>
      <c r="Q235" s="149">
        <f t="shared" si="41"/>
        <v>5487.3571252718275</v>
      </c>
      <c r="R235" s="149">
        <f t="shared" si="42"/>
        <v>2715.1202993186203</v>
      </c>
      <c r="S235" s="137">
        <f t="shared" si="43"/>
        <v>8202.4774245904482</v>
      </c>
      <c r="T235" s="137">
        <f t="shared" si="36"/>
        <v>95432.297830814379</v>
      </c>
      <c r="U235" s="137">
        <f t="shared" si="37"/>
        <v>45252.004988643668</v>
      </c>
      <c r="V235" s="137">
        <f t="shared" si="38"/>
        <v>0</v>
      </c>
      <c r="W235" s="137">
        <f t="shared" si="39"/>
        <v>0</v>
      </c>
      <c r="X235" s="138">
        <f t="shared" si="40"/>
        <v>140684.30281945804</v>
      </c>
    </row>
    <row r="236" spans="4:24">
      <c r="D236" s="9" t="s">
        <v>310</v>
      </c>
      <c r="E236" s="9" t="s">
        <v>2295</v>
      </c>
      <c r="F236" s="4" t="s">
        <v>289</v>
      </c>
      <c r="G236" s="9" t="s">
        <v>3008</v>
      </c>
      <c r="H236" s="136">
        <v>1090229.6472297406</v>
      </c>
      <c r="I236" s="137">
        <v>418543.93036172329</v>
      </c>
      <c r="J236" s="137">
        <v>281051.33718990581</v>
      </c>
      <c r="K236" s="137">
        <v>73135.283924606832</v>
      </c>
      <c r="L236" s="149">
        <f t="shared" si="33"/>
        <v>1371280.9844196464</v>
      </c>
      <c r="M236" s="138">
        <f t="shared" si="34"/>
        <v>491679.21428633016</v>
      </c>
      <c r="N236" s="139">
        <f>INDEX('CHIRP Payment Calc'!AM:AM,MATCH(F:F,'CHIRP Payment Calc'!C:C,0))</f>
        <v>0.61</v>
      </c>
      <c r="O236" s="139">
        <f>INDEX('CHIRP Payment Calc'!AL:AL,MATCH(F:F,'CHIRP Payment Calc'!C:C,0))</f>
        <v>0</v>
      </c>
      <c r="P236" s="136">
        <f t="shared" si="35"/>
        <v>836481.40049598436</v>
      </c>
      <c r="Q236" s="149">
        <f t="shared" si="41"/>
        <v>40572.73726958425</v>
      </c>
      <c r="R236" s="149">
        <f t="shared" si="42"/>
        <v>10943.062703351652</v>
      </c>
      <c r="S236" s="137">
        <f t="shared" si="43"/>
        <v>51515.7999729359</v>
      </c>
      <c r="T236" s="137">
        <f t="shared" si="36"/>
        <v>705612.82207972603</v>
      </c>
      <c r="U236" s="137">
        <f t="shared" si="37"/>
        <v>182384.3783891942</v>
      </c>
      <c r="V236" s="137">
        <f t="shared" si="38"/>
        <v>0</v>
      </c>
      <c r="W236" s="137">
        <f t="shared" si="39"/>
        <v>0</v>
      </c>
      <c r="X236" s="138">
        <f t="shared" si="40"/>
        <v>887997.20046892017</v>
      </c>
    </row>
    <row r="237" spans="4:24">
      <c r="D237" s="9" t="s">
        <v>310</v>
      </c>
      <c r="E237" s="9" t="s">
        <v>2295</v>
      </c>
      <c r="F237" s="4" t="s">
        <v>153</v>
      </c>
      <c r="G237" s="9" t="s">
        <v>3009</v>
      </c>
      <c r="H237" s="136">
        <v>929121.99300724757</v>
      </c>
      <c r="I237" s="137">
        <v>353272.04156149272</v>
      </c>
      <c r="J237" s="137">
        <v>110027.42639923671</v>
      </c>
      <c r="K237" s="137">
        <v>184469.45861741071</v>
      </c>
      <c r="L237" s="149">
        <f t="shared" si="33"/>
        <v>1039149.4194064842</v>
      </c>
      <c r="M237" s="138">
        <f t="shared" si="34"/>
        <v>537741.50017890346</v>
      </c>
      <c r="N237" s="139">
        <f>INDEX('CHIRP Payment Calc'!AM:AM,MATCH(F:F,'CHIRP Payment Calc'!C:C,0))</f>
        <v>0.44</v>
      </c>
      <c r="O237" s="139">
        <f>INDEX('CHIRP Payment Calc'!AL:AL,MATCH(F:F,'CHIRP Payment Calc'!C:C,0))</f>
        <v>7.0000000000000007E-2</v>
      </c>
      <c r="P237" s="136">
        <f t="shared" si="35"/>
        <v>494867.64955137629</v>
      </c>
      <c r="Q237" s="149">
        <f t="shared" si="41"/>
        <v>26449.555851849735</v>
      </c>
      <c r="R237" s="149">
        <f t="shared" si="42"/>
        <v>3914.3572160989092</v>
      </c>
      <c r="S237" s="137">
        <f t="shared" si="43"/>
        <v>30363.913067948644</v>
      </c>
      <c r="T237" s="137">
        <f t="shared" si="36"/>
        <v>433754.56437473628</v>
      </c>
      <c r="U237" s="137">
        <f t="shared" si="37"/>
        <v>51502.199591132077</v>
      </c>
      <c r="V237" s="137">
        <f t="shared" si="38"/>
        <v>26237.71130960689</v>
      </c>
      <c r="W237" s="137">
        <f t="shared" si="39"/>
        <v>13737.087343849736</v>
      </c>
      <c r="X237" s="138">
        <f t="shared" si="40"/>
        <v>525231.56261932501</v>
      </c>
    </row>
    <row r="238" spans="4:24">
      <c r="D238" s="9" t="s">
        <v>310</v>
      </c>
      <c r="E238" s="9" t="s">
        <v>2964</v>
      </c>
      <c r="F238" s="4" t="s">
        <v>2315</v>
      </c>
      <c r="G238" s="9" t="s">
        <v>2702</v>
      </c>
      <c r="H238" s="136">
        <v>0</v>
      </c>
      <c r="I238" s="137">
        <v>0</v>
      </c>
      <c r="J238" s="137">
        <v>0</v>
      </c>
      <c r="K238" s="137">
        <v>0</v>
      </c>
      <c r="L238" s="149">
        <f t="shared" si="33"/>
        <v>0</v>
      </c>
      <c r="M238" s="138">
        <f t="shared" si="34"/>
        <v>0</v>
      </c>
      <c r="N238" s="139">
        <f>INDEX('CHIRP Payment Calc'!AM:AM,MATCH(F:F,'CHIRP Payment Calc'!C:C,0))</f>
        <v>0</v>
      </c>
      <c r="O238" s="139">
        <f>INDEX('CHIRP Payment Calc'!AL:AL,MATCH(F:F,'CHIRP Payment Calc'!C:C,0))</f>
        <v>0</v>
      </c>
      <c r="P238" s="136">
        <f t="shared" si="35"/>
        <v>0</v>
      </c>
      <c r="Q238" s="149">
        <f t="shared" si="41"/>
        <v>0</v>
      </c>
      <c r="R238" s="149">
        <f t="shared" si="42"/>
        <v>0</v>
      </c>
      <c r="S238" s="137">
        <f t="shared" si="43"/>
        <v>0</v>
      </c>
      <c r="T238" s="137">
        <f t="shared" si="36"/>
        <v>0</v>
      </c>
      <c r="U238" s="137">
        <f t="shared" si="37"/>
        <v>0</v>
      </c>
      <c r="V238" s="137">
        <f t="shared" si="38"/>
        <v>0</v>
      </c>
      <c r="W238" s="137">
        <f t="shared" si="39"/>
        <v>0</v>
      </c>
      <c r="X238" s="138">
        <f t="shared" si="40"/>
        <v>0</v>
      </c>
    </row>
    <row r="239" spans="4:24">
      <c r="D239" s="9" t="s">
        <v>310</v>
      </c>
      <c r="E239" s="9" t="s">
        <v>2963</v>
      </c>
      <c r="F239" s="4" t="s">
        <v>1587</v>
      </c>
      <c r="G239" s="9" t="s">
        <v>2686</v>
      </c>
      <c r="H239" s="136">
        <v>1379387.7382485806</v>
      </c>
      <c r="I239" s="137">
        <v>44891.444735570243</v>
      </c>
      <c r="J239" s="137">
        <v>1713958.1433221111</v>
      </c>
      <c r="K239" s="137">
        <v>586873.98834149633</v>
      </c>
      <c r="L239" s="149">
        <f t="shared" si="33"/>
        <v>3093345.8815706917</v>
      </c>
      <c r="M239" s="138">
        <f t="shared" si="34"/>
        <v>631765.43307706655</v>
      </c>
      <c r="N239" s="139">
        <f>INDEX('CHIRP Payment Calc'!AM:AM,MATCH(F:F,'CHIRP Payment Calc'!C:C,0))</f>
        <v>0.61</v>
      </c>
      <c r="O239" s="139">
        <f>INDEX('CHIRP Payment Calc'!AL:AL,MATCH(F:F,'CHIRP Payment Calc'!C:C,0))</f>
        <v>0.05</v>
      </c>
      <c r="P239" s="136">
        <f t="shared" si="35"/>
        <v>1918529.2594119753</v>
      </c>
      <c r="Q239" s="149">
        <f t="shared" si="41"/>
        <v>51470.650209744017</v>
      </c>
      <c r="R239" s="149">
        <f t="shared" si="42"/>
        <v>68607.968096397628</v>
      </c>
      <c r="S239" s="137">
        <f t="shared" si="43"/>
        <v>120078.61830614164</v>
      </c>
      <c r="T239" s="137">
        <f t="shared" si="36"/>
        <v>892760.23377361719</v>
      </c>
      <c r="U239" s="137">
        <f t="shared" si="37"/>
        <v>1112249.433432434</v>
      </c>
      <c r="V239" s="137">
        <f t="shared" si="38"/>
        <v>2381.5090045395355</v>
      </c>
      <c r="W239" s="137">
        <f t="shared" si="39"/>
        <v>31216.701507526406</v>
      </c>
      <c r="X239" s="138">
        <f t="shared" si="40"/>
        <v>2038607.8777181173</v>
      </c>
    </row>
    <row r="240" spans="4:24">
      <c r="D240" s="9" t="s">
        <v>310</v>
      </c>
      <c r="E240" s="9" t="s">
        <v>2283</v>
      </c>
      <c r="F240" s="4" t="s">
        <v>1617</v>
      </c>
      <c r="G240" s="9" t="s">
        <v>2802</v>
      </c>
      <c r="H240" s="136">
        <v>643459.28428655898</v>
      </c>
      <c r="I240" s="137">
        <v>977477.32812480477</v>
      </c>
      <c r="J240" s="137">
        <v>406340.59523793164</v>
      </c>
      <c r="K240" s="137">
        <v>1682688.0853536045</v>
      </c>
      <c r="L240" s="149">
        <f t="shared" si="33"/>
        <v>1049799.8795244906</v>
      </c>
      <c r="M240" s="138">
        <f t="shared" si="34"/>
        <v>2660165.4134784094</v>
      </c>
      <c r="N240" s="139">
        <f>INDEX('CHIRP Payment Calc'!AM:AM,MATCH(F:F,'CHIRP Payment Calc'!C:C,0))</f>
        <v>1.1600000000000001</v>
      </c>
      <c r="O240" s="139">
        <f>INDEX('CHIRP Payment Calc'!AL:AL,MATCH(F:F,'CHIRP Payment Calc'!C:C,0))</f>
        <v>1.21</v>
      </c>
      <c r="P240" s="136">
        <f t="shared" si="35"/>
        <v>4436568.0105572846</v>
      </c>
      <c r="Q240" s="149">
        <f t="shared" si="41"/>
        <v>117694.13195352444</v>
      </c>
      <c r="R240" s="149">
        <f t="shared" si="42"/>
        <v>160047.29832471465</v>
      </c>
      <c r="S240" s="137">
        <f t="shared" si="43"/>
        <v>277741.43027823907</v>
      </c>
      <c r="T240" s="137">
        <f t="shared" si="36"/>
        <v>791949.88835268805</v>
      </c>
      <c r="U240" s="137">
        <f t="shared" si="37"/>
        <v>501441.58561276679</v>
      </c>
      <c r="V240" s="137">
        <f t="shared" si="38"/>
        <v>1254904.5804042586</v>
      </c>
      <c r="W240" s="137">
        <f t="shared" si="39"/>
        <v>2166013.3864658102</v>
      </c>
      <c r="X240" s="138">
        <f t="shared" si="40"/>
        <v>4714309.4408355234</v>
      </c>
    </row>
    <row r="241" spans="4:24">
      <c r="D241" s="9" t="s">
        <v>310</v>
      </c>
      <c r="E241" s="9" t="s">
        <v>2283</v>
      </c>
      <c r="F241" s="4" t="s">
        <v>537</v>
      </c>
      <c r="G241" s="9" t="s">
        <v>2905</v>
      </c>
      <c r="H241" s="136">
        <v>790517.02313755685</v>
      </c>
      <c r="I241" s="137">
        <v>1273739.7642204212</v>
      </c>
      <c r="J241" s="137">
        <v>356690.57195544738</v>
      </c>
      <c r="K241" s="137">
        <v>849721.69233879715</v>
      </c>
      <c r="L241" s="149">
        <f t="shared" si="33"/>
        <v>1147207.5950930042</v>
      </c>
      <c r="M241" s="138">
        <f t="shared" si="34"/>
        <v>2123461.4565592185</v>
      </c>
      <c r="N241" s="139">
        <f>INDEX('CHIRP Payment Calc'!AM:AM,MATCH(F:F,'CHIRP Payment Calc'!C:C,0))</f>
        <v>1.06</v>
      </c>
      <c r="O241" s="139">
        <f>INDEX('CHIRP Payment Calc'!AL:AL,MATCH(F:F,'CHIRP Payment Calc'!C:C,0))</f>
        <v>1.4100000000000001</v>
      </c>
      <c r="P241" s="136">
        <f t="shared" si="35"/>
        <v>4210120.704547083</v>
      </c>
      <c r="Q241" s="149">
        <f t="shared" si="41"/>
        <v>160690.14742111912</v>
      </c>
      <c r="R241" s="149">
        <f t="shared" si="42"/>
        <v>100608.48462577522</v>
      </c>
      <c r="S241" s="137">
        <f t="shared" si="43"/>
        <v>261298.63204689434</v>
      </c>
      <c r="T241" s="137">
        <f t="shared" si="36"/>
        <v>889069.54326345923</v>
      </c>
      <c r="U241" s="137">
        <f t="shared" si="37"/>
        <v>402225.53858805768</v>
      </c>
      <c r="V241" s="137">
        <f t="shared" si="38"/>
        <v>1905541.7162342644</v>
      </c>
      <c r="W241" s="137">
        <f t="shared" si="39"/>
        <v>1274582.5385081959</v>
      </c>
      <c r="X241" s="138">
        <f t="shared" si="40"/>
        <v>4471419.3365939772</v>
      </c>
    </row>
    <row r="242" spans="4:24">
      <c r="D242" s="9" t="s">
        <v>310</v>
      </c>
      <c r="E242" s="9" t="s">
        <v>2283</v>
      </c>
      <c r="F242" s="4" t="s">
        <v>65</v>
      </c>
      <c r="G242" s="9" t="s">
        <v>3010</v>
      </c>
      <c r="H242" s="136">
        <v>5535702.6252390444</v>
      </c>
      <c r="I242" s="137">
        <v>5139408.5751580866</v>
      </c>
      <c r="J242" s="137">
        <v>2810600.6864052098</v>
      </c>
      <c r="K242" s="137">
        <v>2984625.3953552847</v>
      </c>
      <c r="L242" s="149">
        <f t="shared" si="33"/>
        <v>8346303.3116442543</v>
      </c>
      <c r="M242" s="138">
        <f t="shared" si="34"/>
        <v>8124033.9705133718</v>
      </c>
      <c r="N242" s="139">
        <f>INDEX('CHIRP Payment Calc'!AM:AM,MATCH(F:F,'CHIRP Payment Calc'!C:C,0))</f>
        <v>2.81</v>
      </c>
      <c r="O242" s="139">
        <f>INDEX('CHIRP Payment Calc'!AL:AL,MATCH(F:F,'CHIRP Payment Calc'!C:C,0))</f>
        <v>1.9100000000000001</v>
      </c>
      <c r="P242" s="136">
        <f t="shared" si="35"/>
        <v>38970017.189400896</v>
      </c>
      <c r="Q242" s="149">
        <f t="shared" si="41"/>
        <v>1547869.1760633797</v>
      </c>
      <c r="R242" s="149">
        <f t="shared" si="42"/>
        <v>867984.41067620658</v>
      </c>
      <c r="S242" s="137">
        <f t="shared" si="43"/>
        <v>2415853.5867395862</v>
      </c>
      <c r="T242" s="137">
        <f t="shared" si="36"/>
        <v>16504322.946336037</v>
      </c>
      <c r="U242" s="137">
        <f t="shared" si="37"/>
        <v>8401902.0519134477</v>
      </c>
      <c r="V242" s="137">
        <f t="shared" si="38"/>
        <v>10415140.985201005</v>
      </c>
      <c r="W242" s="137">
        <f t="shared" si="39"/>
        <v>6064504.7926899949</v>
      </c>
      <c r="X242" s="138">
        <f t="shared" si="40"/>
        <v>41385870.776140481</v>
      </c>
    </row>
    <row r="243" spans="4:24">
      <c r="D243" s="9" t="s">
        <v>310</v>
      </c>
      <c r="E243" s="9" t="s">
        <v>2283</v>
      </c>
      <c r="F243" s="4" t="s">
        <v>1501</v>
      </c>
      <c r="G243" s="9" t="s">
        <v>2953</v>
      </c>
      <c r="H243" s="136">
        <v>77655.951386160188</v>
      </c>
      <c r="I243" s="137">
        <v>43358.064811141216</v>
      </c>
      <c r="J243" s="137">
        <v>88098.687357019167</v>
      </c>
      <c r="K243" s="137">
        <v>0</v>
      </c>
      <c r="L243" s="149">
        <f t="shared" si="33"/>
        <v>165754.63874317936</v>
      </c>
      <c r="M243" s="138">
        <f t="shared" si="34"/>
        <v>43358.064811141216</v>
      </c>
      <c r="N243" s="139">
        <f>INDEX('CHIRP Payment Calc'!AM:AM,MATCH(F:F,'CHIRP Payment Calc'!C:C,0))</f>
        <v>1.06</v>
      </c>
      <c r="O243" s="139">
        <f>INDEX('CHIRP Payment Calc'!AL:AL,MATCH(F:F,'CHIRP Payment Calc'!C:C,0))</f>
        <v>0.68</v>
      </c>
      <c r="P243" s="136">
        <f t="shared" si="35"/>
        <v>205183.40113934616</v>
      </c>
      <c r="Q243" s="149">
        <f t="shared" si="41"/>
        <v>6820.6159905592422</v>
      </c>
      <c r="R243" s="149">
        <f t="shared" si="42"/>
        <v>5960.7196977727881</v>
      </c>
      <c r="S243" s="137">
        <f t="shared" si="43"/>
        <v>12781.33568833203</v>
      </c>
      <c r="T243" s="137">
        <f t="shared" si="36"/>
        <v>87337.197314938778</v>
      </c>
      <c r="U243" s="137">
        <f t="shared" si="37"/>
        <v>99345.32829621312</v>
      </c>
      <c r="V243" s="137">
        <f t="shared" si="38"/>
        <v>31282.211216526292</v>
      </c>
      <c r="W243" s="137">
        <f t="shared" si="39"/>
        <v>0</v>
      </c>
      <c r="X243" s="138">
        <f t="shared" si="40"/>
        <v>217964.73682767816</v>
      </c>
    </row>
    <row r="244" spans="4:24">
      <c r="D244" s="9" t="s">
        <v>310</v>
      </c>
      <c r="E244" s="9" t="s">
        <v>2283</v>
      </c>
      <c r="F244" s="4" t="s">
        <v>68</v>
      </c>
      <c r="G244" s="9" t="s">
        <v>3011</v>
      </c>
      <c r="H244" s="136">
        <v>1694101.6051966853</v>
      </c>
      <c r="I244" s="137">
        <v>2549212.4928505821</v>
      </c>
      <c r="J244" s="137">
        <v>838565.08970985573</v>
      </c>
      <c r="K244" s="137">
        <v>916833.21528030327</v>
      </c>
      <c r="L244" s="149">
        <f t="shared" si="33"/>
        <v>2532666.6949065411</v>
      </c>
      <c r="M244" s="138">
        <f t="shared" si="34"/>
        <v>3466045.7081308854</v>
      </c>
      <c r="N244" s="139">
        <f>INDEX('CHIRP Payment Calc'!AM:AM,MATCH(F:F,'CHIRP Payment Calc'!C:C,0))</f>
        <v>2.56</v>
      </c>
      <c r="O244" s="139">
        <f>INDEX('CHIRP Payment Calc'!AL:AL,MATCH(F:F,'CHIRP Payment Calc'!C:C,0))</f>
        <v>2.39</v>
      </c>
      <c r="P244" s="136">
        <f t="shared" si="35"/>
        <v>14767475.981393563</v>
      </c>
      <c r="Q244" s="149">
        <f t="shared" si="41"/>
        <v>636283.58951187623</v>
      </c>
      <c r="R244" s="149">
        <f t="shared" si="42"/>
        <v>276890.93707513757</v>
      </c>
      <c r="S244" s="137">
        <f t="shared" si="43"/>
        <v>913174.52658701385</v>
      </c>
      <c r="T244" s="137">
        <f t="shared" si="36"/>
        <v>4601485.5271124821</v>
      </c>
      <c r="U244" s="137">
        <f t="shared" si="37"/>
        <v>2283751.7336779051</v>
      </c>
      <c r="V244" s="137">
        <f t="shared" si="38"/>
        <v>6464316.0296157999</v>
      </c>
      <c r="W244" s="137">
        <f t="shared" si="39"/>
        <v>2331097.2175743883</v>
      </c>
      <c r="X244" s="138">
        <f t="shared" si="40"/>
        <v>15680650.507980574</v>
      </c>
    </row>
    <row r="245" spans="4:24">
      <c r="D245" s="9" t="s">
        <v>310</v>
      </c>
      <c r="E245" s="9" t="s">
        <v>2283</v>
      </c>
      <c r="F245" s="4" t="s">
        <v>1519</v>
      </c>
      <c r="G245" s="9" t="s">
        <v>2684</v>
      </c>
      <c r="H245" s="136">
        <v>0</v>
      </c>
      <c r="I245" s="137">
        <v>145504.09546872432</v>
      </c>
      <c r="J245" s="137">
        <v>0</v>
      </c>
      <c r="K245" s="137">
        <v>0</v>
      </c>
      <c r="L245" s="149">
        <f t="shared" si="33"/>
        <v>0</v>
      </c>
      <c r="M245" s="138">
        <f t="shared" si="34"/>
        <v>145504.09546872432</v>
      </c>
      <c r="N245" s="139">
        <f>INDEX('CHIRP Payment Calc'!AM:AM,MATCH(F:F,'CHIRP Payment Calc'!C:C,0))</f>
        <v>1.06</v>
      </c>
      <c r="O245" s="139">
        <f>INDEX('CHIRP Payment Calc'!AL:AL,MATCH(F:F,'CHIRP Payment Calc'!C:C,0))</f>
        <v>0.68</v>
      </c>
      <c r="P245" s="136">
        <f t="shared" si="35"/>
        <v>98942.784918732548</v>
      </c>
      <c r="Q245" s="149">
        <f t="shared" si="41"/>
        <v>6036.2972231587501</v>
      </c>
      <c r="R245" s="149">
        <f t="shared" si="42"/>
        <v>0</v>
      </c>
      <c r="S245" s="137">
        <f t="shared" si="43"/>
        <v>6036.2972231587501</v>
      </c>
      <c r="T245" s="137">
        <f t="shared" si="36"/>
        <v>0</v>
      </c>
      <c r="U245" s="137">
        <f t="shared" si="37"/>
        <v>0</v>
      </c>
      <c r="V245" s="137">
        <f t="shared" si="38"/>
        <v>104979.0821418913</v>
      </c>
      <c r="W245" s="137">
        <f t="shared" si="39"/>
        <v>0</v>
      </c>
      <c r="X245" s="138">
        <f t="shared" si="40"/>
        <v>104979.0821418913</v>
      </c>
    </row>
    <row r="246" spans="4:24">
      <c r="D246" s="9" t="s">
        <v>310</v>
      </c>
      <c r="E246" s="9" t="s">
        <v>2283</v>
      </c>
      <c r="F246" s="4" t="s">
        <v>460</v>
      </c>
      <c r="G246" s="9" t="s">
        <v>2954</v>
      </c>
      <c r="H246" s="136">
        <v>2075330.1458072304</v>
      </c>
      <c r="I246" s="137">
        <v>3621921.1936844597</v>
      </c>
      <c r="J246" s="137">
        <v>2056994.6042709656</v>
      </c>
      <c r="K246" s="137">
        <v>7734441.8151812553</v>
      </c>
      <c r="L246" s="149">
        <f t="shared" si="33"/>
        <v>4132324.7500781957</v>
      </c>
      <c r="M246" s="138">
        <f t="shared" si="34"/>
        <v>11356363.008865714</v>
      </c>
      <c r="N246" s="139">
        <f>INDEX('CHIRP Payment Calc'!AM:AM,MATCH(F:F,'CHIRP Payment Calc'!C:C,0))</f>
        <v>1.57</v>
      </c>
      <c r="O246" s="139">
        <f>INDEX('CHIRP Payment Calc'!AL:AL,MATCH(F:F,'CHIRP Payment Calc'!C:C,0))</f>
        <v>1.77</v>
      </c>
      <c r="P246" s="136">
        <f t="shared" si="35"/>
        <v>26588512.383315083</v>
      </c>
      <c r="Q246" s="149">
        <f t="shared" si="41"/>
        <v>589890.14153844421</v>
      </c>
      <c r="R246" s="149">
        <f t="shared" si="42"/>
        <v>1079964.4813772067</v>
      </c>
      <c r="S246" s="137">
        <f t="shared" si="43"/>
        <v>1669854.622915651</v>
      </c>
      <c r="T246" s="137">
        <f t="shared" si="36"/>
        <v>3457048.624845997</v>
      </c>
      <c r="U246" s="137">
        <f t="shared" si="37"/>
        <v>3435618.6475589536</v>
      </c>
      <c r="V246" s="137">
        <f t="shared" si="38"/>
        <v>6801910.3584312936</v>
      </c>
      <c r="W246" s="137">
        <f t="shared" si="39"/>
        <v>14563789.375394491</v>
      </c>
      <c r="X246" s="138">
        <f t="shared" si="40"/>
        <v>28258367.006230734</v>
      </c>
    </row>
    <row r="247" spans="4:24">
      <c r="D247" s="9" t="s">
        <v>310</v>
      </c>
      <c r="E247" s="9" t="s">
        <v>2283</v>
      </c>
      <c r="F247" s="4" t="s">
        <v>17</v>
      </c>
      <c r="G247" s="9" t="s">
        <v>2947</v>
      </c>
      <c r="H247" s="136">
        <v>2133421.3862366979</v>
      </c>
      <c r="I247" s="137">
        <v>3030543.9439474032</v>
      </c>
      <c r="J247" s="137">
        <v>1177462.5061833686</v>
      </c>
      <c r="K247" s="137">
        <v>1448325.9470977988</v>
      </c>
      <c r="L247" s="149">
        <f t="shared" si="33"/>
        <v>3310883.8924200665</v>
      </c>
      <c r="M247" s="138">
        <f t="shared" si="34"/>
        <v>4478869.8910452016</v>
      </c>
      <c r="N247" s="139">
        <f>INDEX('CHIRP Payment Calc'!AM:AM,MATCH(F:F,'CHIRP Payment Calc'!C:C,0))</f>
        <v>1.4300000000000002</v>
      </c>
      <c r="O247" s="139">
        <f>INDEX('CHIRP Payment Calc'!AL:AL,MATCH(F:F,'CHIRP Payment Calc'!C:C,0))</f>
        <v>0.8600000000000001</v>
      </c>
      <c r="P247" s="136">
        <f t="shared" si="35"/>
        <v>8586392.0724595692</v>
      </c>
      <c r="Q247" s="149">
        <f t="shared" si="41"/>
        <v>345125.69921645802</v>
      </c>
      <c r="R247" s="149">
        <f t="shared" si="42"/>
        <v>186978.61904338244</v>
      </c>
      <c r="S247" s="137">
        <f t="shared" si="43"/>
        <v>532104.31825984048</v>
      </c>
      <c r="T247" s="137">
        <f t="shared" si="36"/>
        <v>3236915.2067039558</v>
      </c>
      <c r="U247" s="137">
        <f t="shared" si="37"/>
        <v>1791246.1530236355</v>
      </c>
      <c r="V247" s="137">
        <f t="shared" si="38"/>
        <v>2765270.8666257476</v>
      </c>
      <c r="W247" s="137">
        <f t="shared" si="39"/>
        <v>1325064.1643660716</v>
      </c>
      <c r="X247" s="138">
        <f t="shared" si="40"/>
        <v>9118496.39071941</v>
      </c>
    </row>
    <row r="248" spans="4:24">
      <c r="D248" s="9" t="s">
        <v>310</v>
      </c>
      <c r="E248" s="9" t="s">
        <v>2283</v>
      </c>
      <c r="F248" s="4" t="s">
        <v>1382</v>
      </c>
      <c r="G248" s="9" t="s">
        <v>3012</v>
      </c>
      <c r="H248" s="136">
        <v>42672.829408843965</v>
      </c>
      <c r="I248" s="137">
        <v>0</v>
      </c>
      <c r="J248" s="137">
        <v>54497.187688274062</v>
      </c>
      <c r="K248" s="137">
        <v>1780.8800841138291</v>
      </c>
      <c r="L248" s="149">
        <f t="shared" si="33"/>
        <v>97170.01709711802</v>
      </c>
      <c r="M248" s="138">
        <f t="shared" si="34"/>
        <v>1780.8800841138291</v>
      </c>
      <c r="N248" s="139">
        <f>INDEX('CHIRP Payment Calc'!AM:AM,MATCH(F:F,'CHIRP Payment Calc'!C:C,0))</f>
        <v>1.06</v>
      </c>
      <c r="O248" s="139">
        <f>INDEX('CHIRP Payment Calc'!AL:AL,MATCH(F:F,'CHIRP Payment Calc'!C:C,0))</f>
        <v>4.1399999999999997</v>
      </c>
      <c r="P248" s="136">
        <f t="shared" si="35"/>
        <v>110373.06167117636</v>
      </c>
      <c r="Q248" s="149">
        <f t="shared" si="41"/>
        <v>2759.5850954578668</v>
      </c>
      <c r="R248" s="149">
        <f t="shared" si="42"/>
        <v>4157.8635636894742</v>
      </c>
      <c r="S248" s="137">
        <f t="shared" si="43"/>
        <v>6917.4486591473415</v>
      </c>
      <c r="T248" s="137">
        <f t="shared" si="36"/>
        <v>47992.784268832467</v>
      </c>
      <c r="U248" s="137">
        <f t="shared" si="37"/>
        <v>61454.2754782665</v>
      </c>
      <c r="V248" s="137">
        <f t="shared" si="38"/>
        <v>0</v>
      </c>
      <c r="W248" s="137">
        <f t="shared" si="39"/>
        <v>7843.4505832247369</v>
      </c>
      <c r="X248" s="138">
        <f t="shared" si="40"/>
        <v>117290.51033032371</v>
      </c>
    </row>
    <row r="249" spans="4:24">
      <c r="D249" s="9" t="s">
        <v>310</v>
      </c>
      <c r="E249" s="9" t="s">
        <v>2283</v>
      </c>
      <c r="F249" s="4" t="s">
        <v>808</v>
      </c>
      <c r="G249" s="9" t="s">
        <v>2457</v>
      </c>
      <c r="H249" s="136">
        <v>1712545.0731250453</v>
      </c>
      <c r="I249" s="137">
        <v>6145993.4275263017</v>
      </c>
      <c r="J249" s="137">
        <v>789402.47373931226</v>
      </c>
      <c r="K249" s="137">
        <v>2038119.0310481584</v>
      </c>
      <c r="L249" s="149">
        <f t="shared" si="33"/>
        <v>2501947.5468643578</v>
      </c>
      <c r="M249" s="138">
        <f t="shared" si="34"/>
        <v>8184112.4585744599</v>
      </c>
      <c r="N249" s="139">
        <f>INDEX('CHIRP Payment Calc'!AM:AM,MATCH(F:F,'CHIRP Payment Calc'!C:C,0))</f>
        <v>1.49</v>
      </c>
      <c r="O249" s="139">
        <f>INDEX('CHIRP Payment Calc'!AL:AL,MATCH(F:F,'CHIRP Payment Calc'!C:C,0))</f>
        <v>1.29</v>
      </c>
      <c r="P249" s="136">
        <f t="shared" si="35"/>
        <v>14285406.916388948</v>
      </c>
      <c r="Q249" s="149">
        <f t="shared" si="41"/>
        <v>639364.83992228308</v>
      </c>
      <c r="R249" s="149">
        <f t="shared" si="42"/>
        <v>242896.80229300214</v>
      </c>
      <c r="S249" s="137">
        <f t="shared" si="43"/>
        <v>882261.64221528522</v>
      </c>
      <c r="T249" s="137">
        <f t="shared" si="36"/>
        <v>2707365.6858952967</v>
      </c>
      <c r="U249" s="137">
        <f t="shared" si="37"/>
        <v>1251286.8998633781</v>
      </c>
      <c r="V249" s="137">
        <f t="shared" si="38"/>
        <v>8412022.8344922327</v>
      </c>
      <c r="W249" s="137">
        <f t="shared" si="39"/>
        <v>2796993.138353324</v>
      </c>
      <c r="X249" s="138">
        <f t="shared" si="40"/>
        <v>15167668.558604231</v>
      </c>
    </row>
    <row r="250" spans="4:24">
      <c r="D250" s="9" t="s">
        <v>310</v>
      </c>
      <c r="E250" s="9" t="s">
        <v>2283</v>
      </c>
      <c r="F250" s="4" t="s">
        <v>1460</v>
      </c>
      <c r="G250" s="9" t="s">
        <v>2678</v>
      </c>
      <c r="H250" s="136">
        <v>62.896945517894196</v>
      </c>
      <c r="I250" s="137">
        <v>10650.829449691264</v>
      </c>
      <c r="J250" s="137">
        <v>0</v>
      </c>
      <c r="K250" s="137">
        <v>2438.3305485994047</v>
      </c>
      <c r="L250" s="149">
        <f t="shared" si="33"/>
        <v>62.896945517894196</v>
      </c>
      <c r="M250" s="138">
        <f t="shared" si="34"/>
        <v>13089.159998290668</v>
      </c>
      <c r="N250" s="139">
        <f>INDEX('CHIRP Payment Calc'!AM:AM,MATCH(F:F,'CHIRP Payment Calc'!C:C,0))</f>
        <v>1.06</v>
      </c>
      <c r="O250" s="139">
        <f>INDEX('CHIRP Payment Calc'!AL:AL,MATCH(F:F,'CHIRP Payment Calc'!C:C,0))</f>
        <v>2.5300000000000002</v>
      </c>
      <c r="P250" s="136">
        <f t="shared" si="35"/>
        <v>33182.245557924361</v>
      </c>
      <c r="Q250" s="149">
        <f t="shared" si="41"/>
        <v>1648.0243851704536</v>
      </c>
      <c r="R250" s="149">
        <f t="shared" si="42"/>
        <v>393.76444391211669</v>
      </c>
      <c r="S250" s="137">
        <f t="shared" si="43"/>
        <v>2041.7888290825704</v>
      </c>
      <c r="T250" s="137">
        <f t="shared" si="36"/>
        <v>70.738209282724512</v>
      </c>
      <c r="U250" s="137">
        <f t="shared" si="37"/>
        <v>0</v>
      </c>
      <c r="V250" s="137">
        <f t="shared" si="38"/>
        <v>28590.555445855596</v>
      </c>
      <c r="W250" s="137">
        <f t="shared" si="39"/>
        <v>6562.740731868611</v>
      </c>
      <c r="X250" s="138">
        <f t="shared" si="40"/>
        <v>35224.034387006934</v>
      </c>
    </row>
    <row r="251" spans="4:24">
      <c r="D251" s="9" t="s">
        <v>310</v>
      </c>
      <c r="E251" s="9" t="s">
        <v>2283</v>
      </c>
      <c r="F251" s="4" t="s">
        <v>899</v>
      </c>
      <c r="G251" s="9" t="s">
        <v>3013</v>
      </c>
      <c r="H251" s="136">
        <v>5072839.4473711811</v>
      </c>
      <c r="I251" s="137">
        <v>11259480.267465724</v>
      </c>
      <c r="J251" s="137">
        <v>1416864.8774574234</v>
      </c>
      <c r="K251" s="137">
        <v>3431364.75288377</v>
      </c>
      <c r="L251" s="149">
        <f t="shared" si="33"/>
        <v>6489704.3248286042</v>
      </c>
      <c r="M251" s="138">
        <f t="shared" si="34"/>
        <v>14690845.020349493</v>
      </c>
      <c r="N251" s="139">
        <f>INDEX('CHIRP Payment Calc'!AM:AM,MATCH(F:F,'CHIRP Payment Calc'!C:C,0))</f>
        <v>1.42</v>
      </c>
      <c r="O251" s="139">
        <f>INDEX('CHIRP Payment Calc'!AL:AL,MATCH(F:F,'CHIRP Payment Calc'!C:C,0))</f>
        <v>1.32</v>
      </c>
      <c r="P251" s="136">
        <f t="shared" si="35"/>
        <v>28607295.568117946</v>
      </c>
      <c r="Q251" s="149">
        <f t="shared" si="41"/>
        <v>1346198.2951496078</v>
      </c>
      <c r="R251" s="149">
        <f t="shared" si="42"/>
        <v>417532.95317847567</v>
      </c>
      <c r="S251" s="137">
        <f t="shared" si="43"/>
        <v>1763731.2483280834</v>
      </c>
      <c r="T251" s="137">
        <f t="shared" si="36"/>
        <v>7642898.6899385434</v>
      </c>
      <c r="U251" s="137">
        <f t="shared" si="37"/>
        <v>2140370.3467973843</v>
      </c>
      <c r="V251" s="137">
        <f t="shared" si="38"/>
        <v>15769245.573532898</v>
      </c>
      <c r="W251" s="137">
        <f t="shared" si="39"/>
        <v>4818512.2061772095</v>
      </c>
      <c r="X251" s="138">
        <f t="shared" si="40"/>
        <v>30371026.816446032</v>
      </c>
    </row>
    <row r="252" spans="4:24">
      <c r="D252" s="9" t="s">
        <v>310</v>
      </c>
      <c r="E252" s="9" t="s">
        <v>2283</v>
      </c>
      <c r="F252" s="4" t="s">
        <v>1590</v>
      </c>
      <c r="G252" s="9" t="s">
        <v>2577</v>
      </c>
      <c r="H252" s="136">
        <v>3205606.0817104317</v>
      </c>
      <c r="I252" s="137">
        <v>3814449.9220680925</v>
      </c>
      <c r="J252" s="137">
        <v>1206046.5755735347</v>
      </c>
      <c r="K252" s="137">
        <v>4076512.7783119529</v>
      </c>
      <c r="L252" s="149">
        <f t="shared" si="33"/>
        <v>4411652.6572839664</v>
      </c>
      <c r="M252" s="138">
        <f t="shared" si="34"/>
        <v>7890962.7003800459</v>
      </c>
      <c r="N252" s="139">
        <f>INDEX('CHIRP Payment Calc'!AM:AM,MATCH(F:F,'CHIRP Payment Calc'!C:C,0))</f>
        <v>1.06</v>
      </c>
      <c r="O252" s="139">
        <f>INDEX('CHIRP Payment Calc'!AL:AL,MATCH(F:F,'CHIRP Payment Calc'!C:C,0))</f>
        <v>1.59</v>
      </c>
      <c r="P252" s="136">
        <f t="shared" si="35"/>
        <v>17222982.510325279</v>
      </c>
      <c r="Q252" s="149">
        <f t="shared" si="41"/>
        <v>577313.28891811799</v>
      </c>
      <c r="R252" s="149">
        <f t="shared" si="42"/>
        <v>495323.27793344384</v>
      </c>
      <c r="S252" s="137">
        <f t="shared" si="43"/>
        <v>1072636.5668515619</v>
      </c>
      <c r="T252" s="137">
        <f t="shared" si="36"/>
        <v>3605243.9751862683</v>
      </c>
      <c r="U252" s="137">
        <f t="shared" si="37"/>
        <v>1360009.9681999437</v>
      </c>
      <c r="V252" s="137">
        <f t="shared" si="38"/>
        <v>6434987.1364331748</v>
      </c>
      <c r="W252" s="137">
        <f t="shared" si="39"/>
        <v>6895377.9973574532</v>
      </c>
      <c r="X252" s="138">
        <f t="shared" si="40"/>
        <v>18295619.077176839</v>
      </c>
    </row>
    <row r="253" spans="4:24">
      <c r="D253" s="9" t="s">
        <v>227</v>
      </c>
      <c r="E253" s="9" t="s">
        <v>2544</v>
      </c>
      <c r="F253" s="4" t="s">
        <v>1216</v>
      </c>
      <c r="G253" s="9" t="s">
        <v>2824</v>
      </c>
      <c r="H253" s="136">
        <v>0</v>
      </c>
      <c r="I253" s="137">
        <v>1133699.3908463321</v>
      </c>
      <c r="J253" s="137">
        <v>0</v>
      </c>
      <c r="K253" s="137">
        <v>0</v>
      </c>
      <c r="L253" s="149">
        <f t="shared" si="33"/>
        <v>0</v>
      </c>
      <c r="M253" s="138">
        <f t="shared" si="34"/>
        <v>1133699.3908463321</v>
      </c>
      <c r="N253" s="139">
        <f>INDEX('CHIRP Payment Calc'!AM:AM,MATCH(F:F,'CHIRP Payment Calc'!C:C,0))</f>
        <v>0</v>
      </c>
      <c r="O253" s="139">
        <f>INDEX('CHIRP Payment Calc'!AL:AL,MATCH(F:F,'CHIRP Payment Calc'!C:C,0))</f>
        <v>0.17</v>
      </c>
      <c r="P253" s="136">
        <f t="shared" si="35"/>
        <v>192728.89644387647</v>
      </c>
      <c r="Q253" s="149">
        <f t="shared" si="41"/>
        <v>11757.996334772304</v>
      </c>
      <c r="R253" s="149">
        <f t="shared" si="42"/>
        <v>0</v>
      </c>
      <c r="S253" s="137">
        <f t="shared" si="43"/>
        <v>11757.996334772304</v>
      </c>
      <c r="T253" s="137">
        <f t="shared" si="36"/>
        <v>0</v>
      </c>
      <c r="U253" s="137">
        <f t="shared" si="37"/>
        <v>0</v>
      </c>
      <c r="V253" s="137">
        <f t="shared" si="38"/>
        <v>204486.89277864876</v>
      </c>
      <c r="W253" s="137">
        <f t="shared" si="39"/>
        <v>0</v>
      </c>
      <c r="X253" s="138">
        <f t="shared" si="40"/>
        <v>204486.89277864876</v>
      </c>
    </row>
    <row r="254" spans="4:24">
      <c r="D254" s="9" t="s">
        <v>227</v>
      </c>
      <c r="E254" s="9" t="s">
        <v>2544</v>
      </c>
      <c r="F254" s="4" t="s">
        <v>1298</v>
      </c>
      <c r="G254" s="9" t="s">
        <v>2600</v>
      </c>
      <c r="H254" s="136">
        <v>0</v>
      </c>
      <c r="I254" s="137">
        <v>1091290.9409020082</v>
      </c>
      <c r="J254" s="137">
        <v>0</v>
      </c>
      <c r="K254" s="137">
        <v>0</v>
      </c>
      <c r="L254" s="149">
        <f t="shared" si="33"/>
        <v>0</v>
      </c>
      <c r="M254" s="138">
        <f t="shared" si="34"/>
        <v>1091290.9409020082</v>
      </c>
      <c r="N254" s="139">
        <f>INDEX('CHIRP Payment Calc'!AM:AM,MATCH(F:F,'CHIRP Payment Calc'!C:C,0))</f>
        <v>0</v>
      </c>
      <c r="O254" s="139">
        <f>INDEX('CHIRP Payment Calc'!AL:AL,MATCH(F:F,'CHIRP Payment Calc'!C:C,0))</f>
        <v>0.17</v>
      </c>
      <c r="P254" s="136">
        <f t="shared" si="35"/>
        <v>185519.4599533414</v>
      </c>
      <c r="Q254" s="149">
        <f t="shared" si="41"/>
        <v>11318.163339328523</v>
      </c>
      <c r="R254" s="149">
        <f t="shared" si="42"/>
        <v>0</v>
      </c>
      <c r="S254" s="137">
        <f t="shared" si="43"/>
        <v>11318.163339328523</v>
      </c>
      <c r="T254" s="137">
        <f t="shared" si="36"/>
        <v>0</v>
      </c>
      <c r="U254" s="137">
        <f t="shared" si="37"/>
        <v>0</v>
      </c>
      <c r="V254" s="137">
        <f t="shared" si="38"/>
        <v>196837.62329266994</v>
      </c>
      <c r="W254" s="137">
        <f t="shared" si="39"/>
        <v>0</v>
      </c>
      <c r="X254" s="138">
        <f t="shared" si="40"/>
        <v>196837.62329266994</v>
      </c>
    </row>
    <row r="255" spans="4:24">
      <c r="D255" s="9" t="s">
        <v>227</v>
      </c>
      <c r="E255" s="9" t="s">
        <v>2544</v>
      </c>
      <c r="F255" s="4" t="s">
        <v>1301</v>
      </c>
      <c r="G255" s="9" t="s">
        <v>2840</v>
      </c>
      <c r="H255" s="136">
        <v>0</v>
      </c>
      <c r="I255" s="137">
        <v>1792397.0147086103</v>
      </c>
      <c r="J255" s="137">
        <v>0</v>
      </c>
      <c r="K255" s="137">
        <v>0</v>
      </c>
      <c r="L255" s="149">
        <f t="shared" si="33"/>
        <v>0</v>
      </c>
      <c r="M255" s="138">
        <f t="shared" si="34"/>
        <v>1792397.0147086103</v>
      </c>
      <c r="N255" s="139">
        <f>INDEX('CHIRP Payment Calc'!AM:AM,MATCH(F:F,'CHIRP Payment Calc'!C:C,0))</f>
        <v>0</v>
      </c>
      <c r="O255" s="139">
        <f>INDEX('CHIRP Payment Calc'!AL:AL,MATCH(F:F,'CHIRP Payment Calc'!C:C,0))</f>
        <v>0.17</v>
      </c>
      <c r="P255" s="136">
        <f t="shared" si="35"/>
        <v>304707.49250046379</v>
      </c>
      <c r="Q255" s="149">
        <f t="shared" si="41"/>
        <v>18589.581770585322</v>
      </c>
      <c r="R255" s="149">
        <f t="shared" si="42"/>
        <v>0</v>
      </c>
      <c r="S255" s="137">
        <f t="shared" si="43"/>
        <v>18589.581770585322</v>
      </c>
      <c r="T255" s="137">
        <f t="shared" si="36"/>
        <v>0</v>
      </c>
      <c r="U255" s="137">
        <f t="shared" si="37"/>
        <v>0</v>
      </c>
      <c r="V255" s="137">
        <f t="shared" si="38"/>
        <v>323297.07427104906</v>
      </c>
      <c r="W255" s="137">
        <f t="shared" si="39"/>
        <v>0</v>
      </c>
      <c r="X255" s="138">
        <f t="shared" si="40"/>
        <v>323297.07427104906</v>
      </c>
    </row>
    <row r="256" spans="4:24">
      <c r="D256" s="9" t="s">
        <v>227</v>
      </c>
      <c r="E256" s="9" t="s">
        <v>2544</v>
      </c>
      <c r="F256" s="4" t="s">
        <v>1283</v>
      </c>
      <c r="G256" s="9" t="s">
        <v>2823</v>
      </c>
      <c r="H256" s="136">
        <v>0</v>
      </c>
      <c r="I256" s="137">
        <v>1397451.834518523</v>
      </c>
      <c r="J256" s="137">
        <v>0</v>
      </c>
      <c r="K256" s="137">
        <v>0</v>
      </c>
      <c r="L256" s="149">
        <f t="shared" si="33"/>
        <v>0</v>
      </c>
      <c r="M256" s="138">
        <f t="shared" si="34"/>
        <v>1397451.834518523</v>
      </c>
      <c r="N256" s="139">
        <f>INDEX('CHIRP Payment Calc'!AM:AM,MATCH(F:F,'CHIRP Payment Calc'!C:C,0))</f>
        <v>0</v>
      </c>
      <c r="O256" s="139">
        <f>INDEX('CHIRP Payment Calc'!AL:AL,MATCH(F:F,'CHIRP Payment Calc'!C:C,0))</f>
        <v>0.17</v>
      </c>
      <c r="P256" s="136">
        <f t="shared" si="35"/>
        <v>237566.81186814891</v>
      </c>
      <c r="Q256" s="149">
        <f t="shared" si="41"/>
        <v>14493.465976040916</v>
      </c>
      <c r="R256" s="149">
        <f t="shared" si="42"/>
        <v>0</v>
      </c>
      <c r="S256" s="137">
        <f t="shared" si="43"/>
        <v>14493.465976040916</v>
      </c>
      <c r="T256" s="137">
        <f t="shared" si="36"/>
        <v>0</v>
      </c>
      <c r="U256" s="137">
        <f t="shared" si="37"/>
        <v>0</v>
      </c>
      <c r="V256" s="137">
        <f t="shared" si="38"/>
        <v>252060.27784418984</v>
      </c>
      <c r="W256" s="137">
        <f t="shared" si="39"/>
        <v>0</v>
      </c>
      <c r="X256" s="138">
        <f t="shared" si="40"/>
        <v>252060.27784418984</v>
      </c>
    </row>
    <row r="257" spans="4:24">
      <c r="D257" s="9" t="s">
        <v>227</v>
      </c>
      <c r="E257" s="9" t="s">
        <v>2295</v>
      </c>
      <c r="F257" s="4" t="s">
        <v>826</v>
      </c>
      <c r="G257" s="9" t="s">
        <v>2705</v>
      </c>
      <c r="H257" s="136">
        <v>125438.17056400015</v>
      </c>
      <c r="I257" s="137">
        <v>129.25389181704111</v>
      </c>
      <c r="J257" s="137">
        <v>19542.685892605896</v>
      </c>
      <c r="K257" s="137">
        <v>11347.158495209444</v>
      </c>
      <c r="L257" s="149">
        <f t="shared" si="33"/>
        <v>144980.85645660604</v>
      </c>
      <c r="M257" s="138">
        <f t="shared" si="34"/>
        <v>11476.412387026485</v>
      </c>
      <c r="N257" s="139">
        <f>INDEX('CHIRP Payment Calc'!AM:AM,MATCH(F:F,'CHIRP Payment Calc'!C:C,0))</f>
        <v>0.18</v>
      </c>
      <c r="O257" s="139">
        <f>INDEX('CHIRP Payment Calc'!AL:AL,MATCH(F:F,'CHIRP Payment Calc'!C:C,0))</f>
        <v>0</v>
      </c>
      <c r="P257" s="136">
        <f t="shared" si="35"/>
        <v>26096.554162189084</v>
      </c>
      <c r="Q257" s="149">
        <f t="shared" si="41"/>
        <v>1377.4907855038743</v>
      </c>
      <c r="R257" s="149">
        <f t="shared" si="42"/>
        <v>224.53298685121669</v>
      </c>
      <c r="S257" s="137">
        <f t="shared" si="43"/>
        <v>1602.0237723550911</v>
      </c>
      <c r="T257" s="137">
        <f t="shared" si="36"/>
        <v>23956.3614870239</v>
      </c>
      <c r="U257" s="137">
        <f t="shared" si="37"/>
        <v>3742.2164475202781</v>
      </c>
      <c r="V257" s="137">
        <f t="shared" si="38"/>
        <v>0</v>
      </c>
      <c r="W257" s="137">
        <f t="shared" si="39"/>
        <v>0</v>
      </c>
      <c r="X257" s="138">
        <f t="shared" si="40"/>
        <v>27698.577934544177</v>
      </c>
    </row>
    <row r="258" spans="4:24">
      <c r="D258" s="9" t="s">
        <v>227</v>
      </c>
      <c r="E258" s="9" t="s">
        <v>2295</v>
      </c>
      <c r="F258" s="4" t="s">
        <v>549</v>
      </c>
      <c r="G258" s="9" t="s">
        <v>2858</v>
      </c>
      <c r="H258" s="136">
        <v>283945.98443987058</v>
      </c>
      <c r="I258" s="137">
        <v>0</v>
      </c>
      <c r="J258" s="137">
        <v>31468.523270784721</v>
      </c>
      <c r="K258" s="137">
        <v>17637.289770654068</v>
      </c>
      <c r="L258" s="149">
        <f t="shared" si="33"/>
        <v>315414.50771065528</v>
      </c>
      <c r="M258" s="138">
        <f t="shared" si="34"/>
        <v>17637.289770654068</v>
      </c>
      <c r="N258" s="139">
        <f>INDEX('CHIRP Payment Calc'!AM:AM,MATCH(F:F,'CHIRP Payment Calc'!C:C,0))</f>
        <v>0.18</v>
      </c>
      <c r="O258" s="139">
        <f>INDEX('CHIRP Payment Calc'!AL:AL,MATCH(F:F,'CHIRP Payment Calc'!C:C,0))</f>
        <v>0</v>
      </c>
      <c r="P258" s="136">
        <f t="shared" si="35"/>
        <v>56774.611387917947</v>
      </c>
      <c r="Q258" s="149">
        <f t="shared" si="41"/>
        <v>3118.1336222309396</v>
      </c>
      <c r="R258" s="149">
        <f t="shared" si="42"/>
        <v>361.55324608986706</v>
      </c>
      <c r="S258" s="137">
        <f t="shared" si="43"/>
        <v>3479.6868683208068</v>
      </c>
      <c r="T258" s="137">
        <f t="shared" si="36"/>
        <v>54228.41082140764</v>
      </c>
      <c r="U258" s="137">
        <f t="shared" si="37"/>
        <v>6025.8874348311174</v>
      </c>
      <c r="V258" s="137">
        <f t="shared" si="38"/>
        <v>0</v>
      </c>
      <c r="W258" s="137">
        <f t="shared" si="39"/>
        <v>0</v>
      </c>
      <c r="X258" s="138">
        <f t="shared" si="40"/>
        <v>60254.298256238755</v>
      </c>
    </row>
    <row r="259" spans="4:24">
      <c r="D259" s="9" t="s">
        <v>227</v>
      </c>
      <c r="E259" s="9" t="s">
        <v>2295</v>
      </c>
      <c r="F259" s="4" t="s">
        <v>1070</v>
      </c>
      <c r="G259" s="9" t="s">
        <v>2942</v>
      </c>
      <c r="H259" s="136">
        <v>106566.12939295835</v>
      </c>
      <c r="I259" s="137">
        <v>26448.625740177831</v>
      </c>
      <c r="J259" s="137">
        <v>14889.56735740146</v>
      </c>
      <c r="K259" s="137">
        <v>35757.875173568784</v>
      </c>
      <c r="L259" s="149">
        <f t="shared" si="33"/>
        <v>121455.69675035981</v>
      </c>
      <c r="M259" s="138">
        <f t="shared" si="34"/>
        <v>62206.500913746611</v>
      </c>
      <c r="N259" s="139">
        <f>INDEX('CHIRP Payment Calc'!AM:AM,MATCH(F:F,'CHIRP Payment Calc'!C:C,0))</f>
        <v>0.18</v>
      </c>
      <c r="O259" s="139">
        <f>INDEX('CHIRP Payment Calc'!AL:AL,MATCH(F:F,'CHIRP Payment Calc'!C:C,0))</f>
        <v>0</v>
      </c>
      <c r="P259" s="136">
        <f t="shared" si="35"/>
        <v>21862.025415064767</v>
      </c>
      <c r="Q259" s="149">
        <f t="shared" si="41"/>
        <v>1170.2487418749272</v>
      </c>
      <c r="R259" s="149">
        <f t="shared" si="42"/>
        <v>171.0716249573785</v>
      </c>
      <c r="S259" s="137">
        <f t="shared" si="43"/>
        <v>1341.3203668323058</v>
      </c>
      <c r="T259" s="137">
        <f t="shared" si="36"/>
        <v>20352.152032607428</v>
      </c>
      <c r="U259" s="137">
        <f t="shared" si="37"/>
        <v>2851.1937492896413</v>
      </c>
      <c r="V259" s="137">
        <f t="shared" si="38"/>
        <v>0</v>
      </c>
      <c r="W259" s="137">
        <f t="shared" si="39"/>
        <v>0</v>
      </c>
      <c r="X259" s="138">
        <f t="shared" si="40"/>
        <v>23203.345781897071</v>
      </c>
    </row>
    <row r="260" spans="4:24">
      <c r="D260" s="9" t="s">
        <v>227</v>
      </c>
      <c r="E260" s="9" t="s">
        <v>2295</v>
      </c>
      <c r="F260" s="4" t="s">
        <v>717</v>
      </c>
      <c r="G260" s="9" t="s">
        <v>2961</v>
      </c>
      <c r="H260" s="136">
        <v>65436.418835336874</v>
      </c>
      <c r="I260" s="137">
        <v>17247.927216077984</v>
      </c>
      <c r="J260" s="137">
        <v>14138.034657503204</v>
      </c>
      <c r="K260" s="137">
        <v>235.97086239545459</v>
      </c>
      <c r="L260" s="149">
        <f t="shared" si="33"/>
        <v>79574.453492840083</v>
      </c>
      <c r="M260" s="138">
        <f t="shared" si="34"/>
        <v>17483.898078473438</v>
      </c>
      <c r="N260" s="139">
        <f>INDEX('CHIRP Payment Calc'!AM:AM,MATCH(F:F,'CHIRP Payment Calc'!C:C,0))</f>
        <v>0.18</v>
      </c>
      <c r="O260" s="139">
        <f>INDEX('CHIRP Payment Calc'!AL:AL,MATCH(F:F,'CHIRP Payment Calc'!C:C,0))</f>
        <v>0</v>
      </c>
      <c r="P260" s="136">
        <f t="shared" si="35"/>
        <v>14323.401628711214</v>
      </c>
      <c r="Q260" s="149">
        <f t="shared" si="41"/>
        <v>718.58560736948186</v>
      </c>
      <c r="R260" s="149">
        <f t="shared" si="42"/>
        <v>162.43699393727087</v>
      </c>
      <c r="S260" s="137">
        <f t="shared" si="43"/>
        <v>881.02260130675268</v>
      </c>
      <c r="T260" s="137">
        <f t="shared" si="36"/>
        <v>12497.140997730119</v>
      </c>
      <c r="U260" s="137">
        <f t="shared" si="37"/>
        <v>2707.2832322878476</v>
      </c>
      <c r="V260" s="137">
        <f t="shared" si="38"/>
        <v>0</v>
      </c>
      <c r="W260" s="137">
        <f t="shared" si="39"/>
        <v>0</v>
      </c>
      <c r="X260" s="138">
        <f t="shared" si="40"/>
        <v>15204.424230017967</v>
      </c>
    </row>
    <row r="261" spans="4:24">
      <c r="D261" s="9" t="s">
        <v>227</v>
      </c>
      <c r="E261" s="9" t="s">
        <v>2295</v>
      </c>
      <c r="F261" s="4" t="s">
        <v>1156</v>
      </c>
      <c r="G261" s="9" t="s">
        <v>2939</v>
      </c>
      <c r="H261" s="136">
        <v>2602343.6872796444</v>
      </c>
      <c r="I261" s="137">
        <v>3003377.0198243898</v>
      </c>
      <c r="J261" s="137">
        <v>383974.1786799088</v>
      </c>
      <c r="K261" s="137">
        <v>334068.58441120695</v>
      </c>
      <c r="L261" s="149">
        <f t="shared" ref="L261:L323" si="44">H261+J261</f>
        <v>2986317.865959553</v>
      </c>
      <c r="M261" s="138">
        <f t="shared" ref="M261:M323" si="45">I261+K261</f>
        <v>3337445.604235597</v>
      </c>
      <c r="N261" s="139">
        <f>INDEX('CHIRP Payment Calc'!AM:AM,MATCH(F:F,'CHIRP Payment Calc'!C:C,0))</f>
        <v>0.59</v>
      </c>
      <c r="O261" s="139">
        <f>INDEX('CHIRP Payment Calc'!AL:AL,MATCH(F:F,'CHIRP Payment Calc'!C:C,0))</f>
        <v>0</v>
      </c>
      <c r="P261" s="136">
        <f t="shared" ref="P261:P323" si="46">(L261*N261)+(M261*O261)</f>
        <v>1761927.5409161362</v>
      </c>
      <c r="Q261" s="149">
        <f t="shared" si="41"/>
        <v>93670.567205264655</v>
      </c>
      <c r="R261" s="149">
        <f t="shared" si="42"/>
        <v>14460.304175817844</v>
      </c>
      <c r="S261" s="137">
        <f t="shared" si="43"/>
        <v>108130.8713810825</v>
      </c>
      <c r="T261" s="137">
        <f t="shared" ref="T261:T323" si="47">H261/(1-$B$10)*N261</f>
        <v>1629053.3427002549</v>
      </c>
      <c r="U261" s="137">
        <f t="shared" ref="U261:U323" si="48">J261/(1-$B$11)*N261</f>
        <v>241005.06959696405</v>
      </c>
      <c r="V261" s="137">
        <f t="shared" ref="V261:V323" si="49">I261/(1-$B$10)*O261</f>
        <v>0</v>
      </c>
      <c r="W261" s="137">
        <f t="shared" ref="W261:W323" si="50">K261/(1-$B$11)*O261</f>
        <v>0</v>
      </c>
      <c r="X261" s="138">
        <f t="shared" ref="X261:X323" si="51">SUM(T261:W261)</f>
        <v>1870058.412297219</v>
      </c>
    </row>
    <row r="262" spans="4:24">
      <c r="D262" s="9" t="s">
        <v>227</v>
      </c>
      <c r="E262" s="9" t="s">
        <v>2295</v>
      </c>
      <c r="F262" s="4" t="s">
        <v>107</v>
      </c>
      <c r="G262" s="9" t="s">
        <v>2606</v>
      </c>
      <c r="H262" s="136">
        <v>795379.68037513015</v>
      </c>
      <c r="I262" s="137">
        <v>176878.80987191311</v>
      </c>
      <c r="J262" s="137">
        <v>125854.16437638328</v>
      </c>
      <c r="K262" s="137">
        <v>64909.111026335071</v>
      </c>
      <c r="L262" s="149">
        <f t="shared" si="44"/>
        <v>921233.84475151345</v>
      </c>
      <c r="M262" s="138">
        <f t="shared" si="45"/>
        <v>241787.92089824818</v>
      </c>
      <c r="N262" s="139">
        <f>INDEX('CHIRP Payment Calc'!AM:AM,MATCH(F:F,'CHIRP Payment Calc'!C:C,0))</f>
        <v>0.18</v>
      </c>
      <c r="O262" s="139">
        <f>INDEX('CHIRP Payment Calc'!AL:AL,MATCH(F:F,'CHIRP Payment Calc'!C:C,0))</f>
        <v>0</v>
      </c>
      <c r="P262" s="136">
        <f t="shared" si="46"/>
        <v>165822.09205527243</v>
      </c>
      <c r="Q262" s="149">
        <f t="shared" ref="Q262:Q325" si="52">(T262+V262)*$B$10</f>
        <v>8734.4081611486454</v>
      </c>
      <c r="R262" s="149">
        <f t="shared" ref="R262:R325" si="53">(U262+W262)*$B$11</f>
        <v>1445.9840162392973</v>
      </c>
      <c r="S262" s="137">
        <f t="shared" ref="S262:S325" si="54">(T262+V262)*$B$10+(U262+W262)*$B$11</f>
        <v>10180.392177387943</v>
      </c>
      <c r="T262" s="137">
        <f t="shared" si="47"/>
        <v>151902.75062867207</v>
      </c>
      <c r="U262" s="137">
        <f t="shared" si="48"/>
        <v>24099.733603988287</v>
      </c>
      <c r="V262" s="137">
        <f t="shared" si="49"/>
        <v>0</v>
      </c>
      <c r="W262" s="137">
        <f t="shared" si="50"/>
        <v>0</v>
      </c>
      <c r="X262" s="138">
        <f t="shared" si="51"/>
        <v>176002.48423266035</v>
      </c>
    </row>
    <row r="263" spans="4:24">
      <c r="D263" s="9" t="s">
        <v>227</v>
      </c>
      <c r="E263" s="9" t="s">
        <v>2295</v>
      </c>
      <c r="F263" s="4" t="s">
        <v>730</v>
      </c>
      <c r="G263" s="9" t="s">
        <v>2334</v>
      </c>
      <c r="H263" s="136">
        <v>168456.43211227641</v>
      </c>
      <c r="I263" s="137">
        <v>69261.503527469176</v>
      </c>
      <c r="J263" s="137">
        <v>96844.932211675448</v>
      </c>
      <c r="K263" s="137">
        <v>364.41693780587138</v>
      </c>
      <c r="L263" s="149">
        <f t="shared" si="44"/>
        <v>265301.36432395189</v>
      </c>
      <c r="M263" s="138">
        <f t="shared" si="45"/>
        <v>69625.920465275049</v>
      </c>
      <c r="N263" s="139">
        <f>INDEX('CHIRP Payment Calc'!AM:AM,MATCH(F:F,'CHIRP Payment Calc'!C:C,0))</f>
        <v>0.18</v>
      </c>
      <c r="O263" s="139">
        <f>INDEX('CHIRP Payment Calc'!AL:AL,MATCH(F:F,'CHIRP Payment Calc'!C:C,0))</f>
        <v>0</v>
      </c>
      <c r="P263" s="136">
        <f t="shared" si="46"/>
        <v>47754.24557831134</v>
      </c>
      <c r="Q263" s="149">
        <f t="shared" si="52"/>
        <v>1849.8929149730088</v>
      </c>
      <c r="R263" s="149">
        <f t="shared" si="53"/>
        <v>1112.6864551979734</v>
      </c>
      <c r="S263" s="137">
        <f t="shared" si="54"/>
        <v>2962.5793701709822</v>
      </c>
      <c r="T263" s="137">
        <f t="shared" si="47"/>
        <v>32172.050695182759</v>
      </c>
      <c r="U263" s="137">
        <f t="shared" si="48"/>
        <v>18544.774253299554</v>
      </c>
      <c r="V263" s="137">
        <f t="shared" si="49"/>
        <v>0</v>
      </c>
      <c r="W263" s="137">
        <f t="shared" si="50"/>
        <v>0</v>
      </c>
      <c r="X263" s="138">
        <f t="shared" si="51"/>
        <v>50716.824948482317</v>
      </c>
    </row>
    <row r="264" spans="4:24">
      <c r="D264" s="9" t="s">
        <v>227</v>
      </c>
      <c r="E264" s="9" t="s">
        <v>2295</v>
      </c>
      <c r="F264" s="4" t="s">
        <v>348</v>
      </c>
      <c r="G264" s="9" t="s">
        <v>2615</v>
      </c>
      <c r="H264" s="136">
        <v>132507.85501022873</v>
      </c>
      <c r="I264" s="137">
        <v>30718.249511650582</v>
      </c>
      <c r="J264" s="137">
        <v>25702.86264718758</v>
      </c>
      <c r="K264" s="137">
        <v>11520.454416246315</v>
      </c>
      <c r="L264" s="149">
        <f t="shared" si="44"/>
        <v>158210.7176574163</v>
      </c>
      <c r="M264" s="138">
        <f t="shared" si="45"/>
        <v>42238.703927896895</v>
      </c>
      <c r="N264" s="139">
        <f>INDEX('CHIRP Payment Calc'!AM:AM,MATCH(F:F,'CHIRP Payment Calc'!C:C,0))</f>
        <v>0.27</v>
      </c>
      <c r="O264" s="139">
        <f>INDEX('CHIRP Payment Calc'!AL:AL,MATCH(F:F,'CHIRP Payment Calc'!C:C,0))</f>
        <v>0</v>
      </c>
      <c r="P264" s="136">
        <f t="shared" si="46"/>
        <v>42716.893767502406</v>
      </c>
      <c r="Q264" s="149">
        <f t="shared" si="52"/>
        <v>2182.6890705928927</v>
      </c>
      <c r="R264" s="149">
        <f t="shared" si="53"/>
        <v>442.96422860046687</v>
      </c>
      <c r="S264" s="137">
        <f t="shared" si="54"/>
        <v>2625.6532991933595</v>
      </c>
      <c r="T264" s="137">
        <f t="shared" si="47"/>
        <v>37959.809923354653</v>
      </c>
      <c r="U264" s="137">
        <f t="shared" si="48"/>
        <v>7382.7371433411136</v>
      </c>
      <c r="V264" s="137">
        <f t="shared" si="49"/>
        <v>0</v>
      </c>
      <c r="W264" s="137">
        <f t="shared" si="50"/>
        <v>0</v>
      </c>
      <c r="X264" s="138">
        <f t="shared" si="51"/>
        <v>45342.54706669577</v>
      </c>
    </row>
    <row r="265" spans="4:24">
      <c r="D265" s="9" t="s">
        <v>227</v>
      </c>
      <c r="E265" s="9" t="s">
        <v>2295</v>
      </c>
      <c r="F265" s="4" t="s">
        <v>498</v>
      </c>
      <c r="G265" s="9" t="s">
        <v>2906</v>
      </c>
      <c r="H265" s="136">
        <v>924905.71399909747</v>
      </c>
      <c r="I265" s="137">
        <v>1477525.8519694374</v>
      </c>
      <c r="J265" s="137">
        <v>103464.08601701402</v>
      </c>
      <c r="K265" s="137">
        <v>77680.019348185364</v>
      </c>
      <c r="L265" s="149">
        <f t="shared" si="44"/>
        <v>1028369.8000161115</v>
      </c>
      <c r="M265" s="138">
        <f t="shared" si="45"/>
        <v>1555205.8713176227</v>
      </c>
      <c r="N265" s="139">
        <f>INDEX('CHIRP Payment Calc'!AM:AM,MATCH(F:F,'CHIRP Payment Calc'!C:C,0))</f>
        <v>0.18</v>
      </c>
      <c r="O265" s="139">
        <f>INDEX('CHIRP Payment Calc'!AL:AL,MATCH(F:F,'CHIRP Payment Calc'!C:C,0))</f>
        <v>0</v>
      </c>
      <c r="P265" s="136">
        <f t="shared" si="46"/>
        <v>185106.56400290006</v>
      </c>
      <c r="Q265" s="149">
        <f t="shared" si="52"/>
        <v>10156.789538345527</v>
      </c>
      <c r="R265" s="149">
        <f t="shared" si="53"/>
        <v>1188.7363074295229</v>
      </c>
      <c r="S265" s="137">
        <f t="shared" si="54"/>
        <v>11345.52584577505</v>
      </c>
      <c r="T265" s="137">
        <f t="shared" si="47"/>
        <v>176639.81805818307</v>
      </c>
      <c r="U265" s="137">
        <f t="shared" si="48"/>
        <v>19812.271790492046</v>
      </c>
      <c r="V265" s="137">
        <f t="shared" si="49"/>
        <v>0</v>
      </c>
      <c r="W265" s="137">
        <f t="shared" si="50"/>
        <v>0</v>
      </c>
      <c r="X265" s="138">
        <f t="shared" si="51"/>
        <v>196452.08984867512</v>
      </c>
    </row>
    <row r="266" spans="4:24">
      <c r="D266" s="9" t="s">
        <v>227</v>
      </c>
      <c r="E266" s="9" t="s">
        <v>2295</v>
      </c>
      <c r="F266" s="4" t="s">
        <v>2558</v>
      </c>
      <c r="G266" s="9" t="s">
        <v>2962</v>
      </c>
      <c r="H266" s="136">
        <v>598375.37095343776</v>
      </c>
      <c r="I266" s="137">
        <v>1022875.0496981719</v>
      </c>
      <c r="J266" s="137">
        <v>0</v>
      </c>
      <c r="K266" s="137">
        <v>0</v>
      </c>
      <c r="L266" s="149">
        <f t="shared" si="44"/>
        <v>598375.37095343776</v>
      </c>
      <c r="M266" s="138">
        <f t="shared" si="45"/>
        <v>1022875.0496981719</v>
      </c>
      <c r="N266" s="139">
        <f>INDEX('CHIRP Payment Calc'!AM:AM,MATCH(F:F,'CHIRP Payment Calc'!C:C,0))</f>
        <v>4.5</v>
      </c>
      <c r="O266" s="139">
        <f>INDEX('CHIRP Payment Calc'!AL:AL,MATCH(F:F,'CHIRP Payment Calc'!C:C,0))</f>
        <v>0</v>
      </c>
      <c r="P266" s="136">
        <f t="shared" si="46"/>
        <v>2692689.16929047</v>
      </c>
      <c r="Q266" s="149">
        <f t="shared" si="52"/>
        <v>164275.46656148756</v>
      </c>
      <c r="R266" s="149">
        <f t="shared" si="53"/>
        <v>0</v>
      </c>
      <c r="S266" s="137">
        <f t="shared" si="54"/>
        <v>164275.46656148756</v>
      </c>
      <c r="T266" s="137">
        <f t="shared" si="47"/>
        <v>2856964.6358519574</v>
      </c>
      <c r="U266" s="137">
        <f t="shared" si="48"/>
        <v>0</v>
      </c>
      <c r="V266" s="137">
        <f t="shared" si="49"/>
        <v>0</v>
      </c>
      <c r="W266" s="137">
        <f t="shared" si="50"/>
        <v>0</v>
      </c>
      <c r="X266" s="138">
        <f t="shared" si="51"/>
        <v>2856964.6358519574</v>
      </c>
    </row>
    <row r="267" spans="4:24">
      <c r="D267" s="9" t="s">
        <v>227</v>
      </c>
      <c r="E267" s="9" t="s">
        <v>2295</v>
      </c>
      <c r="F267" s="4" t="s">
        <v>742</v>
      </c>
      <c r="G267" s="9" t="s">
        <v>2700</v>
      </c>
      <c r="H267" s="136">
        <v>9900.0879836913518</v>
      </c>
      <c r="I267" s="137">
        <v>177138.04221227817</v>
      </c>
      <c r="J267" s="137">
        <v>887.85253762896696</v>
      </c>
      <c r="K267" s="137">
        <v>52588.470283081529</v>
      </c>
      <c r="L267" s="149">
        <f t="shared" si="44"/>
        <v>10787.940521320319</v>
      </c>
      <c r="M267" s="138">
        <f t="shared" si="45"/>
        <v>229726.5124953597</v>
      </c>
      <c r="N267" s="139">
        <f>INDEX('CHIRP Payment Calc'!AM:AM,MATCH(F:F,'CHIRP Payment Calc'!C:C,0))</f>
        <v>0.22</v>
      </c>
      <c r="O267" s="139">
        <f>INDEX('CHIRP Payment Calc'!AL:AL,MATCH(F:F,'CHIRP Payment Calc'!C:C,0))</f>
        <v>0</v>
      </c>
      <c r="P267" s="136">
        <f t="shared" si="46"/>
        <v>2373.3469146904704</v>
      </c>
      <c r="Q267" s="149">
        <f t="shared" si="52"/>
        <v>132.87651246015449</v>
      </c>
      <c r="R267" s="149">
        <f t="shared" si="53"/>
        <v>12.467716485853581</v>
      </c>
      <c r="S267" s="137">
        <f t="shared" si="54"/>
        <v>145.34422894600806</v>
      </c>
      <c r="T267" s="137">
        <f t="shared" si="47"/>
        <v>2310.8958688722519</v>
      </c>
      <c r="U267" s="137">
        <f t="shared" si="48"/>
        <v>207.79527476422632</v>
      </c>
      <c r="V267" s="137">
        <f t="shared" si="49"/>
        <v>0</v>
      </c>
      <c r="W267" s="137">
        <f t="shared" si="50"/>
        <v>0</v>
      </c>
      <c r="X267" s="138">
        <f t="shared" si="51"/>
        <v>2518.691143636478</v>
      </c>
    </row>
    <row r="268" spans="4:24">
      <c r="D268" s="9" t="s">
        <v>227</v>
      </c>
      <c r="E268" s="9" t="s">
        <v>2295</v>
      </c>
      <c r="F268" s="4" t="s">
        <v>893</v>
      </c>
      <c r="G268" s="9" t="s">
        <v>2471</v>
      </c>
      <c r="H268" s="136">
        <v>48073.870707316441</v>
      </c>
      <c r="I268" s="137">
        <v>309607.94307025342</v>
      </c>
      <c r="J268" s="137">
        <v>34235.592497241887</v>
      </c>
      <c r="K268" s="137">
        <v>85243.238553015995</v>
      </c>
      <c r="L268" s="149">
        <f t="shared" si="44"/>
        <v>82309.463204558328</v>
      </c>
      <c r="M268" s="138">
        <f t="shared" si="45"/>
        <v>394851.1816232694</v>
      </c>
      <c r="N268" s="139">
        <f>INDEX('CHIRP Payment Calc'!AM:AM,MATCH(F:F,'CHIRP Payment Calc'!C:C,0))</f>
        <v>0.31</v>
      </c>
      <c r="O268" s="139">
        <f>INDEX('CHIRP Payment Calc'!AL:AL,MATCH(F:F,'CHIRP Payment Calc'!C:C,0))</f>
        <v>0</v>
      </c>
      <c r="P268" s="136">
        <f t="shared" si="46"/>
        <v>25515.933593413083</v>
      </c>
      <c r="Q268" s="149">
        <f t="shared" si="52"/>
        <v>909.19548579089189</v>
      </c>
      <c r="R268" s="149">
        <f t="shared" si="53"/>
        <v>677.42768132840331</v>
      </c>
      <c r="S268" s="137">
        <f t="shared" si="54"/>
        <v>1586.6231671192952</v>
      </c>
      <c r="T268" s="137">
        <f t="shared" si="47"/>
        <v>15812.095405058988</v>
      </c>
      <c r="U268" s="137">
        <f t="shared" si="48"/>
        <v>11290.461355473388</v>
      </c>
      <c r="V268" s="137">
        <f t="shared" si="49"/>
        <v>0</v>
      </c>
      <c r="W268" s="137">
        <f t="shared" si="50"/>
        <v>0</v>
      </c>
      <c r="X268" s="138">
        <f t="shared" si="51"/>
        <v>27102.556760532374</v>
      </c>
    </row>
    <row r="269" spans="4:24">
      <c r="D269" s="9" t="s">
        <v>227</v>
      </c>
      <c r="E269" s="9" t="s">
        <v>2295</v>
      </c>
      <c r="F269" s="4" t="s">
        <v>513</v>
      </c>
      <c r="G269" s="9" t="s">
        <v>2698</v>
      </c>
      <c r="H269" s="136">
        <v>231543.6530877754</v>
      </c>
      <c r="I269" s="137">
        <v>281514.14700825099</v>
      </c>
      <c r="J269" s="137">
        <v>37464.507007544686</v>
      </c>
      <c r="K269" s="137">
        <v>60197.354606989371</v>
      </c>
      <c r="L269" s="149">
        <f t="shared" si="44"/>
        <v>269008.16009532008</v>
      </c>
      <c r="M269" s="138">
        <f t="shared" si="45"/>
        <v>341711.50161524036</v>
      </c>
      <c r="N269" s="139">
        <f>INDEX('CHIRP Payment Calc'!AM:AM,MATCH(F:F,'CHIRP Payment Calc'!C:C,0))</f>
        <v>0.21</v>
      </c>
      <c r="O269" s="139">
        <f>INDEX('CHIRP Payment Calc'!AL:AL,MATCH(F:F,'CHIRP Payment Calc'!C:C,0))</f>
        <v>0</v>
      </c>
      <c r="P269" s="136">
        <f t="shared" si="46"/>
        <v>56491.713620017217</v>
      </c>
      <c r="Q269" s="149">
        <f t="shared" si="52"/>
        <v>2966.4611257664592</v>
      </c>
      <c r="R269" s="149">
        <f t="shared" si="53"/>
        <v>502.1838173351735</v>
      </c>
      <c r="S269" s="137">
        <f t="shared" si="54"/>
        <v>3468.6449431016326</v>
      </c>
      <c r="T269" s="137">
        <f t="shared" si="47"/>
        <v>51590.628274199291</v>
      </c>
      <c r="U269" s="137">
        <f t="shared" si="48"/>
        <v>8369.730288919558</v>
      </c>
      <c r="V269" s="137">
        <f t="shared" si="49"/>
        <v>0</v>
      </c>
      <c r="W269" s="137">
        <f t="shared" si="50"/>
        <v>0</v>
      </c>
      <c r="X269" s="138">
        <f t="shared" si="51"/>
        <v>59960.358563118847</v>
      </c>
    </row>
    <row r="270" spans="4:24">
      <c r="D270" s="9" t="s">
        <v>227</v>
      </c>
      <c r="E270" s="9" t="s">
        <v>2295</v>
      </c>
      <c r="F270" s="4" t="s">
        <v>927</v>
      </c>
      <c r="G270" s="9" t="s">
        <v>2876</v>
      </c>
      <c r="H270" s="136">
        <v>61714.630681191171</v>
      </c>
      <c r="I270" s="137">
        <v>428.23677296618632</v>
      </c>
      <c r="J270" s="137">
        <v>7505.5168906488625</v>
      </c>
      <c r="K270" s="137">
        <v>7867.1492677714223</v>
      </c>
      <c r="L270" s="149">
        <f t="shared" si="44"/>
        <v>69220.147571840032</v>
      </c>
      <c r="M270" s="138">
        <f t="shared" si="45"/>
        <v>8295.3860407376087</v>
      </c>
      <c r="N270" s="139">
        <f>INDEX('CHIRP Payment Calc'!AM:AM,MATCH(F:F,'CHIRP Payment Calc'!C:C,0))</f>
        <v>0.18</v>
      </c>
      <c r="O270" s="139">
        <f>INDEX('CHIRP Payment Calc'!AL:AL,MATCH(F:F,'CHIRP Payment Calc'!C:C,0))</f>
        <v>0</v>
      </c>
      <c r="P270" s="136">
        <f t="shared" si="46"/>
        <v>12459.626562931206</v>
      </c>
      <c r="Q270" s="149">
        <f t="shared" si="52"/>
        <v>677.71504249371742</v>
      </c>
      <c r="R270" s="149">
        <f t="shared" si="53"/>
        <v>86.233598318093314</v>
      </c>
      <c r="S270" s="137">
        <f t="shared" si="54"/>
        <v>763.94864081181072</v>
      </c>
      <c r="T270" s="137">
        <f t="shared" si="47"/>
        <v>11786.348565108128</v>
      </c>
      <c r="U270" s="137">
        <f t="shared" si="48"/>
        <v>1437.2266386348886</v>
      </c>
      <c r="V270" s="137">
        <f t="shared" si="49"/>
        <v>0</v>
      </c>
      <c r="W270" s="137">
        <f t="shared" si="50"/>
        <v>0</v>
      </c>
      <c r="X270" s="138">
        <f t="shared" si="51"/>
        <v>13223.575203743017</v>
      </c>
    </row>
    <row r="271" spans="4:24">
      <c r="D271" s="9" t="s">
        <v>227</v>
      </c>
      <c r="E271" s="9" t="s">
        <v>2295</v>
      </c>
      <c r="F271" s="4" t="s">
        <v>501</v>
      </c>
      <c r="G271" s="9" t="s">
        <v>2704</v>
      </c>
      <c r="H271" s="136">
        <v>152592.92472045519</v>
      </c>
      <c r="I271" s="137">
        <v>3899.7915635412169</v>
      </c>
      <c r="J271" s="137">
        <v>39885.217307046805</v>
      </c>
      <c r="K271" s="137">
        <v>34303.164917452297</v>
      </c>
      <c r="L271" s="149">
        <f t="shared" si="44"/>
        <v>192478.14202750201</v>
      </c>
      <c r="M271" s="138">
        <f t="shared" si="45"/>
        <v>38202.956480993511</v>
      </c>
      <c r="N271" s="139">
        <f>INDEX('CHIRP Payment Calc'!AM:AM,MATCH(F:F,'CHIRP Payment Calc'!C:C,0))</f>
        <v>0.18</v>
      </c>
      <c r="O271" s="139">
        <f>INDEX('CHIRP Payment Calc'!AL:AL,MATCH(F:F,'CHIRP Payment Calc'!C:C,0))</f>
        <v>0</v>
      </c>
      <c r="P271" s="136">
        <f t="shared" si="46"/>
        <v>34646.065564950361</v>
      </c>
      <c r="Q271" s="149">
        <f t="shared" si="52"/>
        <v>1675.6888815455823</v>
      </c>
      <c r="R271" s="149">
        <f t="shared" si="53"/>
        <v>458.25568820862293</v>
      </c>
      <c r="S271" s="137">
        <f t="shared" si="54"/>
        <v>2133.9445697542051</v>
      </c>
      <c r="T271" s="137">
        <f t="shared" si="47"/>
        <v>29142.415331227516</v>
      </c>
      <c r="U271" s="137">
        <f t="shared" si="48"/>
        <v>7637.5948034770481</v>
      </c>
      <c r="V271" s="137">
        <f t="shared" si="49"/>
        <v>0</v>
      </c>
      <c r="W271" s="137">
        <f t="shared" si="50"/>
        <v>0</v>
      </c>
      <c r="X271" s="138">
        <f t="shared" si="51"/>
        <v>36780.010134704564</v>
      </c>
    </row>
    <row r="272" spans="4:24">
      <c r="D272" s="9" t="s">
        <v>227</v>
      </c>
      <c r="E272" s="9" t="s">
        <v>2295</v>
      </c>
      <c r="F272" s="4" t="s">
        <v>942</v>
      </c>
      <c r="G272" s="9" t="s">
        <v>2697</v>
      </c>
      <c r="H272" s="136">
        <v>269551.62191411137</v>
      </c>
      <c r="I272" s="137">
        <v>392909.94486946595</v>
      </c>
      <c r="J272" s="137">
        <v>43312.750943207662</v>
      </c>
      <c r="K272" s="137">
        <v>56387.002267361924</v>
      </c>
      <c r="L272" s="149">
        <f t="shared" si="44"/>
        <v>312864.37285731902</v>
      </c>
      <c r="M272" s="138">
        <f t="shared" si="45"/>
        <v>449296.94713682786</v>
      </c>
      <c r="N272" s="139">
        <f>INDEX('CHIRP Payment Calc'!AM:AM,MATCH(F:F,'CHIRP Payment Calc'!C:C,0))</f>
        <v>0.22999999999999998</v>
      </c>
      <c r="O272" s="139">
        <f>INDEX('CHIRP Payment Calc'!AL:AL,MATCH(F:F,'CHIRP Payment Calc'!C:C,0))</f>
        <v>0</v>
      </c>
      <c r="P272" s="136">
        <f t="shared" si="46"/>
        <v>71958.805757183363</v>
      </c>
      <c r="Q272" s="149">
        <f t="shared" si="52"/>
        <v>3782.3025992722783</v>
      </c>
      <c r="R272" s="149">
        <f t="shared" si="53"/>
        <v>635.86804576198483</v>
      </c>
      <c r="S272" s="137">
        <f t="shared" si="54"/>
        <v>4418.1706450342626</v>
      </c>
      <c r="T272" s="137">
        <f t="shared" si="47"/>
        <v>65779.175639517882</v>
      </c>
      <c r="U272" s="137">
        <f t="shared" si="48"/>
        <v>10597.800762699746</v>
      </c>
      <c r="V272" s="137">
        <f t="shared" si="49"/>
        <v>0</v>
      </c>
      <c r="W272" s="137">
        <f t="shared" si="50"/>
        <v>0</v>
      </c>
      <c r="X272" s="138">
        <f t="shared" si="51"/>
        <v>76376.976402217624</v>
      </c>
    </row>
    <row r="273" spans="4:24">
      <c r="D273" s="9" t="s">
        <v>227</v>
      </c>
      <c r="E273" s="9" t="s">
        <v>2295</v>
      </c>
      <c r="F273" s="4" t="s">
        <v>993</v>
      </c>
      <c r="G273" s="9" t="s">
        <v>2880</v>
      </c>
      <c r="H273" s="136">
        <v>944137.56408970605</v>
      </c>
      <c r="I273" s="137">
        <v>1446801.515003883</v>
      </c>
      <c r="J273" s="137">
        <v>208238.49787158042</v>
      </c>
      <c r="K273" s="137">
        <v>339619.71612262866</v>
      </c>
      <c r="L273" s="149">
        <f t="shared" si="44"/>
        <v>1152376.0619612865</v>
      </c>
      <c r="M273" s="138">
        <f t="shared" si="45"/>
        <v>1786421.2311265117</v>
      </c>
      <c r="N273" s="139">
        <f>INDEX('CHIRP Payment Calc'!AM:AM,MATCH(F:F,'CHIRP Payment Calc'!C:C,0))</f>
        <v>0.18</v>
      </c>
      <c r="O273" s="139">
        <f>INDEX('CHIRP Payment Calc'!AL:AL,MATCH(F:F,'CHIRP Payment Calc'!C:C,0))</f>
        <v>0</v>
      </c>
      <c r="P273" s="136">
        <f t="shared" si="46"/>
        <v>207427.69115303157</v>
      </c>
      <c r="Q273" s="149">
        <f t="shared" si="52"/>
        <v>10367.982799287489</v>
      </c>
      <c r="R273" s="149">
        <f t="shared" si="53"/>
        <v>2392.5274223543283</v>
      </c>
      <c r="S273" s="137">
        <f t="shared" si="54"/>
        <v>12760.510221641816</v>
      </c>
      <c r="T273" s="137">
        <f t="shared" si="47"/>
        <v>180312.74433543457</v>
      </c>
      <c r="U273" s="137">
        <f t="shared" si="48"/>
        <v>39875.457039238805</v>
      </c>
      <c r="V273" s="137">
        <f t="shared" si="49"/>
        <v>0</v>
      </c>
      <c r="W273" s="137">
        <f t="shared" si="50"/>
        <v>0</v>
      </c>
      <c r="X273" s="138">
        <f t="shared" si="51"/>
        <v>220188.20137467337</v>
      </c>
    </row>
    <row r="274" spans="4:24">
      <c r="D274" s="9" t="s">
        <v>227</v>
      </c>
      <c r="E274" s="9" t="s">
        <v>2295</v>
      </c>
      <c r="F274" s="4" t="s">
        <v>1604</v>
      </c>
      <c r="G274" s="9" t="s">
        <v>2799</v>
      </c>
      <c r="H274" s="136">
        <v>277115.60459482128</v>
      </c>
      <c r="I274" s="137">
        <v>0</v>
      </c>
      <c r="J274" s="137">
        <v>102235.08254244534</v>
      </c>
      <c r="K274" s="137">
        <v>13014.36719502897</v>
      </c>
      <c r="L274" s="149">
        <f t="shared" si="44"/>
        <v>379350.68713726662</v>
      </c>
      <c r="M274" s="138">
        <f t="shared" si="45"/>
        <v>13014.36719502897</v>
      </c>
      <c r="N274" s="139">
        <f>INDEX('CHIRP Payment Calc'!AM:AM,MATCH(F:F,'CHIRP Payment Calc'!C:C,0))</f>
        <v>0.18</v>
      </c>
      <c r="O274" s="139">
        <f>INDEX('CHIRP Payment Calc'!AL:AL,MATCH(F:F,'CHIRP Payment Calc'!C:C,0))</f>
        <v>0</v>
      </c>
      <c r="P274" s="136">
        <f t="shared" si="46"/>
        <v>68283.123684707985</v>
      </c>
      <c r="Q274" s="149">
        <f t="shared" si="52"/>
        <v>3043.1262679643501</v>
      </c>
      <c r="R274" s="149">
        <f t="shared" si="53"/>
        <v>1174.6158419770318</v>
      </c>
      <c r="S274" s="137">
        <f t="shared" si="54"/>
        <v>4217.7421099413823</v>
      </c>
      <c r="T274" s="137">
        <f t="shared" si="47"/>
        <v>52923.935095032175</v>
      </c>
      <c r="U274" s="137">
        <f t="shared" si="48"/>
        <v>19576.930699617194</v>
      </c>
      <c r="V274" s="137">
        <f t="shared" si="49"/>
        <v>0</v>
      </c>
      <c r="W274" s="137">
        <f t="shared" si="50"/>
        <v>0</v>
      </c>
      <c r="X274" s="138">
        <f t="shared" si="51"/>
        <v>72500.865794649377</v>
      </c>
    </row>
    <row r="275" spans="4:24">
      <c r="D275" s="9" t="s">
        <v>227</v>
      </c>
      <c r="E275" s="9" t="s">
        <v>2295</v>
      </c>
      <c r="F275" s="4" t="s">
        <v>1924</v>
      </c>
      <c r="G275" s="9" t="s">
        <v>2902</v>
      </c>
      <c r="H275" s="136">
        <v>732737.76139133913</v>
      </c>
      <c r="I275" s="137">
        <v>1071585.490583881</v>
      </c>
      <c r="J275" s="137">
        <v>96726.105770581926</v>
      </c>
      <c r="K275" s="137">
        <v>651157.30237290659</v>
      </c>
      <c r="L275" s="149">
        <f t="shared" si="44"/>
        <v>829463.86716192099</v>
      </c>
      <c r="M275" s="138">
        <f t="shared" si="45"/>
        <v>1722742.7929567876</v>
      </c>
      <c r="N275" s="139">
        <f>INDEX('CHIRP Payment Calc'!AM:AM,MATCH(F:F,'CHIRP Payment Calc'!C:C,0))</f>
        <v>1.68</v>
      </c>
      <c r="O275" s="139">
        <f>INDEX('CHIRP Payment Calc'!AL:AL,MATCH(F:F,'CHIRP Payment Calc'!C:C,0))</f>
        <v>0</v>
      </c>
      <c r="P275" s="136">
        <f t="shared" si="46"/>
        <v>1393499.2968320271</v>
      </c>
      <c r="Q275" s="149">
        <f t="shared" si="52"/>
        <v>75100.761538889506</v>
      </c>
      <c r="R275" s="149">
        <f t="shared" si="53"/>
        <v>10372.331342207084</v>
      </c>
      <c r="S275" s="137">
        <f t="shared" si="54"/>
        <v>85473.092881096585</v>
      </c>
      <c r="T275" s="137">
        <f t="shared" si="47"/>
        <v>1306100.2006763392</v>
      </c>
      <c r="U275" s="137">
        <f t="shared" si="48"/>
        <v>172872.18903678472</v>
      </c>
      <c r="V275" s="137">
        <f t="shared" si="49"/>
        <v>0</v>
      </c>
      <c r="W275" s="137">
        <f t="shared" si="50"/>
        <v>0</v>
      </c>
      <c r="X275" s="138">
        <f t="shared" si="51"/>
        <v>1478972.3897131239</v>
      </c>
    </row>
    <row r="276" spans="4:24">
      <c r="D276" s="9" t="s">
        <v>227</v>
      </c>
      <c r="E276" s="9" t="s">
        <v>2295</v>
      </c>
      <c r="F276" s="4" t="s">
        <v>987</v>
      </c>
      <c r="G276" s="9" t="s">
        <v>1905</v>
      </c>
      <c r="H276" s="136">
        <v>101298.08504458849</v>
      </c>
      <c r="I276" s="137">
        <v>4685.8045877645973</v>
      </c>
      <c r="J276" s="137">
        <v>6249.0842331239446</v>
      </c>
      <c r="K276" s="137">
        <v>0</v>
      </c>
      <c r="L276" s="149">
        <f t="shared" si="44"/>
        <v>107547.16927771243</v>
      </c>
      <c r="M276" s="138">
        <f t="shared" si="45"/>
        <v>4685.8045877645973</v>
      </c>
      <c r="N276" s="139">
        <f>INDEX('CHIRP Payment Calc'!AM:AM,MATCH(F:F,'CHIRP Payment Calc'!C:C,0))</f>
        <v>0.18</v>
      </c>
      <c r="O276" s="139">
        <f>INDEX('CHIRP Payment Calc'!AL:AL,MATCH(F:F,'CHIRP Payment Calc'!C:C,0))</f>
        <v>0</v>
      </c>
      <c r="P276" s="136">
        <f t="shared" si="46"/>
        <v>19358.490469988235</v>
      </c>
      <c r="Q276" s="149">
        <f t="shared" si="52"/>
        <v>1112.3980691899108</v>
      </c>
      <c r="R276" s="149">
        <f t="shared" si="53"/>
        <v>71.797989061424062</v>
      </c>
      <c r="S276" s="137">
        <f t="shared" si="54"/>
        <v>1184.1960582513348</v>
      </c>
      <c r="T276" s="137">
        <f t="shared" si="47"/>
        <v>19346.053377215838</v>
      </c>
      <c r="U276" s="137">
        <f t="shared" si="48"/>
        <v>1196.6331510237342</v>
      </c>
      <c r="V276" s="137">
        <f t="shared" si="49"/>
        <v>0</v>
      </c>
      <c r="W276" s="137">
        <f t="shared" si="50"/>
        <v>0</v>
      </c>
      <c r="X276" s="138">
        <f t="shared" si="51"/>
        <v>20542.686528239574</v>
      </c>
    </row>
    <row r="277" spans="4:24">
      <c r="D277" s="9" t="s">
        <v>227</v>
      </c>
      <c r="E277" s="9" t="s">
        <v>2295</v>
      </c>
      <c r="F277" s="4" t="s">
        <v>675</v>
      </c>
      <c r="G277" s="9" t="s">
        <v>2938</v>
      </c>
      <c r="H277" s="136">
        <v>185648.25389424324</v>
      </c>
      <c r="I277" s="137">
        <v>11510.306428567836</v>
      </c>
      <c r="J277" s="137">
        <v>66645.083927835338</v>
      </c>
      <c r="K277" s="137">
        <v>13937.433481942888</v>
      </c>
      <c r="L277" s="149">
        <f t="shared" si="44"/>
        <v>252293.33782207858</v>
      </c>
      <c r="M277" s="138">
        <f t="shared" si="45"/>
        <v>25447.739910510725</v>
      </c>
      <c r="N277" s="139">
        <f>INDEX('CHIRP Payment Calc'!AM:AM,MATCH(F:F,'CHIRP Payment Calc'!C:C,0))</f>
        <v>0.18</v>
      </c>
      <c r="O277" s="139">
        <f>INDEX('CHIRP Payment Calc'!AL:AL,MATCH(F:F,'CHIRP Payment Calc'!C:C,0))</f>
        <v>0</v>
      </c>
      <c r="P277" s="136">
        <f t="shared" si="46"/>
        <v>45412.800807974141</v>
      </c>
      <c r="Q277" s="149">
        <f t="shared" si="52"/>
        <v>2038.6837430296209</v>
      </c>
      <c r="R277" s="149">
        <f t="shared" si="53"/>
        <v>765.70947491555512</v>
      </c>
      <c r="S277" s="137">
        <f t="shared" si="54"/>
        <v>2804.3932179451758</v>
      </c>
      <c r="T277" s="137">
        <f t="shared" si="47"/>
        <v>35455.369443993404</v>
      </c>
      <c r="U277" s="137">
        <f t="shared" si="48"/>
        <v>12761.824581925917</v>
      </c>
      <c r="V277" s="137">
        <f t="shared" si="49"/>
        <v>0</v>
      </c>
      <c r="W277" s="137">
        <f t="shared" si="50"/>
        <v>0</v>
      </c>
      <c r="X277" s="138">
        <f t="shared" si="51"/>
        <v>48217.194025919322</v>
      </c>
    </row>
    <row r="278" spans="4:24">
      <c r="D278" s="9" t="s">
        <v>227</v>
      </c>
      <c r="E278" s="9" t="s">
        <v>2295</v>
      </c>
      <c r="F278" s="4" t="s">
        <v>621</v>
      </c>
      <c r="G278" s="9" t="s">
        <v>2900</v>
      </c>
      <c r="H278" s="136">
        <v>416449.75218012236</v>
      </c>
      <c r="I278" s="137">
        <v>62387.395445924711</v>
      </c>
      <c r="J278" s="137">
        <v>124473.76195663262</v>
      </c>
      <c r="K278" s="137">
        <v>251950.84447472295</v>
      </c>
      <c r="L278" s="149">
        <f t="shared" si="44"/>
        <v>540923.51413675502</v>
      </c>
      <c r="M278" s="138">
        <f t="shared" si="45"/>
        <v>314338.23992064764</v>
      </c>
      <c r="N278" s="139">
        <f>INDEX('CHIRP Payment Calc'!AM:AM,MATCH(F:F,'CHIRP Payment Calc'!C:C,0))</f>
        <v>0.18</v>
      </c>
      <c r="O278" s="139">
        <f>INDEX('CHIRP Payment Calc'!AL:AL,MATCH(F:F,'CHIRP Payment Calc'!C:C,0))</f>
        <v>0</v>
      </c>
      <c r="P278" s="136">
        <f t="shared" si="46"/>
        <v>97366.232544615894</v>
      </c>
      <c r="Q278" s="149">
        <f t="shared" si="52"/>
        <v>4573.2147852140761</v>
      </c>
      <c r="R278" s="149">
        <f t="shared" si="53"/>
        <v>1430.1240735442898</v>
      </c>
      <c r="S278" s="137">
        <f t="shared" si="54"/>
        <v>6003.3388587583659</v>
      </c>
      <c r="T278" s="137">
        <f t="shared" si="47"/>
        <v>79534.170177636101</v>
      </c>
      <c r="U278" s="137">
        <f t="shared" si="48"/>
        <v>23835.401225738162</v>
      </c>
      <c r="V278" s="137">
        <f t="shared" si="49"/>
        <v>0</v>
      </c>
      <c r="W278" s="137">
        <f t="shared" si="50"/>
        <v>0</v>
      </c>
      <c r="X278" s="138">
        <f t="shared" si="51"/>
        <v>103369.57140337426</v>
      </c>
    </row>
    <row r="279" spans="4:24">
      <c r="D279" s="9" t="s">
        <v>227</v>
      </c>
      <c r="E279" s="9" t="s">
        <v>2295</v>
      </c>
      <c r="F279" s="4" t="s">
        <v>651</v>
      </c>
      <c r="G279" s="9" t="s">
        <v>2345</v>
      </c>
      <c r="H279" s="136">
        <v>87899.668478496766</v>
      </c>
      <c r="I279" s="137">
        <v>0</v>
      </c>
      <c r="J279" s="137">
        <v>30817.021527040215</v>
      </c>
      <c r="K279" s="137">
        <v>16647.685962294319</v>
      </c>
      <c r="L279" s="149">
        <f t="shared" si="44"/>
        <v>118716.69000553698</v>
      </c>
      <c r="M279" s="138">
        <f t="shared" si="45"/>
        <v>16647.685962294319</v>
      </c>
      <c r="N279" s="139">
        <f>INDEX('CHIRP Payment Calc'!AM:AM,MATCH(F:F,'CHIRP Payment Calc'!C:C,0))</f>
        <v>0.18</v>
      </c>
      <c r="O279" s="139">
        <f>INDEX('CHIRP Payment Calc'!AL:AL,MATCH(F:F,'CHIRP Payment Calc'!C:C,0))</f>
        <v>0</v>
      </c>
      <c r="P279" s="136">
        <f t="shared" si="46"/>
        <v>21369.004200996656</v>
      </c>
      <c r="Q279" s="149">
        <f t="shared" si="52"/>
        <v>965.26426392831991</v>
      </c>
      <c r="R279" s="149">
        <f t="shared" si="53"/>
        <v>354.06790690641958</v>
      </c>
      <c r="S279" s="137">
        <f t="shared" si="54"/>
        <v>1319.3321708347394</v>
      </c>
      <c r="T279" s="137">
        <f t="shared" si="47"/>
        <v>16787.204590057736</v>
      </c>
      <c r="U279" s="137">
        <f t="shared" si="48"/>
        <v>5901.131781773659</v>
      </c>
      <c r="V279" s="137">
        <f t="shared" si="49"/>
        <v>0</v>
      </c>
      <c r="W279" s="137">
        <f t="shared" si="50"/>
        <v>0</v>
      </c>
      <c r="X279" s="138">
        <f t="shared" si="51"/>
        <v>22688.336371831396</v>
      </c>
    </row>
    <row r="280" spans="4:24">
      <c r="D280" s="9" t="s">
        <v>227</v>
      </c>
      <c r="E280" s="9" t="s">
        <v>2295</v>
      </c>
      <c r="F280" s="4" t="s">
        <v>588</v>
      </c>
      <c r="G280" s="9" t="s">
        <v>2690</v>
      </c>
      <c r="H280" s="136">
        <v>902953.80863832764</v>
      </c>
      <c r="I280" s="137">
        <v>984972.6976665525</v>
      </c>
      <c r="J280" s="137">
        <v>174757.6890678808</v>
      </c>
      <c r="K280" s="137">
        <v>145148.29184807345</v>
      </c>
      <c r="L280" s="149">
        <f t="shared" si="44"/>
        <v>1077711.4977062084</v>
      </c>
      <c r="M280" s="138">
        <f t="shared" si="45"/>
        <v>1130120.9895146259</v>
      </c>
      <c r="N280" s="139">
        <f>INDEX('CHIRP Payment Calc'!AM:AM,MATCH(F:F,'CHIRP Payment Calc'!C:C,0))</f>
        <v>0.19</v>
      </c>
      <c r="O280" s="139">
        <f>INDEX('CHIRP Payment Calc'!AL:AL,MATCH(F:F,'CHIRP Payment Calc'!C:C,0))</f>
        <v>0</v>
      </c>
      <c r="P280" s="136">
        <f t="shared" si="46"/>
        <v>204765.1845641796</v>
      </c>
      <c r="Q280" s="149">
        <f t="shared" si="52"/>
        <v>10466.599850794408</v>
      </c>
      <c r="R280" s="149">
        <f t="shared" si="53"/>
        <v>2119.4017610360015</v>
      </c>
      <c r="S280" s="137">
        <f t="shared" si="54"/>
        <v>12586.001611830408</v>
      </c>
      <c r="T280" s="137">
        <f t="shared" si="47"/>
        <v>182027.82349207666</v>
      </c>
      <c r="U280" s="137">
        <f t="shared" si="48"/>
        <v>35323.362683933359</v>
      </c>
      <c r="V280" s="137">
        <f t="shared" si="49"/>
        <v>0</v>
      </c>
      <c r="W280" s="137">
        <f t="shared" si="50"/>
        <v>0</v>
      </c>
      <c r="X280" s="138">
        <f t="shared" si="51"/>
        <v>217351.18617601</v>
      </c>
    </row>
    <row r="281" spans="4:24">
      <c r="D281" s="9" t="s">
        <v>227</v>
      </c>
      <c r="E281" s="9" t="s">
        <v>2295</v>
      </c>
      <c r="F281" s="4" t="s">
        <v>112</v>
      </c>
      <c r="G281" s="9" t="s">
        <v>2428</v>
      </c>
      <c r="H281" s="136">
        <v>1662418.973317646</v>
      </c>
      <c r="I281" s="137">
        <v>1205795.514570819</v>
      </c>
      <c r="J281" s="137">
        <v>171358.82513178021</v>
      </c>
      <c r="K281" s="137">
        <v>67240.543967515332</v>
      </c>
      <c r="L281" s="149">
        <f t="shared" si="44"/>
        <v>1833777.7984494262</v>
      </c>
      <c r="M281" s="138">
        <f t="shared" si="45"/>
        <v>1273036.0585383342</v>
      </c>
      <c r="N281" s="139">
        <f>INDEX('CHIRP Payment Calc'!AM:AM,MATCH(F:F,'CHIRP Payment Calc'!C:C,0))</f>
        <v>0.36</v>
      </c>
      <c r="O281" s="139">
        <f>INDEX('CHIRP Payment Calc'!AL:AL,MATCH(F:F,'CHIRP Payment Calc'!C:C,0))</f>
        <v>0</v>
      </c>
      <c r="P281" s="136">
        <f t="shared" si="46"/>
        <v>660160.00744179345</v>
      </c>
      <c r="Q281" s="149">
        <f t="shared" si="52"/>
        <v>36511.483021406122</v>
      </c>
      <c r="R281" s="149">
        <f t="shared" si="53"/>
        <v>3937.6070455813333</v>
      </c>
      <c r="S281" s="137">
        <f t="shared" si="54"/>
        <v>40449.090066987454</v>
      </c>
      <c r="T281" s="137">
        <f t="shared" si="47"/>
        <v>634982.31341575866</v>
      </c>
      <c r="U281" s="137">
        <f t="shared" si="48"/>
        <v>65626.784093022216</v>
      </c>
      <c r="V281" s="137">
        <f t="shared" si="49"/>
        <v>0</v>
      </c>
      <c r="W281" s="137">
        <f t="shared" si="50"/>
        <v>0</v>
      </c>
      <c r="X281" s="138">
        <f t="shared" si="51"/>
        <v>700609.09750878089</v>
      </c>
    </row>
    <row r="282" spans="4:24">
      <c r="D282" s="9" t="s">
        <v>227</v>
      </c>
      <c r="E282" s="9" t="s">
        <v>2295</v>
      </c>
      <c r="F282" s="4" t="s">
        <v>534</v>
      </c>
      <c r="G282" s="9" t="s">
        <v>2448</v>
      </c>
      <c r="H282" s="136">
        <v>235456.60181231968</v>
      </c>
      <c r="I282" s="137">
        <v>825110.76775913732</v>
      </c>
      <c r="J282" s="137">
        <v>49955.183237168705</v>
      </c>
      <c r="K282" s="137">
        <v>41266.030275780977</v>
      </c>
      <c r="L282" s="149">
        <f t="shared" si="44"/>
        <v>285411.78504948842</v>
      </c>
      <c r="M282" s="138">
        <f t="shared" si="45"/>
        <v>866376.79803491826</v>
      </c>
      <c r="N282" s="139">
        <f>INDEX('CHIRP Payment Calc'!AM:AM,MATCH(F:F,'CHIRP Payment Calc'!C:C,0))</f>
        <v>0.18</v>
      </c>
      <c r="O282" s="139">
        <f>INDEX('CHIRP Payment Calc'!AL:AL,MATCH(F:F,'CHIRP Payment Calc'!C:C,0))</f>
        <v>0</v>
      </c>
      <c r="P282" s="136">
        <f t="shared" si="46"/>
        <v>51374.12130890791</v>
      </c>
      <c r="Q282" s="149">
        <f t="shared" si="52"/>
        <v>2585.6507466923167</v>
      </c>
      <c r="R282" s="149">
        <f t="shared" si="53"/>
        <v>573.95316910789575</v>
      </c>
      <c r="S282" s="137">
        <f t="shared" si="54"/>
        <v>3159.6039158002122</v>
      </c>
      <c r="T282" s="137">
        <f t="shared" si="47"/>
        <v>44967.839072909854</v>
      </c>
      <c r="U282" s="137">
        <f t="shared" si="48"/>
        <v>9565.8861517982623</v>
      </c>
      <c r="V282" s="137">
        <f t="shared" si="49"/>
        <v>0</v>
      </c>
      <c r="W282" s="137">
        <f t="shared" si="50"/>
        <v>0</v>
      </c>
      <c r="X282" s="138">
        <f t="shared" si="51"/>
        <v>54533.72522470812</v>
      </c>
    </row>
    <row r="283" spans="4:24">
      <c r="D283" s="9" t="s">
        <v>227</v>
      </c>
      <c r="E283" s="9" t="s">
        <v>2295</v>
      </c>
      <c r="F283" s="4" t="s">
        <v>1141</v>
      </c>
      <c r="G283" s="9" t="s">
        <v>2888</v>
      </c>
      <c r="H283" s="136">
        <v>57148.201138747376</v>
      </c>
      <c r="I283" s="137">
        <v>130.94773797029728</v>
      </c>
      <c r="J283" s="137">
        <v>5006.2816908247005</v>
      </c>
      <c r="K283" s="137">
        <v>0</v>
      </c>
      <c r="L283" s="149">
        <f t="shared" si="44"/>
        <v>62154.48282957208</v>
      </c>
      <c r="M283" s="138">
        <f t="shared" si="45"/>
        <v>130.94773797029728</v>
      </c>
      <c r="N283" s="139">
        <f>INDEX('CHIRP Payment Calc'!AM:AM,MATCH(F:F,'CHIRP Payment Calc'!C:C,0))</f>
        <v>0.18</v>
      </c>
      <c r="O283" s="139">
        <f>INDEX('CHIRP Payment Calc'!AL:AL,MATCH(F:F,'CHIRP Payment Calc'!C:C,0))</f>
        <v>0</v>
      </c>
      <c r="P283" s="136">
        <f t="shared" si="46"/>
        <v>11187.806909322973</v>
      </c>
      <c r="Q283" s="149">
        <f t="shared" si="52"/>
        <v>627.56910534327358</v>
      </c>
      <c r="R283" s="149">
        <f t="shared" si="53"/>
        <v>57.518981128624226</v>
      </c>
      <c r="S283" s="137">
        <f t="shared" si="54"/>
        <v>685.08808647189778</v>
      </c>
      <c r="T283" s="137">
        <f t="shared" si="47"/>
        <v>10914.245310317801</v>
      </c>
      <c r="U283" s="137">
        <f t="shared" si="48"/>
        <v>958.64968547707031</v>
      </c>
      <c r="V283" s="137">
        <f t="shared" si="49"/>
        <v>0</v>
      </c>
      <c r="W283" s="137">
        <f t="shared" si="50"/>
        <v>0</v>
      </c>
      <c r="X283" s="138">
        <f t="shared" si="51"/>
        <v>11872.894995794872</v>
      </c>
    </row>
    <row r="284" spans="4:24">
      <c r="D284" s="9" t="s">
        <v>227</v>
      </c>
      <c r="E284" s="9" t="s">
        <v>2295</v>
      </c>
      <c r="F284" s="4" t="s">
        <v>1376</v>
      </c>
      <c r="G284" s="9" t="s">
        <v>2828</v>
      </c>
      <c r="H284" s="136">
        <v>1734089.0358838644</v>
      </c>
      <c r="I284" s="137">
        <v>1354161.1478426524</v>
      </c>
      <c r="J284" s="137">
        <v>237688.92120356963</v>
      </c>
      <c r="K284" s="137">
        <v>556391.1204307141</v>
      </c>
      <c r="L284" s="149">
        <f t="shared" si="44"/>
        <v>1971777.9570874339</v>
      </c>
      <c r="M284" s="138">
        <f t="shared" si="45"/>
        <v>1910552.2682733666</v>
      </c>
      <c r="N284" s="139">
        <f>INDEX('CHIRP Payment Calc'!AM:AM,MATCH(F:F,'CHIRP Payment Calc'!C:C,0))</f>
        <v>0.58000000000000007</v>
      </c>
      <c r="O284" s="139">
        <f>INDEX('CHIRP Payment Calc'!AL:AL,MATCH(F:F,'CHIRP Payment Calc'!C:C,0))</f>
        <v>0</v>
      </c>
      <c r="P284" s="136">
        <f t="shared" si="46"/>
        <v>1143631.2151107118</v>
      </c>
      <c r="Q284" s="149">
        <f t="shared" si="52"/>
        <v>61360.073577429066</v>
      </c>
      <c r="R284" s="149">
        <f t="shared" si="53"/>
        <v>8799.5472956215144</v>
      </c>
      <c r="S284" s="137">
        <f t="shared" si="54"/>
        <v>70159.620873050575</v>
      </c>
      <c r="T284" s="137">
        <f t="shared" si="47"/>
        <v>1067131.7143900706</v>
      </c>
      <c r="U284" s="137">
        <f t="shared" si="48"/>
        <v>146659.1215936919</v>
      </c>
      <c r="V284" s="137">
        <f t="shared" si="49"/>
        <v>0</v>
      </c>
      <c r="W284" s="137">
        <f t="shared" si="50"/>
        <v>0</v>
      </c>
      <c r="X284" s="138">
        <f t="shared" si="51"/>
        <v>1213790.8359837625</v>
      </c>
    </row>
    <row r="285" spans="4:24">
      <c r="D285" s="9" t="s">
        <v>227</v>
      </c>
      <c r="E285" s="9" t="s">
        <v>2295</v>
      </c>
      <c r="F285" s="4" t="s">
        <v>933</v>
      </c>
      <c r="G285" s="9" t="s">
        <v>2585</v>
      </c>
      <c r="H285" s="136">
        <v>90523.448597660943</v>
      </c>
      <c r="I285" s="137">
        <v>8075.6108254608953</v>
      </c>
      <c r="J285" s="137">
        <v>3751.6642691237375</v>
      </c>
      <c r="K285" s="137">
        <v>23.876782006448881</v>
      </c>
      <c r="L285" s="149">
        <f t="shared" si="44"/>
        <v>94275.112866784679</v>
      </c>
      <c r="M285" s="138">
        <f t="shared" si="45"/>
        <v>8099.4876074673439</v>
      </c>
      <c r="N285" s="139">
        <f>INDEX('CHIRP Payment Calc'!AM:AM,MATCH(F:F,'CHIRP Payment Calc'!C:C,0))</f>
        <v>0.22</v>
      </c>
      <c r="O285" s="139">
        <f>INDEX('CHIRP Payment Calc'!AL:AL,MATCH(F:F,'CHIRP Payment Calc'!C:C,0))</f>
        <v>0</v>
      </c>
      <c r="P285" s="136">
        <f t="shared" si="46"/>
        <v>20740.52483069263</v>
      </c>
      <c r="Q285" s="149">
        <f t="shared" si="52"/>
        <v>1214.9831562444679</v>
      </c>
      <c r="R285" s="149">
        <f t="shared" si="53"/>
        <v>52.682945055780152</v>
      </c>
      <c r="S285" s="137">
        <f t="shared" si="54"/>
        <v>1267.6661013002481</v>
      </c>
      <c r="T285" s="137">
        <f t="shared" si="47"/>
        <v>21130.141847729876</v>
      </c>
      <c r="U285" s="137">
        <f t="shared" si="48"/>
        <v>878.04908426300244</v>
      </c>
      <c r="V285" s="137">
        <f t="shared" si="49"/>
        <v>0</v>
      </c>
      <c r="W285" s="137">
        <f t="shared" si="50"/>
        <v>0</v>
      </c>
      <c r="X285" s="138">
        <f t="shared" si="51"/>
        <v>22008.190931992878</v>
      </c>
    </row>
    <row r="286" spans="4:24">
      <c r="D286" s="9" t="s">
        <v>227</v>
      </c>
      <c r="E286" s="9" t="s">
        <v>2295</v>
      </c>
      <c r="F286" s="4" t="s">
        <v>339</v>
      </c>
      <c r="G286" s="9" t="s">
        <v>2682</v>
      </c>
      <c r="H286" s="136">
        <v>210516.58599439549</v>
      </c>
      <c r="I286" s="137">
        <v>149399.88517882593</v>
      </c>
      <c r="J286" s="137">
        <v>64576.844176516031</v>
      </c>
      <c r="K286" s="137">
        <v>62309.890013608507</v>
      </c>
      <c r="L286" s="149">
        <f t="shared" si="44"/>
        <v>275093.43017091154</v>
      </c>
      <c r="M286" s="138">
        <f t="shared" si="45"/>
        <v>211709.77519243443</v>
      </c>
      <c r="N286" s="139">
        <f>INDEX('CHIRP Payment Calc'!AM:AM,MATCH(F:F,'CHIRP Payment Calc'!C:C,0))</f>
        <v>0.18</v>
      </c>
      <c r="O286" s="139">
        <f>INDEX('CHIRP Payment Calc'!AL:AL,MATCH(F:F,'CHIRP Payment Calc'!C:C,0))</f>
        <v>0</v>
      </c>
      <c r="P286" s="136">
        <f t="shared" si="46"/>
        <v>49516.817430764073</v>
      </c>
      <c r="Q286" s="149">
        <f t="shared" si="52"/>
        <v>2311.7736499119296</v>
      </c>
      <c r="R286" s="149">
        <f t="shared" si="53"/>
        <v>741.94672032592894</v>
      </c>
      <c r="S286" s="137">
        <f t="shared" si="54"/>
        <v>3053.7203702378583</v>
      </c>
      <c r="T286" s="137">
        <f t="shared" si="47"/>
        <v>40204.759128903119</v>
      </c>
      <c r="U286" s="137">
        <f t="shared" si="48"/>
        <v>12365.778672098815</v>
      </c>
      <c r="V286" s="137">
        <f t="shared" si="49"/>
        <v>0</v>
      </c>
      <c r="W286" s="137">
        <f t="shared" si="50"/>
        <v>0</v>
      </c>
      <c r="X286" s="138">
        <f t="shared" si="51"/>
        <v>52570.537801001934</v>
      </c>
    </row>
    <row r="287" spans="4:24">
      <c r="D287" s="9" t="s">
        <v>227</v>
      </c>
      <c r="E287" s="9" t="s">
        <v>2295</v>
      </c>
      <c r="F287" s="4" t="s">
        <v>615</v>
      </c>
      <c r="G287" s="9" t="s">
        <v>1711</v>
      </c>
      <c r="H287" s="136">
        <v>141885.19750181609</v>
      </c>
      <c r="I287" s="137">
        <v>405.76699753670266</v>
      </c>
      <c r="J287" s="137">
        <v>37078.79770500509</v>
      </c>
      <c r="K287" s="137">
        <v>19966.955574489119</v>
      </c>
      <c r="L287" s="149">
        <f t="shared" si="44"/>
        <v>178963.99520682119</v>
      </c>
      <c r="M287" s="138">
        <f t="shared" si="45"/>
        <v>20372.722572025821</v>
      </c>
      <c r="N287" s="139">
        <f>INDEX('CHIRP Payment Calc'!AM:AM,MATCH(F:F,'CHIRP Payment Calc'!C:C,0))</f>
        <v>0.5</v>
      </c>
      <c r="O287" s="139">
        <f>INDEX('CHIRP Payment Calc'!AL:AL,MATCH(F:F,'CHIRP Payment Calc'!C:C,0))</f>
        <v>0</v>
      </c>
      <c r="P287" s="136">
        <f t="shared" si="46"/>
        <v>89481.997603410593</v>
      </c>
      <c r="Q287" s="149">
        <f t="shared" si="52"/>
        <v>4328.0630537689258</v>
      </c>
      <c r="R287" s="149">
        <f t="shared" si="53"/>
        <v>1183.3658842022903</v>
      </c>
      <c r="S287" s="137">
        <f t="shared" si="54"/>
        <v>5511.4289379712163</v>
      </c>
      <c r="T287" s="137">
        <f t="shared" si="47"/>
        <v>75270.661804676973</v>
      </c>
      <c r="U287" s="137">
        <f t="shared" si="48"/>
        <v>19722.764736704838</v>
      </c>
      <c r="V287" s="137">
        <f t="shared" si="49"/>
        <v>0</v>
      </c>
      <c r="W287" s="137">
        <f t="shared" si="50"/>
        <v>0</v>
      </c>
      <c r="X287" s="138">
        <f t="shared" si="51"/>
        <v>94993.426541381807</v>
      </c>
    </row>
    <row r="288" spans="4:24">
      <c r="D288" s="9" t="s">
        <v>227</v>
      </c>
      <c r="E288" s="9" t="s">
        <v>2295</v>
      </c>
      <c r="F288" s="4" t="s">
        <v>714</v>
      </c>
      <c r="G288" s="9" t="s">
        <v>2794</v>
      </c>
      <c r="H288" s="136">
        <v>995150.70466408122</v>
      </c>
      <c r="I288" s="137">
        <v>652540.83884515718</v>
      </c>
      <c r="J288" s="137">
        <v>200380.49406847887</v>
      </c>
      <c r="K288" s="137">
        <v>58448.737780250609</v>
      </c>
      <c r="L288" s="149">
        <f t="shared" si="44"/>
        <v>1195531.19873256</v>
      </c>
      <c r="M288" s="138">
        <f t="shared" si="45"/>
        <v>710989.57662540779</v>
      </c>
      <c r="N288" s="139">
        <f>INDEX('CHIRP Payment Calc'!AM:AM,MATCH(F:F,'CHIRP Payment Calc'!C:C,0))</f>
        <v>0.19999999999999998</v>
      </c>
      <c r="O288" s="139">
        <f>INDEX('CHIRP Payment Calc'!AL:AL,MATCH(F:F,'CHIRP Payment Calc'!C:C,0))</f>
        <v>0</v>
      </c>
      <c r="P288" s="136">
        <f t="shared" si="46"/>
        <v>239106.239746512</v>
      </c>
      <c r="Q288" s="149">
        <f t="shared" si="52"/>
        <v>12142.422391126718</v>
      </c>
      <c r="R288" s="149">
        <f t="shared" si="53"/>
        <v>2558.0488604486668</v>
      </c>
      <c r="S288" s="137">
        <f t="shared" si="54"/>
        <v>14700.471251575385</v>
      </c>
      <c r="T288" s="137">
        <f t="shared" si="47"/>
        <v>211172.56332394292</v>
      </c>
      <c r="U288" s="137">
        <f t="shared" si="48"/>
        <v>42634.147674144442</v>
      </c>
      <c r="V288" s="137">
        <f t="shared" si="49"/>
        <v>0</v>
      </c>
      <c r="W288" s="137">
        <f t="shared" si="50"/>
        <v>0</v>
      </c>
      <c r="X288" s="138">
        <f t="shared" si="51"/>
        <v>253806.71099808736</v>
      </c>
    </row>
    <row r="289" spans="4:24">
      <c r="D289" s="9" t="s">
        <v>227</v>
      </c>
      <c r="E289" s="9" t="s">
        <v>2295</v>
      </c>
      <c r="F289" s="4" t="s">
        <v>11</v>
      </c>
      <c r="G289" s="9" t="s">
        <v>2884</v>
      </c>
      <c r="H289" s="136">
        <v>83533.833297493053</v>
      </c>
      <c r="I289" s="137">
        <v>0</v>
      </c>
      <c r="J289" s="137">
        <v>47646.819706049551</v>
      </c>
      <c r="K289" s="137">
        <v>33149.146502455827</v>
      </c>
      <c r="L289" s="149">
        <f t="shared" si="44"/>
        <v>131180.6530035426</v>
      </c>
      <c r="M289" s="138">
        <f t="shared" si="45"/>
        <v>33149.146502455827</v>
      </c>
      <c r="N289" s="139">
        <f>INDEX('CHIRP Payment Calc'!AM:AM,MATCH(F:F,'CHIRP Payment Calc'!C:C,0))</f>
        <v>0.18</v>
      </c>
      <c r="O289" s="139">
        <f>INDEX('CHIRP Payment Calc'!AL:AL,MATCH(F:F,'CHIRP Payment Calc'!C:C,0))</f>
        <v>0</v>
      </c>
      <c r="P289" s="136">
        <f t="shared" si="46"/>
        <v>23612.517540637666</v>
      </c>
      <c r="Q289" s="149">
        <f t="shared" si="52"/>
        <v>917.32114018997675</v>
      </c>
      <c r="R289" s="149">
        <f t="shared" si="53"/>
        <v>547.43154555886724</v>
      </c>
      <c r="S289" s="137">
        <f t="shared" si="54"/>
        <v>1464.752685748844</v>
      </c>
      <c r="T289" s="137">
        <f t="shared" si="47"/>
        <v>15953.411133738726</v>
      </c>
      <c r="U289" s="137">
        <f t="shared" si="48"/>
        <v>9123.8590926477864</v>
      </c>
      <c r="V289" s="137">
        <f t="shared" si="49"/>
        <v>0</v>
      </c>
      <c r="W289" s="137">
        <f t="shared" si="50"/>
        <v>0</v>
      </c>
      <c r="X289" s="138">
        <f t="shared" si="51"/>
        <v>25077.270226386514</v>
      </c>
    </row>
    <row r="290" spans="4:24">
      <c r="D290" s="9" t="s">
        <v>227</v>
      </c>
      <c r="E290" s="9" t="s">
        <v>2295</v>
      </c>
      <c r="F290" s="4" t="s">
        <v>696</v>
      </c>
      <c r="G290" s="9" t="s">
        <v>2676</v>
      </c>
      <c r="H290" s="136">
        <v>101590.87339939302</v>
      </c>
      <c r="I290" s="137">
        <v>16288.003577579331</v>
      </c>
      <c r="J290" s="137">
        <v>53965.868764928309</v>
      </c>
      <c r="K290" s="137">
        <v>22601.650677386402</v>
      </c>
      <c r="L290" s="149">
        <f t="shared" si="44"/>
        <v>155556.74216432133</v>
      </c>
      <c r="M290" s="138">
        <f t="shared" si="45"/>
        <v>38889.654254965732</v>
      </c>
      <c r="N290" s="139">
        <f>INDEX('CHIRP Payment Calc'!AM:AM,MATCH(F:F,'CHIRP Payment Calc'!C:C,0))</f>
        <v>0.18</v>
      </c>
      <c r="O290" s="139">
        <f>INDEX('CHIRP Payment Calc'!AL:AL,MATCH(F:F,'CHIRP Payment Calc'!C:C,0))</f>
        <v>0</v>
      </c>
      <c r="P290" s="136">
        <f t="shared" si="46"/>
        <v>28000.213589577837</v>
      </c>
      <c r="Q290" s="149">
        <f t="shared" si="52"/>
        <v>1115.6133047042099</v>
      </c>
      <c r="R290" s="149">
        <f t="shared" si="53"/>
        <v>620.03338580981472</v>
      </c>
      <c r="S290" s="137">
        <f t="shared" si="54"/>
        <v>1735.6466905140246</v>
      </c>
      <c r="T290" s="137">
        <f t="shared" si="47"/>
        <v>19401.970516594953</v>
      </c>
      <c r="U290" s="137">
        <f t="shared" si="48"/>
        <v>10333.889763496911</v>
      </c>
      <c r="V290" s="137">
        <f t="shared" si="49"/>
        <v>0</v>
      </c>
      <c r="W290" s="137">
        <f t="shared" si="50"/>
        <v>0</v>
      </c>
      <c r="X290" s="138">
        <f t="shared" si="51"/>
        <v>29735.860280091863</v>
      </c>
    </row>
    <row r="291" spans="4:24">
      <c r="D291" s="9" t="s">
        <v>227</v>
      </c>
      <c r="E291" s="9" t="s">
        <v>2295</v>
      </c>
      <c r="F291" s="4" t="s">
        <v>172</v>
      </c>
      <c r="G291" s="9" t="s">
        <v>2818</v>
      </c>
      <c r="H291" s="136">
        <v>333912.94496982434</v>
      </c>
      <c r="I291" s="137">
        <v>30433.164112543731</v>
      </c>
      <c r="J291" s="137">
        <v>146255.24958314348</v>
      </c>
      <c r="K291" s="137">
        <v>71089.835371982961</v>
      </c>
      <c r="L291" s="149">
        <f t="shared" si="44"/>
        <v>480168.19455296779</v>
      </c>
      <c r="M291" s="138">
        <f t="shared" si="45"/>
        <v>101522.99948452669</v>
      </c>
      <c r="N291" s="139">
        <f>INDEX('CHIRP Payment Calc'!AM:AM,MATCH(F:F,'CHIRP Payment Calc'!C:C,0))</f>
        <v>0.18</v>
      </c>
      <c r="O291" s="139">
        <f>INDEX('CHIRP Payment Calc'!AL:AL,MATCH(F:F,'CHIRP Payment Calc'!C:C,0))</f>
        <v>0</v>
      </c>
      <c r="P291" s="136">
        <f t="shared" si="46"/>
        <v>86430.275019534194</v>
      </c>
      <c r="Q291" s="149">
        <f t="shared" si="52"/>
        <v>3666.8424195625275</v>
      </c>
      <c r="R291" s="149">
        <f t="shared" si="53"/>
        <v>1680.3794632956913</v>
      </c>
      <c r="S291" s="137">
        <f t="shared" si="54"/>
        <v>5347.221882858219</v>
      </c>
      <c r="T291" s="137">
        <f t="shared" si="47"/>
        <v>63771.172514130907</v>
      </c>
      <c r="U291" s="137">
        <f t="shared" si="48"/>
        <v>28006.324388261517</v>
      </c>
      <c r="V291" s="137">
        <f t="shared" si="49"/>
        <v>0</v>
      </c>
      <c r="W291" s="137">
        <f t="shared" si="50"/>
        <v>0</v>
      </c>
      <c r="X291" s="138">
        <f t="shared" si="51"/>
        <v>91777.49690239242</v>
      </c>
    </row>
    <row r="292" spans="4:24">
      <c r="D292" s="9" t="s">
        <v>227</v>
      </c>
      <c r="E292" s="9" t="s">
        <v>2295</v>
      </c>
      <c r="F292" s="4" t="s">
        <v>745</v>
      </c>
      <c r="G292" s="9" t="s">
        <v>2344</v>
      </c>
      <c r="H292" s="136">
        <v>141004.66811998381</v>
      </c>
      <c r="I292" s="137">
        <v>17599.439551380456</v>
      </c>
      <c r="J292" s="137">
        <v>39757.21182343999</v>
      </c>
      <c r="K292" s="137">
        <v>18923.040695323001</v>
      </c>
      <c r="L292" s="149">
        <f t="shared" si="44"/>
        <v>180761.87994342379</v>
      </c>
      <c r="M292" s="138">
        <f t="shared" si="45"/>
        <v>36522.480246703461</v>
      </c>
      <c r="N292" s="139">
        <f>INDEX('CHIRP Payment Calc'!AM:AM,MATCH(F:F,'CHIRP Payment Calc'!C:C,0))</f>
        <v>0.18</v>
      </c>
      <c r="O292" s="139">
        <f>INDEX('CHIRP Payment Calc'!AL:AL,MATCH(F:F,'CHIRP Payment Calc'!C:C,0))</f>
        <v>0</v>
      </c>
      <c r="P292" s="136">
        <f t="shared" si="46"/>
        <v>32537.138389816282</v>
      </c>
      <c r="Q292" s="149">
        <f t="shared" si="52"/>
        <v>1548.4332255085756</v>
      </c>
      <c r="R292" s="149">
        <f t="shared" si="53"/>
        <v>456.78498690760841</v>
      </c>
      <c r="S292" s="137">
        <f t="shared" si="54"/>
        <v>2005.2182124161841</v>
      </c>
      <c r="T292" s="137">
        <f t="shared" si="47"/>
        <v>26929.27348710566</v>
      </c>
      <c r="U292" s="137">
        <f t="shared" si="48"/>
        <v>7613.0831151268067</v>
      </c>
      <c r="V292" s="137">
        <f t="shared" si="49"/>
        <v>0</v>
      </c>
      <c r="W292" s="137">
        <f t="shared" si="50"/>
        <v>0</v>
      </c>
      <c r="X292" s="138">
        <f t="shared" si="51"/>
        <v>34542.356602232467</v>
      </c>
    </row>
    <row r="293" spans="4:24">
      <c r="D293" s="9" t="s">
        <v>227</v>
      </c>
      <c r="E293" s="9" t="s">
        <v>2295</v>
      </c>
      <c r="F293" s="4" t="s">
        <v>1017</v>
      </c>
      <c r="G293" s="9" t="s">
        <v>2797</v>
      </c>
      <c r="H293" s="136">
        <v>1080256.617492226</v>
      </c>
      <c r="I293" s="137">
        <v>1064888.1515712214</v>
      </c>
      <c r="J293" s="137">
        <v>196515.71680801985</v>
      </c>
      <c r="K293" s="137">
        <v>201956.29436430297</v>
      </c>
      <c r="L293" s="149">
        <f t="shared" si="44"/>
        <v>1276772.3343002459</v>
      </c>
      <c r="M293" s="138">
        <f t="shared" si="45"/>
        <v>1266844.4459355243</v>
      </c>
      <c r="N293" s="139">
        <f>INDEX('CHIRP Payment Calc'!AM:AM,MATCH(F:F,'CHIRP Payment Calc'!C:C,0))</f>
        <v>0.18</v>
      </c>
      <c r="O293" s="139">
        <f>INDEX('CHIRP Payment Calc'!AL:AL,MATCH(F:F,'CHIRP Payment Calc'!C:C,0))</f>
        <v>0</v>
      </c>
      <c r="P293" s="136">
        <f t="shared" si="46"/>
        <v>229819.02017404424</v>
      </c>
      <c r="Q293" s="149">
        <f t="shared" si="52"/>
        <v>11862.764977235585</v>
      </c>
      <c r="R293" s="149">
        <f t="shared" si="53"/>
        <v>2257.8401505602283</v>
      </c>
      <c r="S293" s="137">
        <f t="shared" si="54"/>
        <v>14120.605127795814</v>
      </c>
      <c r="T293" s="137">
        <f t="shared" si="47"/>
        <v>206308.95612583627</v>
      </c>
      <c r="U293" s="137">
        <f t="shared" si="48"/>
        <v>37630.669176003801</v>
      </c>
      <c r="V293" s="137">
        <f t="shared" si="49"/>
        <v>0</v>
      </c>
      <c r="W293" s="137">
        <f t="shared" si="50"/>
        <v>0</v>
      </c>
      <c r="X293" s="138">
        <f t="shared" si="51"/>
        <v>243939.62530184007</v>
      </c>
    </row>
    <row r="294" spans="4:24">
      <c r="D294" s="9" t="s">
        <v>227</v>
      </c>
      <c r="E294" s="9" t="s">
        <v>2295</v>
      </c>
      <c r="F294" s="4" t="s">
        <v>711</v>
      </c>
      <c r="G294" s="9" t="s">
        <v>2602</v>
      </c>
      <c r="H294" s="136">
        <v>124421.99807972193</v>
      </c>
      <c r="I294" s="137">
        <v>55.635604969629739</v>
      </c>
      <c r="J294" s="137">
        <v>39059.605708072602</v>
      </c>
      <c r="K294" s="137">
        <v>24345.369803059333</v>
      </c>
      <c r="L294" s="149">
        <f t="shared" si="44"/>
        <v>163481.60378779453</v>
      </c>
      <c r="M294" s="138">
        <f t="shared" si="45"/>
        <v>24401.005408028963</v>
      </c>
      <c r="N294" s="139">
        <f>INDEX('CHIRP Payment Calc'!AM:AM,MATCH(F:F,'CHIRP Payment Calc'!C:C,0))</f>
        <v>0.25</v>
      </c>
      <c r="O294" s="139">
        <f>INDEX('CHIRP Payment Calc'!AL:AL,MATCH(F:F,'CHIRP Payment Calc'!C:C,0))</f>
        <v>0</v>
      </c>
      <c r="P294" s="136">
        <f t="shared" si="46"/>
        <v>40870.400946948634</v>
      </c>
      <c r="Q294" s="149">
        <f t="shared" si="52"/>
        <v>1897.6829945846184</v>
      </c>
      <c r="R294" s="149">
        <f t="shared" si="53"/>
        <v>623.29158044796714</v>
      </c>
      <c r="S294" s="137">
        <f t="shared" si="54"/>
        <v>2520.9745750325856</v>
      </c>
      <c r="T294" s="137">
        <f t="shared" si="47"/>
        <v>33003.182514515102</v>
      </c>
      <c r="U294" s="137">
        <f t="shared" si="48"/>
        <v>10388.193007466118</v>
      </c>
      <c r="V294" s="137">
        <f t="shared" si="49"/>
        <v>0</v>
      </c>
      <c r="W294" s="137">
        <f t="shared" si="50"/>
        <v>0</v>
      </c>
      <c r="X294" s="138">
        <f t="shared" si="51"/>
        <v>43391.375521981216</v>
      </c>
    </row>
    <row r="295" spans="4:24">
      <c r="D295" s="9" t="s">
        <v>227</v>
      </c>
      <c r="E295" s="9" t="s">
        <v>2295</v>
      </c>
      <c r="F295" s="4" t="s">
        <v>351</v>
      </c>
      <c r="G295" s="9" t="s">
        <v>2607</v>
      </c>
      <c r="H295" s="136">
        <v>269233.35976019275</v>
      </c>
      <c r="I295" s="137">
        <v>41804.695548817639</v>
      </c>
      <c r="J295" s="137">
        <v>31632.814846066616</v>
      </c>
      <c r="K295" s="137">
        <v>18781.966957617762</v>
      </c>
      <c r="L295" s="149">
        <f t="shared" si="44"/>
        <v>300866.17460625939</v>
      </c>
      <c r="M295" s="138">
        <f t="shared" si="45"/>
        <v>60586.662506435401</v>
      </c>
      <c r="N295" s="139">
        <f>INDEX('CHIRP Payment Calc'!AM:AM,MATCH(F:F,'CHIRP Payment Calc'!C:C,0))</f>
        <v>0.31</v>
      </c>
      <c r="O295" s="139">
        <f>INDEX('CHIRP Payment Calc'!AL:AL,MATCH(F:F,'CHIRP Payment Calc'!C:C,0))</f>
        <v>0</v>
      </c>
      <c r="P295" s="136">
        <f t="shared" si="46"/>
        <v>93268.514127940405</v>
      </c>
      <c r="Q295" s="149">
        <f t="shared" si="52"/>
        <v>5091.8669896291094</v>
      </c>
      <c r="R295" s="149">
        <f t="shared" si="53"/>
        <v>625.92591078387147</v>
      </c>
      <c r="S295" s="137">
        <f t="shared" si="54"/>
        <v>5717.792900412981</v>
      </c>
      <c r="T295" s="137">
        <f t="shared" si="47"/>
        <v>88554.208515288861</v>
      </c>
      <c r="U295" s="137">
        <f t="shared" si="48"/>
        <v>10432.098513064524</v>
      </c>
      <c r="V295" s="137">
        <f t="shared" si="49"/>
        <v>0</v>
      </c>
      <c r="W295" s="137">
        <f t="shared" si="50"/>
        <v>0</v>
      </c>
      <c r="X295" s="138">
        <f t="shared" si="51"/>
        <v>98986.307028353389</v>
      </c>
    </row>
    <row r="296" spans="4:24">
      <c r="D296" s="9" t="s">
        <v>227</v>
      </c>
      <c r="E296" s="9" t="s">
        <v>2295</v>
      </c>
      <c r="F296" s="4" t="s">
        <v>657</v>
      </c>
      <c r="G296" s="9" t="s">
        <v>2816</v>
      </c>
      <c r="H296" s="136">
        <v>481922.68637300958</v>
      </c>
      <c r="I296" s="137">
        <v>276153.69549600559</v>
      </c>
      <c r="J296" s="137">
        <v>46483.502969990346</v>
      </c>
      <c r="K296" s="137">
        <v>10323.402397794929</v>
      </c>
      <c r="L296" s="149">
        <f t="shared" si="44"/>
        <v>528406.18934299995</v>
      </c>
      <c r="M296" s="138">
        <f t="shared" si="45"/>
        <v>286477.09789380053</v>
      </c>
      <c r="N296" s="139">
        <f>INDEX('CHIRP Payment Calc'!AM:AM,MATCH(F:F,'CHIRP Payment Calc'!C:C,0))</f>
        <v>0.18</v>
      </c>
      <c r="O296" s="139">
        <f>INDEX('CHIRP Payment Calc'!AL:AL,MATCH(F:F,'CHIRP Payment Calc'!C:C,0))</f>
        <v>0</v>
      </c>
      <c r="P296" s="136">
        <f t="shared" si="46"/>
        <v>95113.114081739986</v>
      </c>
      <c r="Q296" s="149">
        <f t="shared" si="52"/>
        <v>5292.2013835126254</v>
      </c>
      <c r="R296" s="149">
        <f t="shared" si="53"/>
        <v>534.06577880414443</v>
      </c>
      <c r="S296" s="137">
        <f t="shared" si="54"/>
        <v>5826.2671623167698</v>
      </c>
      <c r="T296" s="137">
        <f t="shared" si="47"/>
        <v>92038.28493065435</v>
      </c>
      <c r="U296" s="137">
        <f t="shared" si="48"/>
        <v>8901.0963134024059</v>
      </c>
      <c r="V296" s="137">
        <f t="shared" si="49"/>
        <v>0</v>
      </c>
      <c r="W296" s="137">
        <f t="shared" si="50"/>
        <v>0</v>
      </c>
      <c r="X296" s="138">
        <f t="shared" si="51"/>
        <v>100939.38124405676</v>
      </c>
    </row>
    <row r="297" spans="4:24">
      <c r="D297" s="9" t="s">
        <v>227</v>
      </c>
      <c r="E297" s="9" t="s">
        <v>2295</v>
      </c>
      <c r="F297" s="4" t="s">
        <v>820</v>
      </c>
      <c r="G297" s="9" t="s">
        <v>2609</v>
      </c>
      <c r="H297" s="136">
        <v>437468.28635485948</v>
      </c>
      <c r="I297" s="137">
        <v>62861.248956048803</v>
      </c>
      <c r="J297" s="137">
        <v>70323.189947772305</v>
      </c>
      <c r="K297" s="137">
        <v>51157.213542811121</v>
      </c>
      <c r="L297" s="149">
        <f t="shared" si="44"/>
        <v>507791.47630263178</v>
      </c>
      <c r="M297" s="138">
        <f t="shared" si="45"/>
        <v>114018.46249885992</v>
      </c>
      <c r="N297" s="139">
        <f>INDEX('CHIRP Payment Calc'!AM:AM,MATCH(F:F,'CHIRP Payment Calc'!C:C,0))</f>
        <v>0.18</v>
      </c>
      <c r="O297" s="139">
        <f>INDEX('CHIRP Payment Calc'!AL:AL,MATCH(F:F,'CHIRP Payment Calc'!C:C,0))</f>
        <v>0</v>
      </c>
      <c r="P297" s="136">
        <f t="shared" si="46"/>
        <v>91402.465734473721</v>
      </c>
      <c r="Q297" s="149">
        <f t="shared" si="52"/>
        <v>4804.0283965759108</v>
      </c>
      <c r="R297" s="149">
        <f t="shared" si="53"/>
        <v>807.96856535738391</v>
      </c>
      <c r="S297" s="137">
        <f t="shared" si="54"/>
        <v>5611.9969619332951</v>
      </c>
      <c r="T297" s="137">
        <f t="shared" si="47"/>
        <v>83548.319940450616</v>
      </c>
      <c r="U297" s="137">
        <f t="shared" si="48"/>
        <v>13466.142755956398</v>
      </c>
      <c r="V297" s="137">
        <f t="shared" si="49"/>
        <v>0</v>
      </c>
      <c r="W297" s="137">
        <f t="shared" si="50"/>
        <v>0</v>
      </c>
      <c r="X297" s="138">
        <f t="shared" si="51"/>
        <v>97014.462696407019</v>
      </c>
    </row>
    <row r="298" spans="4:24">
      <c r="D298" s="9" t="s">
        <v>227</v>
      </c>
      <c r="E298" s="9" t="s">
        <v>2295</v>
      </c>
      <c r="F298" s="4" t="s">
        <v>693</v>
      </c>
      <c r="G298" s="9" t="s">
        <v>2459</v>
      </c>
      <c r="H298" s="136">
        <v>730369.25926064991</v>
      </c>
      <c r="I298" s="137">
        <v>66731.552276800154</v>
      </c>
      <c r="J298" s="137">
        <v>267428.50000926194</v>
      </c>
      <c r="K298" s="137">
        <v>88393.152917283514</v>
      </c>
      <c r="L298" s="149">
        <f t="shared" si="44"/>
        <v>997797.7592699118</v>
      </c>
      <c r="M298" s="138">
        <f t="shared" si="45"/>
        <v>155124.70519408368</v>
      </c>
      <c r="N298" s="139">
        <f>INDEX('CHIRP Payment Calc'!AM:AM,MATCH(F:F,'CHIRP Payment Calc'!C:C,0))</f>
        <v>0.18</v>
      </c>
      <c r="O298" s="139">
        <f>INDEX('CHIRP Payment Calc'!AL:AL,MATCH(F:F,'CHIRP Payment Calc'!C:C,0))</f>
        <v>0</v>
      </c>
      <c r="P298" s="136">
        <f t="shared" si="46"/>
        <v>179603.59666858413</v>
      </c>
      <c r="Q298" s="149">
        <f t="shared" si="52"/>
        <v>8020.5006189365813</v>
      </c>
      <c r="R298" s="149">
        <f t="shared" si="53"/>
        <v>3072.5827660638611</v>
      </c>
      <c r="S298" s="137">
        <f t="shared" si="54"/>
        <v>11093.083385000442</v>
      </c>
      <c r="T298" s="137">
        <f t="shared" si="47"/>
        <v>139486.96728585358</v>
      </c>
      <c r="U298" s="137">
        <f t="shared" si="48"/>
        <v>51209.712767731013</v>
      </c>
      <c r="V298" s="137">
        <f t="shared" si="49"/>
        <v>0</v>
      </c>
      <c r="W298" s="137">
        <f t="shared" si="50"/>
        <v>0</v>
      </c>
      <c r="X298" s="138">
        <f t="shared" si="51"/>
        <v>190696.6800535846</v>
      </c>
    </row>
    <row r="299" spans="4:24">
      <c r="D299" s="9" t="s">
        <v>227</v>
      </c>
      <c r="E299" s="9" t="s">
        <v>2295</v>
      </c>
      <c r="F299" s="4" t="s">
        <v>896</v>
      </c>
      <c r="G299" s="9" t="s">
        <v>2472</v>
      </c>
      <c r="H299" s="136">
        <v>548972.82657868182</v>
      </c>
      <c r="I299" s="137">
        <v>935956.19510553987</v>
      </c>
      <c r="J299" s="137">
        <v>34543.380948773411</v>
      </c>
      <c r="K299" s="137">
        <v>122236.43009022684</v>
      </c>
      <c r="L299" s="149">
        <f t="shared" si="44"/>
        <v>583516.20752745518</v>
      </c>
      <c r="M299" s="138">
        <f t="shared" si="45"/>
        <v>1058192.6251957668</v>
      </c>
      <c r="N299" s="139">
        <f>INDEX('CHIRP Payment Calc'!AM:AM,MATCH(F:F,'CHIRP Payment Calc'!C:C,0))</f>
        <v>0.18</v>
      </c>
      <c r="O299" s="139">
        <f>INDEX('CHIRP Payment Calc'!AL:AL,MATCH(F:F,'CHIRP Payment Calc'!C:C,0))</f>
        <v>0</v>
      </c>
      <c r="P299" s="136">
        <f t="shared" si="46"/>
        <v>105032.91735494192</v>
      </c>
      <c r="Q299" s="149">
        <f t="shared" si="52"/>
        <v>6028.5079629595302</v>
      </c>
      <c r="R299" s="149">
        <f t="shared" si="53"/>
        <v>396.88139813484349</v>
      </c>
      <c r="S299" s="137">
        <f t="shared" si="54"/>
        <v>6425.3893610943742</v>
      </c>
      <c r="T299" s="137">
        <f t="shared" si="47"/>
        <v>104843.61674712226</v>
      </c>
      <c r="U299" s="137">
        <f t="shared" si="48"/>
        <v>6614.6899689140573</v>
      </c>
      <c r="V299" s="137">
        <f t="shared" si="49"/>
        <v>0</v>
      </c>
      <c r="W299" s="137">
        <f t="shared" si="50"/>
        <v>0</v>
      </c>
      <c r="X299" s="138">
        <f t="shared" si="51"/>
        <v>111458.30671603631</v>
      </c>
    </row>
    <row r="300" spans="4:24">
      <c r="D300" s="9" t="s">
        <v>227</v>
      </c>
      <c r="E300" s="9" t="s">
        <v>2295</v>
      </c>
      <c r="F300" s="4" t="s">
        <v>666</v>
      </c>
      <c r="G300" s="9" t="s">
        <v>2910</v>
      </c>
      <c r="H300" s="136">
        <v>455308.72439336975</v>
      </c>
      <c r="I300" s="137">
        <v>288247.1824024563</v>
      </c>
      <c r="J300" s="137">
        <v>124847.98294408072</v>
      </c>
      <c r="K300" s="137">
        <v>21007.484686968997</v>
      </c>
      <c r="L300" s="149">
        <f t="shared" si="44"/>
        <v>580156.70733745047</v>
      </c>
      <c r="M300" s="138">
        <f t="shared" si="45"/>
        <v>309254.66708942532</v>
      </c>
      <c r="N300" s="139">
        <f>INDEX('CHIRP Payment Calc'!AM:AM,MATCH(F:F,'CHIRP Payment Calc'!C:C,0))</f>
        <v>0.18</v>
      </c>
      <c r="O300" s="139">
        <f>INDEX('CHIRP Payment Calc'!AL:AL,MATCH(F:F,'CHIRP Payment Calc'!C:C,0))</f>
        <v>0</v>
      </c>
      <c r="P300" s="136">
        <f t="shared" si="46"/>
        <v>104428.20732074109</v>
      </c>
      <c r="Q300" s="149">
        <f t="shared" si="52"/>
        <v>4999.9419601818317</v>
      </c>
      <c r="R300" s="149">
        <f t="shared" si="53"/>
        <v>1434.4236338256082</v>
      </c>
      <c r="S300" s="137">
        <f t="shared" si="54"/>
        <v>6434.3655940074404</v>
      </c>
      <c r="T300" s="137">
        <f t="shared" si="47"/>
        <v>86955.512350988371</v>
      </c>
      <c r="U300" s="137">
        <f t="shared" si="48"/>
        <v>23907.060563760137</v>
      </c>
      <c r="V300" s="137">
        <f t="shared" si="49"/>
        <v>0</v>
      </c>
      <c r="W300" s="137">
        <f t="shared" si="50"/>
        <v>0</v>
      </c>
      <c r="X300" s="138">
        <f t="shared" si="51"/>
        <v>110862.57291474851</v>
      </c>
    </row>
    <row r="301" spans="4:24">
      <c r="D301" s="9" t="s">
        <v>227</v>
      </c>
      <c r="E301" s="9" t="s">
        <v>2295</v>
      </c>
      <c r="F301" s="4" t="s">
        <v>472</v>
      </c>
      <c r="G301" s="9" t="s">
        <v>2613</v>
      </c>
      <c r="H301" s="136">
        <v>2207891.9417842366</v>
      </c>
      <c r="I301" s="137">
        <v>6709886.7412063647</v>
      </c>
      <c r="J301" s="137">
        <v>602395.52755128802</v>
      </c>
      <c r="K301" s="137">
        <v>1204303.6650114313</v>
      </c>
      <c r="L301" s="149">
        <f t="shared" si="44"/>
        <v>2810287.4693355244</v>
      </c>
      <c r="M301" s="138">
        <f t="shared" si="45"/>
        <v>7914190.4062177958</v>
      </c>
      <c r="N301" s="139">
        <f>INDEX('CHIRP Payment Calc'!AM:AM,MATCH(F:F,'CHIRP Payment Calc'!C:C,0))</f>
        <v>0.63</v>
      </c>
      <c r="O301" s="139">
        <f>INDEX('CHIRP Payment Calc'!AL:AL,MATCH(F:F,'CHIRP Payment Calc'!C:C,0))</f>
        <v>0</v>
      </c>
      <c r="P301" s="136">
        <f t="shared" si="46"/>
        <v>1770481.1056813803</v>
      </c>
      <c r="Q301" s="149">
        <f t="shared" si="52"/>
        <v>84860.356064863634</v>
      </c>
      <c r="R301" s="149">
        <f t="shared" si="53"/>
        <v>24223.99036323265</v>
      </c>
      <c r="S301" s="137">
        <f t="shared" si="54"/>
        <v>109084.34642809628</v>
      </c>
      <c r="T301" s="137">
        <f t="shared" si="47"/>
        <v>1475832.2793889327</v>
      </c>
      <c r="U301" s="137">
        <f t="shared" si="48"/>
        <v>403733.1727205441</v>
      </c>
      <c r="V301" s="137">
        <f t="shared" si="49"/>
        <v>0</v>
      </c>
      <c r="W301" s="137">
        <f t="shared" si="50"/>
        <v>0</v>
      </c>
      <c r="X301" s="138">
        <f t="shared" si="51"/>
        <v>1879565.4521094768</v>
      </c>
    </row>
    <row r="302" spans="4:24">
      <c r="D302" s="9" t="s">
        <v>227</v>
      </c>
      <c r="E302" s="9" t="s">
        <v>2295</v>
      </c>
      <c r="F302" s="4" t="s">
        <v>315</v>
      </c>
      <c r="G302" s="9" t="s">
        <v>1637</v>
      </c>
      <c r="H302" s="136">
        <v>547779.49350626045</v>
      </c>
      <c r="I302" s="137">
        <v>878417.13151836186</v>
      </c>
      <c r="J302" s="137">
        <v>84061.272701640875</v>
      </c>
      <c r="K302" s="137">
        <v>42996.313195901828</v>
      </c>
      <c r="L302" s="149">
        <f t="shared" si="44"/>
        <v>631840.7662079013</v>
      </c>
      <c r="M302" s="138">
        <f t="shared" si="45"/>
        <v>921413.44471426366</v>
      </c>
      <c r="N302" s="139">
        <f>INDEX('CHIRP Payment Calc'!AM:AM,MATCH(F:F,'CHIRP Payment Calc'!C:C,0))</f>
        <v>0.61</v>
      </c>
      <c r="O302" s="139">
        <f>INDEX('CHIRP Payment Calc'!AL:AL,MATCH(F:F,'CHIRP Payment Calc'!C:C,0))</f>
        <v>0</v>
      </c>
      <c r="P302" s="136">
        <f t="shared" si="46"/>
        <v>385422.86738681979</v>
      </c>
      <c r="Q302" s="149">
        <f t="shared" si="52"/>
        <v>20385.533936055264</v>
      </c>
      <c r="R302" s="149">
        <f t="shared" si="53"/>
        <v>3273.0240222128255</v>
      </c>
      <c r="S302" s="137">
        <f t="shared" si="54"/>
        <v>23658.557958268091</v>
      </c>
      <c r="T302" s="137">
        <f t="shared" si="47"/>
        <v>354531.02497487416</v>
      </c>
      <c r="U302" s="137">
        <f t="shared" si="48"/>
        <v>54550.400370213756</v>
      </c>
      <c r="V302" s="137">
        <f t="shared" si="49"/>
        <v>0</v>
      </c>
      <c r="W302" s="137">
        <f t="shared" si="50"/>
        <v>0</v>
      </c>
      <c r="X302" s="138">
        <f t="shared" si="51"/>
        <v>409081.42534508789</v>
      </c>
    </row>
    <row r="303" spans="4:24">
      <c r="D303" s="9" t="s">
        <v>227</v>
      </c>
      <c r="E303" s="9" t="s">
        <v>2295</v>
      </c>
      <c r="F303" s="4" t="s">
        <v>669</v>
      </c>
      <c r="G303" s="9" t="s">
        <v>2804</v>
      </c>
      <c r="H303" s="136">
        <v>690650.95541590441</v>
      </c>
      <c r="I303" s="137">
        <v>381489.26787210809</v>
      </c>
      <c r="J303" s="137">
        <v>66490.612067407157</v>
      </c>
      <c r="K303" s="137">
        <v>3520.5549298846681</v>
      </c>
      <c r="L303" s="149">
        <f t="shared" si="44"/>
        <v>757141.56748331152</v>
      </c>
      <c r="M303" s="138">
        <f t="shared" si="45"/>
        <v>385009.82280199276</v>
      </c>
      <c r="N303" s="139">
        <f>INDEX('CHIRP Payment Calc'!AM:AM,MATCH(F:F,'CHIRP Payment Calc'!C:C,0))</f>
        <v>0.22</v>
      </c>
      <c r="O303" s="139">
        <f>INDEX('CHIRP Payment Calc'!AL:AL,MATCH(F:F,'CHIRP Payment Calc'!C:C,0))</f>
        <v>0</v>
      </c>
      <c r="P303" s="136">
        <f t="shared" si="46"/>
        <v>166571.14484632853</v>
      </c>
      <c r="Q303" s="149">
        <f t="shared" si="52"/>
        <v>9269.7449188447663</v>
      </c>
      <c r="R303" s="149">
        <f t="shared" si="53"/>
        <v>933.69795669124971</v>
      </c>
      <c r="S303" s="137">
        <f t="shared" si="54"/>
        <v>10203.442875536017</v>
      </c>
      <c r="T303" s="137">
        <f t="shared" si="47"/>
        <v>161212.95511034376</v>
      </c>
      <c r="U303" s="137">
        <f t="shared" si="48"/>
        <v>15561.632611520827</v>
      </c>
      <c r="V303" s="137">
        <f t="shared" si="49"/>
        <v>0</v>
      </c>
      <c r="W303" s="137">
        <f t="shared" si="50"/>
        <v>0</v>
      </c>
      <c r="X303" s="138">
        <f t="shared" si="51"/>
        <v>176774.58772186458</v>
      </c>
    </row>
    <row r="304" spans="4:24">
      <c r="D304" s="9" t="s">
        <v>227</v>
      </c>
      <c r="E304" s="9" t="s">
        <v>2295</v>
      </c>
      <c r="F304" s="4" t="s">
        <v>766</v>
      </c>
      <c r="G304" s="9" t="s">
        <v>2563</v>
      </c>
      <c r="H304" s="136">
        <v>568304.09301279893</v>
      </c>
      <c r="I304" s="137">
        <v>361031.92465944903</v>
      </c>
      <c r="J304" s="137">
        <v>60277.194237243086</v>
      </c>
      <c r="K304" s="137">
        <v>37990.614620724387</v>
      </c>
      <c r="L304" s="149">
        <f t="shared" si="44"/>
        <v>628581.28725004196</v>
      </c>
      <c r="M304" s="138">
        <f t="shared" si="45"/>
        <v>399022.53928017343</v>
      </c>
      <c r="N304" s="139">
        <f>INDEX('CHIRP Payment Calc'!AM:AM,MATCH(F:F,'CHIRP Payment Calc'!C:C,0))</f>
        <v>0.18</v>
      </c>
      <c r="O304" s="139">
        <f>INDEX('CHIRP Payment Calc'!AL:AL,MATCH(F:F,'CHIRP Payment Calc'!C:C,0))</f>
        <v>0</v>
      </c>
      <c r="P304" s="136">
        <f t="shared" si="46"/>
        <v>113144.63170500754</v>
      </c>
      <c r="Q304" s="149">
        <f t="shared" si="52"/>
        <v>6240.7929577532823</v>
      </c>
      <c r="R304" s="149">
        <f t="shared" si="53"/>
        <v>692.54648698109077</v>
      </c>
      <c r="S304" s="137">
        <f t="shared" si="54"/>
        <v>6933.3394447343726</v>
      </c>
      <c r="T304" s="137">
        <f t="shared" si="47"/>
        <v>108535.52970005709</v>
      </c>
      <c r="U304" s="137">
        <f t="shared" si="48"/>
        <v>11542.441449684846</v>
      </c>
      <c r="V304" s="137">
        <f t="shared" si="49"/>
        <v>0</v>
      </c>
      <c r="W304" s="137">
        <f t="shared" si="50"/>
        <v>0</v>
      </c>
      <c r="X304" s="138">
        <f t="shared" si="51"/>
        <v>120077.97114974193</v>
      </c>
    </row>
    <row r="305" spans="4:24">
      <c r="D305" s="9" t="s">
        <v>227</v>
      </c>
      <c r="E305" s="9" t="s">
        <v>2295</v>
      </c>
      <c r="F305" s="4" t="s">
        <v>845</v>
      </c>
      <c r="G305" s="9" t="s">
        <v>2882</v>
      </c>
      <c r="H305" s="136">
        <v>757251.62513608346</v>
      </c>
      <c r="I305" s="137">
        <v>1221011.476639434</v>
      </c>
      <c r="J305" s="137">
        <v>83498.234482359272</v>
      </c>
      <c r="K305" s="137">
        <v>17365.304471116386</v>
      </c>
      <c r="L305" s="149">
        <f t="shared" si="44"/>
        <v>840749.85961844272</v>
      </c>
      <c r="M305" s="138">
        <f t="shared" si="45"/>
        <v>1238376.7811105503</v>
      </c>
      <c r="N305" s="139">
        <f>INDEX('CHIRP Payment Calc'!AM:AM,MATCH(F:F,'CHIRP Payment Calc'!C:C,0))</f>
        <v>0.35</v>
      </c>
      <c r="O305" s="139">
        <f>INDEX('CHIRP Payment Calc'!AL:AL,MATCH(F:F,'CHIRP Payment Calc'!C:C,0))</f>
        <v>0</v>
      </c>
      <c r="P305" s="136">
        <f t="shared" si="46"/>
        <v>294262.45086645492</v>
      </c>
      <c r="Q305" s="149">
        <f t="shared" si="52"/>
        <v>16169.431252905761</v>
      </c>
      <c r="R305" s="149">
        <f t="shared" si="53"/>
        <v>1865.3860894995157</v>
      </c>
      <c r="S305" s="137">
        <f t="shared" si="54"/>
        <v>18034.817342405277</v>
      </c>
      <c r="T305" s="137">
        <f t="shared" si="47"/>
        <v>281207.50005053496</v>
      </c>
      <c r="U305" s="137">
        <f t="shared" si="48"/>
        <v>31089.76815832526</v>
      </c>
      <c r="V305" s="137">
        <f t="shared" si="49"/>
        <v>0</v>
      </c>
      <c r="W305" s="137">
        <f t="shared" si="50"/>
        <v>0</v>
      </c>
      <c r="X305" s="138">
        <f t="shared" si="51"/>
        <v>312297.26820886025</v>
      </c>
    </row>
    <row r="306" spans="4:24">
      <c r="D306" s="9" t="s">
        <v>227</v>
      </c>
      <c r="E306" s="9" t="s">
        <v>2295</v>
      </c>
      <c r="F306" s="4" t="s">
        <v>802</v>
      </c>
      <c r="G306" s="9" t="s">
        <v>2936</v>
      </c>
      <c r="H306" s="136">
        <v>123078.5526312419</v>
      </c>
      <c r="I306" s="137">
        <v>44486.005520974395</v>
      </c>
      <c r="J306" s="137">
        <v>28449.695315144323</v>
      </c>
      <c r="K306" s="137">
        <v>1324.9473683490119</v>
      </c>
      <c r="L306" s="149">
        <f t="shared" si="44"/>
        <v>151528.24794638623</v>
      </c>
      <c r="M306" s="138">
        <f t="shared" si="45"/>
        <v>45810.952889323409</v>
      </c>
      <c r="N306" s="139">
        <f>INDEX('CHIRP Payment Calc'!AM:AM,MATCH(F:F,'CHIRP Payment Calc'!C:C,0))</f>
        <v>0.39</v>
      </c>
      <c r="O306" s="139">
        <f>INDEX('CHIRP Payment Calc'!AL:AL,MATCH(F:F,'CHIRP Payment Calc'!C:C,0))</f>
        <v>0</v>
      </c>
      <c r="P306" s="136">
        <f t="shared" si="46"/>
        <v>59096.016699090629</v>
      </c>
      <c r="Q306" s="149">
        <f t="shared" si="52"/>
        <v>2928.4207350192041</v>
      </c>
      <c r="R306" s="149">
        <f t="shared" si="53"/>
        <v>708.21581954721</v>
      </c>
      <c r="S306" s="137">
        <f t="shared" si="54"/>
        <v>3636.6365545664139</v>
      </c>
      <c r="T306" s="137">
        <f t="shared" si="47"/>
        <v>50929.05626120355</v>
      </c>
      <c r="U306" s="137">
        <f t="shared" si="48"/>
        <v>11803.596992453498</v>
      </c>
      <c r="V306" s="137">
        <f t="shared" si="49"/>
        <v>0</v>
      </c>
      <c r="W306" s="137">
        <f t="shared" si="50"/>
        <v>0</v>
      </c>
      <c r="X306" s="138">
        <f t="shared" si="51"/>
        <v>62732.653253657045</v>
      </c>
    </row>
    <row r="307" spans="4:24">
      <c r="D307" s="9" t="s">
        <v>227</v>
      </c>
      <c r="E307" s="9" t="s">
        <v>2295</v>
      </c>
      <c r="F307" s="4" t="s">
        <v>360</v>
      </c>
      <c r="G307" s="9" t="s">
        <v>2703</v>
      </c>
      <c r="H307" s="136">
        <v>485875.64215827367</v>
      </c>
      <c r="I307" s="137">
        <v>998121.03325508919</v>
      </c>
      <c r="J307" s="137">
        <v>41857.860518844311</v>
      </c>
      <c r="K307" s="137">
        <v>46161.149098200643</v>
      </c>
      <c r="L307" s="149">
        <f t="shared" si="44"/>
        <v>527733.50267711794</v>
      </c>
      <c r="M307" s="138">
        <f t="shared" si="45"/>
        <v>1044282.1823532898</v>
      </c>
      <c r="N307" s="139">
        <f>INDEX('CHIRP Payment Calc'!AM:AM,MATCH(F:F,'CHIRP Payment Calc'!C:C,0))</f>
        <v>0.18</v>
      </c>
      <c r="O307" s="139">
        <f>INDEX('CHIRP Payment Calc'!AL:AL,MATCH(F:F,'CHIRP Payment Calc'!C:C,0))</f>
        <v>0</v>
      </c>
      <c r="P307" s="136">
        <f t="shared" si="46"/>
        <v>94992.030481881229</v>
      </c>
      <c r="Q307" s="149">
        <f t="shared" si="52"/>
        <v>5335.6105000935095</v>
      </c>
      <c r="R307" s="149">
        <f t="shared" si="53"/>
        <v>480.92009957821125</v>
      </c>
      <c r="S307" s="137">
        <f t="shared" si="54"/>
        <v>5816.5305996717207</v>
      </c>
      <c r="T307" s="137">
        <f t="shared" si="47"/>
        <v>92793.226088582771</v>
      </c>
      <c r="U307" s="137">
        <f t="shared" si="48"/>
        <v>8015.3349929701872</v>
      </c>
      <c r="V307" s="137">
        <f t="shared" si="49"/>
        <v>0</v>
      </c>
      <c r="W307" s="137">
        <f t="shared" si="50"/>
        <v>0</v>
      </c>
      <c r="X307" s="138">
        <f t="shared" si="51"/>
        <v>100808.56108155297</v>
      </c>
    </row>
    <row r="308" spans="4:24">
      <c r="D308" s="9" t="s">
        <v>227</v>
      </c>
      <c r="E308" s="9" t="s">
        <v>2295</v>
      </c>
      <c r="F308" s="4" t="s">
        <v>736</v>
      </c>
      <c r="G308" s="9" t="s">
        <v>2605</v>
      </c>
      <c r="H308" s="136">
        <v>322850.45102126291</v>
      </c>
      <c r="I308" s="137">
        <v>37182.230431928234</v>
      </c>
      <c r="J308" s="137">
        <v>109790.81504340503</v>
      </c>
      <c r="K308" s="137">
        <v>22587.314224236616</v>
      </c>
      <c r="L308" s="149">
        <f t="shared" si="44"/>
        <v>432641.26606466796</v>
      </c>
      <c r="M308" s="138">
        <f t="shared" si="45"/>
        <v>59769.54465616485</v>
      </c>
      <c r="N308" s="139">
        <f>INDEX('CHIRP Payment Calc'!AM:AM,MATCH(F:F,'CHIRP Payment Calc'!C:C,0))</f>
        <v>0.18</v>
      </c>
      <c r="O308" s="139">
        <f>INDEX('CHIRP Payment Calc'!AL:AL,MATCH(F:F,'CHIRP Payment Calc'!C:C,0))</f>
        <v>0</v>
      </c>
      <c r="P308" s="136">
        <f t="shared" si="46"/>
        <v>77875.427891640225</v>
      </c>
      <c r="Q308" s="149">
        <f t="shared" si="52"/>
        <v>3545.3603905252744</v>
      </c>
      <c r="R308" s="149">
        <f t="shared" si="53"/>
        <v>1261.4263856050793</v>
      </c>
      <c r="S308" s="137">
        <f t="shared" si="54"/>
        <v>4806.7867761303532</v>
      </c>
      <c r="T308" s="137">
        <f t="shared" si="47"/>
        <v>61658.441574352597</v>
      </c>
      <c r="U308" s="137">
        <f t="shared" si="48"/>
        <v>21023.773093417985</v>
      </c>
      <c r="V308" s="137">
        <f t="shared" si="49"/>
        <v>0</v>
      </c>
      <c r="W308" s="137">
        <f t="shared" si="50"/>
        <v>0</v>
      </c>
      <c r="X308" s="138">
        <f t="shared" si="51"/>
        <v>82682.214667770575</v>
      </c>
    </row>
    <row r="309" spans="4:24">
      <c r="D309" s="9" t="s">
        <v>227</v>
      </c>
      <c r="E309" s="9" t="s">
        <v>2295</v>
      </c>
      <c r="F309" s="4" t="s">
        <v>699</v>
      </c>
      <c r="G309" s="9" t="s">
        <v>2353</v>
      </c>
      <c r="H309" s="136">
        <v>166338.20448741296</v>
      </c>
      <c r="I309" s="137">
        <v>9852.8217520564467</v>
      </c>
      <c r="J309" s="137">
        <v>213867.38613071793</v>
      </c>
      <c r="K309" s="137">
        <v>20347.95086899502</v>
      </c>
      <c r="L309" s="149">
        <f t="shared" si="44"/>
        <v>380205.59061813087</v>
      </c>
      <c r="M309" s="138">
        <f t="shared" si="45"/>
        <v>30200.772621051467</v>
      </c>
      <c r="N309" s="139">
        <f>INDEX('CHIRP Payment Calc'!AM:AM,MATCH(F:F,'CHIRP Payment Calc'!C:C,0))</f>
        <v>0.18</v>
      </c>
      <c r="O309" s="139">
        <f>INDEX('CHIRP Payment Calc'!AL:AL,MATCH(F:F,'CHIRP Payment Calc'!C:C,0))</f>
        <v>0</v>
      </c>
      <c r="P309" s="136">
        <f t="shared" si="46"/>
        <v>68437.006311263554</v>
      </c>
      <c r="Q309" s="149">
        <f t="shared" si="52"/>
        <v>1826.6317415859141</v>
      </c>
      <c r="R309" s="149">
        <f t="shared" si="53"/>
        <v>2457.1997555444191</v>
      </c>
      <c r="S309" s="137">
        <f t="shared" si="54"/>
        <v>4283.8314971303334</v>
      </c>
      <c r="T309" s="137">
        <f t="shared" si="47"/>
        <v>31767.508549320246</v>
      </c>
      <c r="U309" s="137">
        <f t="shared" si="48"/>
        <v>40953.329259073646</v>
      </c>
      <c r="V309" s="137">
        <f t="shared" si="49"/>
        <v>0</v>
      </c>
      <c r="W309" s="137">
        <f t="shared" si="50"/>
        <v>0</v>
      </c>
      <c r="X309" s="138">
        <f t="shared" si="51"/>
        <v>72720.837808393888</v>
      </c>
    </row>
    <row r="310" spans="4:24">
      <c r="D310" s="9" t="s">
        <v>227</v>
      </c>
      <c r="E310" s="9" t="s">
        <v>2295</v>
      </c>
      <c r="F310" s="4" t="s">
        <v>156</v>
      </c>
      <c r="G310" s="9" t="s">
        <v>2815</v>
      </c>
      <c r="H310" s="136">
        <v>553282.41770751833</v>
      </c>
      <c r="I310" s="137">
        <v>66923.43072445046</v>
      </c>
      <c r="J310" s="137">
        <v>215508.7673881473</v>
      </c>
      <c r="K310" s="137">
        <v>69007.904638224296</v>
      </c>
      <c r="L310" s="149">
        <f t="shared" si="44"/>
        <v>768791.18509566563</v>
      </c>
      <c r="M310" s="138">
        <f t="shared" si="45"/>
        <v>135931.33536267476</v>
      </c>
      <c r="N310" s="139">
        <f>INDEX('CHIRP Payment Calc'!AM:AM,MATCH(F:F,'CHIRP Payment Calc'!C:C,0))</f>
        <v>0.36</v>
      </c>
      <c r="O310" s="139">
        <f>INDEX('CHIRP Payment Calc'!AL:AL,MATCH(F:F,'CHIRP Payment Calc'!C:C,0))</f>
        <v>0</v>
      </c>
      <c r="P310" s="136">
        <f t="shared" si="46"/>
        <v>276764.82663443964</v>
      </c>
      <c r="Q310" s="149">
        <f t="shared" si="52"/>
        <v>12151.666892886611</v>
      </c>
      <c r="R310" s="149">
        <f t="shared" si="53"/>
        <v>4952.1163570042372</v>
      </c>
      <c r="S310" s="137">
        <f t="shared" si="54"/>
        <v>17103.783249890846</v>
      </c>
      <c r="T310" s="137">
        <f t="shared" si="47"/>
        <v>211333.33726759322</v>
      </c>
      <c r="U310" s="137">
        <f t="shared" si="48"/>
        <v>82535.272616737275</v>
      </c>
      <c r="V310" s="137">
        <f t="shared" si="49"/>
        <v>0</v>
      </c>
      <c r="W310" s="137">
        <f t="shared" si="50"/>
        <v>0</v>
      </c>
      <c r="X310" s="138">
        <f t="shared" si="51"/>
        <v>293868.60988433048</v>
      </c>
    </row>
    <row r="311" spans="4:24">
      <c r="D311" s="9" t="s">
        <v>227</v>
      </c>
      <c r="E311" s="9" t="s">
        <v>2295</v>
      </c>
      <c r="F311" s="4" t="s">
        <v>1748</v>
      </c>
      <c r="G311" s="9" t="s">
        <v>2706</v>
      </c>
      <c r="H311" s="136">
        <v>0</v>
      </c>
      <c r="I311" s="137">
        <v>67079.869858231148</v>
      </c>
      <c r="J311" s="137">
        <v>2424.1290032266625</v>
      </c>
      <c r="K311" s="137">
        <v>6744.7574669655905</v>
      </c>
      <c r="L311" s="149">
        <f t="shared" si="44"/>
        <v>2424.1290032266625</v>
      </c>
      <c r="M311" s="138">
        <f t="shared" si="45"/>
        <v>73824.627325196736</v>
      </c>
      <c r="N311" s="139">
        <f>INDEX('CHIRP Payment Calc'!AM:AM,MATCH(F:F,'CHIRP Payment Calc'!C:C,0))</f>
        <v>2.79</v>
      </c>
      <c r="O311" s="139">
        <f>INDEX('CHIRP Payment Calc'!AL:AL,MATCH(F:F,'CHIRP Payment Calc'!C:C,0))</f>
        <v>0</v>
      </c>
      <c r="P311" s="136">
        <f t="shared" si="46"/>
        <v>6763.3199190023879</v>
      </c>
      <c r="Q311" s="149">
        <f t="shared" si="52"/>
        <v>0</v>
      </c>
      <c r="R311" s="149">
        <f t="shared" si="53"/>
        <v>431.70127142568441</v>
      </c>
      <c r="S311" s="137">
        <f t="shared" si="54"/>
        <v>431.70127142568441</v>
      </c>
      <c r="T311" s="137">
        <f t="shared" si="47"/>
        <v>0</v>
      </c>
      <c r="U311" s="137">
        <f t="shared" si="48"/>
        <v>7195.0211904280732</v>
      </c>
      <c r="V311" s="137">
        <f t="shared" si="49"/>
        <v>0</v>
      </c>
      <c r="W311" s="137">
        <f t="shared" si="50"/>
        <v>0</v>
      </c>
      <c r="X311" s="138">
        <f t="shared" si="51"/>
        <v>7195.0211904280732</v>
      </c>
    </row>
    <row r="312" spans="4:24">
      <c r="D312" s="9" t="s">
        <v>227</v>
      </c>
      <c r="E312" s="9" t="s">
        <v>2295</v>
      </c>
      <c r="F312" s="4" t="s">
        <v>957</v>
      </c>
      <c r="G312" s="9" t="s">
        <v>2933</v>
      </c>
      <c r="H312" s="136">
        <v>966218.74105576903</v>
      </c>
      <c r="I312" s="137">
        <v>1725597.6416882062</v>
      </c>
      <c r="J312" s="137">
        <v>273858.43309354386</v>
      </c>
      <c r="K312" s="137">
        <v>358697.65792326495</v>
      </c>
      <c r="L312" s="149">
        <f t="shared" si="44"/>
        <v>1240077.174149313</v>
      </c>
      <c r="M312" s="138">
        <f t="shared" si="45"/>
        <v>2084295.2996114711</v>
      </c>
      <c r="N312" s="139">
        <f>INDEX('CHIRP Payment Calc'!AM:AM,MATCH(F:F,'CHIRP Payment Calc'!C:C,0))</f>
        <v>0.27</v>
      </c>
      <c r="O312" s="139">
        <f>INDEX('CHIRP Payment Calc'!AL:AL,MATCH(F:F,'CHIRP Payment Calc'!C:C,0))</f>
        <v>0</v>
      </c>
      <c r="P312" s="136">
        <f t="shared" si="46"/>
        <v>334820.83702031453</v>
      </c>
      <c r="Q312" s="149">
        <f t="shared" si="52"/>
        <v>15915.698625878847</v>
      </c>
      <c r="R312" s="149">
        <f t="shared" si="53"/>
        <v>4719.6878894844804</v>
      </c>
      <c r="S312" s="137">
        <f t="shared" si="54"/>
        <v>20635.386515363327</v>
      </c>
      <c r="T312" s="137">
        <f t="shared" si="47"/>
        <v>276794.75871093647</v>
      </c>
      <c r="U312" s="137">
        <f t="shared" si="48"/>
        <v>78661.464824741328</v>
      </c>
      <c r="V312" s="137">
        <f t="shared" si="49"/>
        <v>0</v>
      </c>
      <c r="W312" s="137">
        <f t="shared" si="50"/>
        <v>0</v>
      </c>
      <c r="X312" s="138">
        <f t="shared" si="51"/>
        <v>355456.22353567777</v>
      </c>
    </row>
    <row r="313" spans="4:24">
      <c r="D313" s="9" t="s">
        <v>227</v>
      </c>
      <c r="E313" s="9" t="s">
        <v>2295</v>
      </c>
      <c r="F313" s="4" t="s">
        <v>733</v>
      </c>
      <c r="G313" s="9" t="s">
        <v>2393</v>
      </c>
      <c r="H313" s="136">
        <v>209393.99585710271</v>
      </c>
      <c r="I313" s="137">
        <v>16533.310980691112</v>
      </c>
      <c r="J313" s="137">
        <v>7084.0485676289154</v>
      </c>
      <c r="K313" s="137">
        <v>0</v>
      </c>
      <c r="L313" s="149">
        <f t="shared" si="44"/>
        <v>216478.04442473163</v>
      </c>
      <c r="M313" s="138">
        <f t="shared" si="45"/>
        <v>16533.310980691112</v>
      </c>
      <c r="N313" s="139">
        <f>INDEX('CHIRP Payment Calc'!AM:AM,MATCH(F:F,'CHIRP Payment Calc'!C:C,0))</f>
        <v>0.18</v>
      </c>
      <c r="O313" s="139">
        <f>INDEX('CHIRP Payment Calc'!AL:AL,MATCH(F:F,'CHIRP Payment Calc'!C:C,0))</f>
        <v>0</v>
      </c>
      <c r="P313" s="136">
        <f t="shared" si="46"/>
        <v>38966.047996451693</v>
      </c>
      <c r="Q313" s="149">
        <f t="shared" si="52"/>
        <v>2299.4460022504118</v>
      </c>
      <c r="R313" s="149">
        <f t="shared" si="53"/>
        <v>81.391196308927974</v>
      </c>
      <c r="S313" s="137">
        <f t="shared" si="54"/>
        <v>2380.8371985593399</v>
      </c>
      <c r="T313" s="137">
        <f t="shared" si="47"/>
        <v>39990.365256528901</v>
      </c>
      <c r="U313" s="137">
        <f t="shared" si="48"/>
        <v>1356.5199384821328</v>
      </c>
      <c r="V313" s="137">
        <f t="shared" si="49"/>
        <v>0</v>
      </c>
      <c r="W313" s="137">
        <f t="shared" si="50"/>
        <v>0</v>
      </c>
      <c r="X313" s="138">
        <f t="shared" si="51"/>
        <v>41346.885195011033</v>
      </c>
    </row>
    <row r="314" spans="4:24">
      <c r="D314" s="9" t="s">
        <v>227</v>
      </c>
      <c r="E314" s="9" t="s">
        <v>2964</v>
      </c>
      <c r="F314" s="4" t="s">
        <v>2312</v>
      </c>
      <c r="G314" s="9" t="s">
        <v>2893</v>
      </c>
      <c r="H314" s="136">
        <v>0</v>
      </c>
      <c r="I314" s="137">
        <v>852719.74689410441</v>
      </c>
      <c r="J314" s="137">
        <v>0</v>
      </c>
      <c r="K314" s="137">
        <v>0</v>
      </c>
      <c r="L314" s="149">
        <f t="shared" si="44"/>
        <v>0</v>
      </c>
      <c r="M314" s="138">
        <f t="shared" si="45"/>
        <v>852719.74689410441</v>
      </c>
      <c r="N314" s="139">
        <f>INDEX('CHIRP Payment Calc'!AM:AM,MATCH(F:F,'CHIRP Payment Calc'!C:C,0))</f>
        <v>0</v>
      </c>
      <c r="O314" s="139">
        <f>INDEX('CHIRP Payment Calc'!AL:AL,MATCH(F:F,'CHIRP Payment Calc'!C:C,0))</f>
        <v>0.4</v>
      </c>
      <c r="P314" s="136">
        <f t="shared" si="46"/>
        <v>341087.89875764179</v>
      </c>
      <c r="Q314" s="149">
        <f t="shared" si="52"/>
        <v>20809.07605152722</v>
      </c>
      <c r="R314" s="149">
        <f t="shared" si="53"/>
        <v>0</v>
      </c>
      <c r="S314" s="137">
        <f t="shared" si="54"/>
        <v>20809.07605152722</v>
      </c>
      <c r="T314" s="137">
        <f t="shared" si="47"/>
        <v>0</v>
      </c>
      <c r="U314" s="137">
        <f t="shared" si="48"/>
        <v>0</v>
      </c>
      <c r="V314" s="137">
        <f t="shared" si="49"/>
        <v>361896.97480916901</v>
      </c>
      <c r="W314" s="137">
        <f t="shared" si="50"/>
        <v>0</v>
      </c>
      <c r="X314" s="138">
        <f t="shared" si="51"/>
        <v>361896.97480916901</v>
      </c>
    </row>
    <row r="315" spans="4:24">
      <c r="D315" s="9" t="s">
        <v>227</v>
      </c>
      <c r="E315" s="9" t="s">
        <v>2964</v>
      </c>
      <c r="F315" s="4" t="s">
        <v>2325</v>
      </c>
      <c r="G315" s="9" t="s">
        <v>2891</v>
      </c>
      <c r="H315" s="136">
        <v>0</v>
      </c>
      <c r="I315" s="137">
        <v>0</v>
      </c>
      <c r="J315" s="137">
        <v>0</v>
      </c>
      <c r="K315" s="137">
        <v>0</v>
      </c>
      <c r="L315" s="149">
        <f t="shared" si="44"/>
        <v>0</v>
      </c>
      <c r="M315" s="138">
        <f t="shared" si="45"/>
        <v>0</v>
      </c>
      <c r="N315" s="139">
        <f>INDEX('CHIRP Payment Calc'!AM:AM,MATCH(F:F,'CHIRP Payment Calc'!C:C,0))</f>
        <v>0</v>
      </c>
      <c r="O315" s="139">
        <f>INDEX('CHIRP Payment Calc'!AL:AL,MATCH(F:F,'CHIRP Payment Calc'!C:C,0))</f>
        <v>0.4</v>
      </c>
      <c r="P315" s="136">
        <f t="shared" si="46"/>
        <v>0</v>
      </c>
      <c r="Q315" s="149">
        <f t="shared" si="52"/>
        <v>0</v>
      </c>
      <c r="R315" s="149">
        <f t="shared" si="53"/>
        <v>0</v>
      </c>
      <c r="S315" s="137">
        <f t="shared" si="54"/>
        <v>0</v>
      </c>
      <c r="T315" s="137">
        <f t="shared" si="47"/>
        <v>0</v>
      </c>
      <c r="U315" s="137">
        <f t="shared" si="48"/>
        <v>0</v>
      </c>
      <c r="V315" s="137">
        <f t="shared" si="49"/>
        <v>0</v>
      </c>
      <c r="W315" s="137">
        <f t="shared" si="50"/>
        <v>0</v>
      </c>
      <c r="X315" s="138">
        <f t="shared" si="51"/>
        <v>0</v>
      </c>
    </row>
    <row r="316" spans="4:24">
      <c r="D316" s="9" t="s">
        <v>227</v>
      </c>
      <c r="E316" s="9" t="s">
        <v>2964</v>
      </c>
      <c r="F316" s="4" t="s">
        <v>2310</v>
      </c>
      <c r="G316" s="9" t="s">
        <v>2892</v>
      </c>
      <c r="H316" s="136">
        <v>0</v>
      </c>
      <c r="I316" s="137">
        <v>231267.2860146825</v>
      </c>
      <c r="J316" s="137">
        <v>0</v>
      </c>
      <c r="K316" s="137">
        <v>0</v>
      </c>
      <c r="L316" s="149">
        <f t="shared" si="44"/>
        <v>0</v>
      </c>
      <c r="M316" s="138">
        <f t="shared" si="45"/>
        <v>231267.2860146825</v>
      </c>
      <c r="N316" s="139">
        <f>INDEX('CHIRP Payment Calc'!AM:AM,MATCH(F:F,'CHIRP Payment Calc'!C:C,0))</f>
        <v>0</v>
      </c>
      <c r="O316" s="139">
        <f>INDEX('CHIRP Payment Calc'!AL:AL,MATCH(F:F,'CHIRP Payment Calc'!C:C,0))</f>
        <v>0.4</v>
      </c>
      <c r="P316" s="136">
        <f t="shared" si="46"/>
        <v>92506.914405873002</v>
      </c>
      <c r="Q316" s="149">
        <f t="shared" si="52"/>
        <v>5643.6579080506081</v>
      </c>
      <c r="R316" s="149">
        <f t="shared" si="53"/>
        <v>0</v>
      </c>
      <c r="S316" s="137">
        <f t="shared" si="54"/>
        <v>5643.6579080506081</v>
      </c>
      <c r="T316" s="137">
        <f t="shared" si="47"/>
        <v>0</v>
      </c>
      <c r="U316" s="137">
        <f t="shared" si="48"/>
        <v>0</v>
      </c>
      <c r="V316" s="137">
        <f t="shared" si="49"/>
        <v>98150.572313923622</v>
      </c>
      <c r="W316" s="137">
        <f t="shared" si="50"/>
        <v>0</v>
      </c>
      <c r="X316" s="138">
        <f t="shared" si="51"/>
        <v>98150.572313923622</v>
      </c>
    </row>
    <row r="317" spans="4:24">
      <c r="D317" s="9" t="s">
        <v>227</v>
      </c>
      <c r="E317" s="9" t="s">
        <v>2964</v>
      </c>
      <c r="F317" s="4" t="s">
        <v>2308</v>
      </c>
      <c r="G317" s="9" t="s">
        <v>2701</v>
      </c>
      <c r="H317" s="136">
        <v>0</v>
      </c>
      <c r="I317" s="137">
        <v>0</v>
      </c>
      <c r="J317" s="137">
        <v>0</v>
      </c>
      <c r="K317" s="137">
        <v>0</v>
      </c>
      <c r="L317" s="149">
        <f t="shared" si="44"/>
        <v>0</v>
      </c>
      <c r="M317" s="138">
        <f t="shared" si="45"/>
        <v>0</v>
      </c>
      <c r="N317" s="139">
        <f>INDEX('CHIRP Payment Calc'!AM:AM,MATCH(F:F,'CHIRP Payment Calc'!C:C,0))</f>
        <v>0</v>
      </c>
      <c r="O317" s="139">
        <f>INDEX('CHIRP Payment Calc'!AL:AL,MATCH(F:F,'CHIRP Payment Calc'!C:C,0))</f>
        <v>0.4</v>
      </c>
      <c r="P317" s="136">
        <f t="shared" si="46"/>
        <v>0</v>
      </c>
      <c r="Q317" s="149">
        <f t="shared" si="52"/>
        <v>0</v>
      </c>
      <c r="R317" s="149">
        <f t="shared" si="53"/>
        <v>0</v>
      </c>
      <c r="S317" s="137">
        <f t="shared" si="54"/>
        <v>0</v>
      </c>
      <c r="T317" s="137">
        <f t="shared" si="47"/>
        <v>0</v>
      </c>
      <c r="U317" s="137">
        <f t="shared" si="48"/>
        <v>0</v>
      </c>
      <c r="V317" s="137">
        <f t="shared" si="49"/>
        <v>0</v>
      </c>
      <c r="W317" s="137">
        <f t="shared" si="50"/>
        <v>0</v>
      </c>
      <c r="X317" s="138">
        <f t="shared" si="51"/>
        <v>0</v>
      </c>
    </row>
    <row r="318" spans="4:24">
      <c r="D318" s="9" t="s">
        <v>227</v>
      </c>
      <c r="E318" s="9" t="s">
        <v>2283</v>
      </c>
      <c r="F318" s="4" t="s">
        <v>463</v>
      </c>
      <c r="G318" s="9" t="s">
        <v>2394</v>
      </c>
      <c r="H318" s="136">
        <v>3680360.0705551622</v>
      </c>
      <c r="I318" s="137">
        <v>6460917.2921955828</v>
      </c>
      <c r="J318" s="137">
        <v>1596652.1508568001</v>
      </c>
      <c r="K318" s="137">
        <v>5880864.6504676156</v>
      </c>
      <c r="L318" s="149">
        <f t="shared" si="44"/>
        <v>5277012.2214119621</v>
      </c>
      <c r="M318" s="138">
        <f t="shared" si="45"/>
        <v>12341781.942663198</v>
      </c>
      <c r="N318" s="139">
        <f>INDEX('CHIRP Payment Calc'!AM:AM,MATCH(F:F,'CHIRP Payment Calc'!C:C,0))</f>
        <v>2.2999999999999998</v>
      </c>
      <c r="O318" s="139">
        <f>INDEX('CHIRP Payment Calc'!AL:AL,MATCH(F:F,'CHIRP Payment Calc'!C:C,0))</f>
        <v>1.62</v>
      </c>
      <c r="P318" s="136">
        <f t="shared" si="46"/>
        <v>32130814.856361896</v>
      </c>
      <c r="Q318" s="149">
        <f t="shared" si="52"/>
        <v>1154973.0133675744</v>
      </c>
      <c r="R318" s="149">
        <f t="shared" si="53"/>
        <v>842508.5540890327</v>
      </c>
      <c r="S318" s="137">
        <f t="shared" si="54"/>
        <v>1997481.5674566072</v>
      </c>
      <c r="T318" s="137">
        <f t="shared" si="47"/>
        <v>8981250.0395510569</v>
      </c>
      <c r="U318" s="137">
        <f t="shared" si="48"/>
        <v>3906702.0712453621</v>
      </c>
      <c r="V318" s="137">
        <f t="shared" si="49"/>
        <v>11105237.149450233</v>
      </c>
      <c r="W318" s="137">
        <f t="shared" si="50"/>
        <v>10135107.163571849</v>
      </c>
      <c r="X318" s="138">
        <f t="shared" si="51"/>
        <v>34128296.423818499</v>
      </c>
    </row>
    <row r="319" spans="4:24">
      <c r="D319" s="9" t="s">
        <v>227</v>
      </c>
      <c r="E319" s="9" t="s">
        <v>2283</v>
      </c>
      <c r="F319" s="4" t="s">
        <v>890</v>
      </c>
      <c r="G319" s="9" t="s">
        <v>2945</v>
      </c>
      <c r="H319" s="136">
        <v>4073275.9015621059</v>
      </c>
      <c r="I319" s="137">
        <v>4929204.9889557147</v>
      </c>
      <c r="J319" s="137">
        <v>711876.29851005552</v>
      </c>
      <c r="K319" s="137">
        <v>1695418.1523581494</v>
      </c>
      <c r="L319" s="149">
        <f t="shared" si="44"/>
        <v>4785152.2000721619</v>
      </c>
      <c r="M319" s="138">
        <f t="shared" si="45"/>
        <v>6624623.1413138639</v>
      </c>
      <c r="N319" s="139">
        <f>INDEX('CHIRP Payment Calc'!AM:AM,MATCH(F:F,'CHIRP Payment Calc'!C:C,0))</f>
        <v>1</v>
      </c>
      <c r="O319" s="139">
        <f>INDEX('CHIRP Payment Calc'!AL:AL,MATCH(F:F,'CHIRP Payment Calc'!C:C,0))</f>
        <v>0.33</v>
      </c>
      <c r="P319" s="136">
        <f t="shared" si="46"/>
        <v>6971277.8367057368</v>
      </c>
      <c r="Q319" s="149">
        <f t="shared" si="52"/>
        <v>347740.0838252051</v>
      </c>
      <c r="R319" s="149">
        <f t="shared" si="53"/>
        <v>81150.912050313505</v>
      </c>
      <c r="S319" s="137">
        <f t="shared" si="54"/>
        <v>428890.99587551859</v>
      </c>
      <c r="T319" s="137">
        <f t="shared" si="47"/>
        <v>4321778.1448934814</v>
      </c>
      <c r="U319" s="137">
        <f t="shared" si="48"/>
        <v>757315.21118091012</v>
      </c>
      <c r="V319" s="137">
        <f t="shared" si="49"/>
        <v>1725875.4868492158</v>
      </c>
      <c r="W319" s="137">
        <f t="shared" si="50"/>
        <v>595199.98965764826</v>
      </c>
      <c r="X319" s="138">
        <f t="shared" si="51"/>
        <v>7400168.8325812556</v>
      </c>
    </row>
    <row r="320" spans="4:24">
      <c r="D320" s="9" t="s">
        <v>227</v>
      </c>
      <c r="E320" s="9" t="s">
        <v>2283</v>
      </c>
      <c r="F320" s="4" t="s">
        <v>2966</v>
      </c>
      <c r="G320" s="9" t="s">
        <v>2885</v>
      </c>
      <c r="H320" s="136">
        <v>0</v>
      </c>
      <c r="I320" s="137">
        <v>0</v>
      </c>
      <c r="J320" s="137">
        <v>0</v>
      </c>
      <c r="K320" s="137">
        <v>0</v>
      </c>
      <c r="L320" s="149">
        <f t="shared" si="44"/>
        <v>0</v>
      </c>
      <c r="M320" s="138">
        <f t="shared" si="45"/>
        <v>0</v>
      </c>
      <c r="N320" s="139">
        <f>INDEX('CHIRP Payment Calc'!AM:AM,MATCH(F:F,'CHIRP Payment Calc'!C:C,0))</f>
        <v>0.85</v>
      </c>
      <c r="O320" s="139">
        <f>INDEX('CHIRP Payment Calc'!AL:AL,MATCH(F:F,'CHIRP Payment Calc'!C:C,0))</f>
        <v>0.33</v>
      </c>
      <c r="P320" s="136">
        <f t="shared" si="46"/>
        <v>0</v>
      </c>
      <c r="Q320" s="149">
        <f t="shared" si="52"/>
        <v>0</v>
      </c>
      <c r="R320" s="149">
        <f t="shared" si="53"/>
        <v>0</v>
      </c>
      <c r="S320" s="137">
        <f t="shared" si="54"/>
        <v>0</v>
      </c>
      <c r="T320" s="137">
        <f t="shared" si="47"/>
        <v>0</v>
      </c>
      <c r="U320" s="137">
        <f t="shared" si="48"/>
        <v>0</v>
      </c>
      <c r="V320" s="137">
        <f t="shared" si="49"/>
        <v>0</v>
      </c>
      <c r="W320" s="137">
        <f t="shared" si="50"/>
        <v>0</v>
      </c>
      <c r="X320" s="138">
        <f t="shared" si="51"/>
        <v>0</v>
      </c>
    </row>
    <row r="321" spans="4:24">
      <c r="D321" s="9" t="s">
        <v>227</v>
      </c>
      <c r="E321" s="9" t="s">
        <v>2283</v>
      </c>
      <c r="F321" s="4" t="s">
        <v>748</v>
      </c>
      <c r="G321" s="9" t="s">
        <v>2347</v>
      </c>
      <c r="H321" s="136">
        <v>5529161.1848886488</v>
      </c>
      <c r="I321" s="137">
        <v>9041025.7474681642</v>
      </c>
      <c r="J321" s="137">
        <v>3054095.5659777224</v>
      </c>
      <c r="K321" s="137">
        <v>4759151.3814610681</v>
      </c>
      <c r="L321" s="149">
        <f t="shared" si="44"/>
        <v>8583256.7508663721</v>
      </c>
      <c r="M321" s="138">
        <f t="shared" si="45"/>
        <v>13800177.128929231</v>
      </c>
      <c r="N321" s="139">
        <f>INDEX('CHIRP Payment Calc'!AM:AM,MATCH(F:F,'CHIRP Payment Calc'!C:C,0))</f>
        <v>0.85</v>
      </c>
      <c r="O321" s="139">
        <f>INDEX('CHIRP Payment Calc'!AL:AL,MATCH(F:F,'CHIRP Payment Calc'!C:C,0))</f>
        <v>1.28</v>
      </c>
      <c r="P321" s="136">
        <f t="shared" si="46"/>
        <v>24959994.963265833</v>
      </c>
      <c r="Q321" s="149">
        <f t="shared" si="52"/>
        <v>992739.78559691214</v>
      </c>
      <c r="R321" s="149">
        <f t="shared" si="53"/>
        <v>554533.72336284467</v>
      </c>
      <c r="S321" s="137">
        <f t="shared" si="54"/>
        <v>1547273.5089597567</v>
      </c>
      <c r="T321" s="137">
        <f t="shared" si="47"/>
        <v>4986511.4134274293</v>
      </c>
      <c r="U321" s="137">
        <f t="shared" si="48"/>
        <v>2761682.1607245365</v>
      </c>
      <c r="V321" s="137">
        <f t="shared" si="49"/>
        <v>12278528.336084085</v>
      </c>
      <c r="W321" s="137">
        <f t="shared" si="50"/>
        <v>6480546.5619895402</v>
      </c>
      <c r="X321" s="138">
        <f t="shared" si="51"/>
        <v>26507268.472225592</v>
      </c>
    </row>
    <row r="322" spans="4:24">
      <c r="D322" s="9" t="s">
        <v>227</v>
      </c>
      <c r="E322" s="9" t="s">
        <v>2283</v>
      </c>
      <c r="F322" s="4" t="s">
        <v>1432</v>
      </c>
      <c r="G322" s="9" t="s">
        <v>2645</v>
      </c>
      <c r="H322" s="136">
        <v>0</v>
      </c>
      <c r="I322" s="137">
        <v>158598.38178064051</v>
      </c>
      <c r="J322" s="137">
        <v>0</v>
      </c>
      <c r="K322" s="137">
        <v>619786.52604304475</v>
      </c>
      <c r="L322" s="149">
        <f t="shared" si="44"/>
        <v>0</v>
      </c>
      <c r="M322" s="138">
        <f t="shared" si="45"/>
        <v>778384.90782368532</v>
      </c>
      <c r="N322" s="139">
        <f>INDEX('CHIRP Payment Calc'!AM:AM,MATCH(F:F,'CHIRP Payment Calc'!C:C,0))</f>
        <v>0.85</v>
      </c>
      <c r="O322" s="139">
        <f>INDEX('CHIRP Payment Calc'!AL:AL,MATCH(F:F,'CHIRP Payment Calc'!C:C,0))</f>
        <v>0.33</v>
      </c>
      <c r="P322" s="136">
        <f t="shared" si="46"/>
        <v>256867.01958181616</v>
      </c>
      <c r="Q322" s="149">
        <f t="shared" si="52"/>
        <v>3193.0019037534794</v>
      </c>
      <c r="R322" s="149">
        <f t="shared" si="53"/>
        <v>13055.077888991795</v>
      </c>
      <c r="S322" s="137">
        <f t="shared" si="54"/>
        <v>16248.079792745273</v>
      </c>
      <c r="T322" s="137">
        <f t="shared" si="47"/>
        <v>0</v>
      </c>
      <c r="U322" s="137">
        <f t="shared" si="48"/>
        <v>0</v>
      </c>
      <c r="V322" s="137">
        <f t="shared" si="49"/>
        <v>55530.467891364853</v>
      </c>
      <c r="W322" s="137">
        <f t="shared" si="50"/>
        <v>217584.63148319657</v>
      </c>
      <c r="X322" s="138">
        <f t="shared" si="51"/>
        <v>273115.09937456145</v>
      </c>
    </row>
    <row r="323" spans="4:24">
      <c r="D323" s="9" t="s">
        <v>227</v>
      </c>
      <c r="E323" s="9" t="s">
        <v>2283</v>
      </c>
      <c r="F323" s="4" t="s">
        <v>1393</v>
      </c>
      <c r="G323" s="9" t="s">
        <v>2688</v>
      </c>
      <c r="H323" s="136">
        <v>0</v>
      </c>
      <c r="I323" s="137">
        <v>0</v>
      </c>
      <c r="J323" s="137">
        <v>0</v>
      </c>
      <c r="K323" s="137">
        <v>0</v>
      </c>
      <c r="L323" s="149">
        <f t="shared" si="44"/>
        <v>0</v>
      </c>
      <c r="M323" s="138">
        <f t="shared" si="45"/>
        <v>0</v>
      </c>
      <c r="N323" s="139">
        <f>INDEX('CHIRP Payment Calc'!AM:AM,MATCH(F:F,'CHIRP Payment Calc'!C:C,0))</f>
        <v>0.85</v>
      </c>
      <c r="O323" s="139">
        <f>INDEX('CHIRP Payment Calc'!AL:AL,MATCH(F:F,'CHIRP Payment Calc'!C:C,0))</f>
        <v>0.33</v>
      </c>
      <c r="P323" s="136">
        <f t="shared" si="46"/>
        <v>0</v>
      </c>
      <c r="Q323" s="149">
        <f t="shared" si="52"/>
        <v>0</v>
      </c>
      <c r="R323" s="149">
        <f t="shared" si="53"/>
        <v>0</v>
      </c>
      <c r="S323" s="137">
        <f t="shared" si="54"/>
        <v>0</v>
      </c>
      <c r="T323" s="137">
        <f t="shared" si="47"/>
        <v>0</v>
      </c>
      <c r="U323" s="137">
        <f t="shared" si="48"/>
        <v>0</v>
      </c>
      <c r="V323" s="137">
        <f t="shared" si="49"/>
        <v>0</v>
      </c>
      <c r="W323" s="137">
        <f t="shared" si="50"/>
        <v>0</v>
      </c>
      <c r="X323" s="138">
        <f t="shared" si="51"/>
        <v>0</v>
      </c>
    </row>
    <row r="324" spans="4:24">
      <c r="D324" s="9" t="s">
        <v>227</v>
      </c>
      <c r="E324" s="9" t="s">
        <v>2283</v>
      </c>
      <c r="F324" s="4" t="s">
        <v>1163</v>
      </c>
      <c r="G324" s="9" t="s">
        <v>2674</v>
      </c>
      <c r="H324" s="136">
        <v>3378491.3307232368</v>
      </c>
      <c r="I324" s="137">
        <v>8161079.8265733346</v>
      </c>
      <c r="J324" s="137">
        <v>1251609.0297692297</v>
      </c>
      <c r="K324" s="137">
        <v>2805143.8483931669</v>
      </c>
      <c r="L324" s="149">
        <f t="shared" ref="L324:L387" si="55">H324+J324</f>
        <v>4630100.360492466</v>
      </c>
      <c r="M324" s="138">
        <f t="shared" ref="M324:M387" si="56">I324+K324</f>
        <v>10966223.674966501</v>
      </c>
      <c r="N324" s="139">
        <f>INDEX('CHIRP Payment Calc'!AM:AM,MATCH(F:F,'CHIRP Payment Calc'!C:C,0))</f>
        <v>0.85</v>
      </c>
      <c r="O324" s="139">
        <f>INDEX('CHIRP Payment Calc'!AL:AL,MATCH(F:F,'CHIRP Payment Calc'!C:C,0))</f>
        <v>0.63</v>
      </c>
      <c r="P324" s="136">
        <f t="shared" ref="P324:P387" si="57">(L324*N324)+(M324*O324)</f>
        <v>10844306.221647492</v>
      </c>
      <c r="Q324" s="149">
        <f t="shared" si="52"/>
        <v>488868.83873391751</v>
      </c>
      <c r="R324" s="149">
        <f t="shared" si="53"/>
        <v>180709.04041222602</v>
      </c>
      <c r="S324" s="137">
        <f t="shared" si="54"/>
        <v>669577.87914614356</v>
      </c>
      <c r="T324" s="137">
        <f t="shared" ref="T324:T387" si="58">H324/(1-$B$10)*N324</f>
        <v>3046915.2584771896</v>
      </c>
      <c r="U324" s="137">
        <f t="shared" ref="U324:U387" si="59">J324/(1-$B$11)*N324</f>
        <v>1131774.1226636651</v>
      </c>
      <c r="V324" s="137">
        <f t="shared" ref="V324:V387" si="60">I324/(1-$B$10)*O324</f>
        <v>5455151.5021126801</v>
      </c>
      <c r="W324" s="137">
        <f t="shared" ref="W324:W387" si="61">K324/(1-$B$11)*O324</f>
        <v>1880043.2175401014</v>
      </c>
      <c r="X324" s="138">
        <f t="shared" ref="X324:X387" si="62">SUM(T324:W324)</f>
        <v>11513884.100793637</v>
      </c>
    </row>
    <row r="325" spans="4:24">
      <c r="D325" s="9" t="s">
        <v>227</v>
      </c>
      <c r="E325" s="9" t="s">
        <v>2283</v>
      </c>
      <c r="F325" s="4" t="s">
        <v>945</v>
      </c>
      <c r="G325" s="9" t="s">
        <v>2903</v>
      </c>
      <c r="H325" s="136">
        <v>1743117.1701045525</v>
      </c>
      <c r="I325" s="137">
        <v>9638903.7433832251</v>
      </c>
      <c r="J325" s="137">
        <v>240522.97666523181</v>
      </c>
      <c r="K325" s="137">
        <v>592923.15404078015</v>
      </c>
      <c r="L325" s="149">
        <f t="shared" si="55"/>
        <v>1983640.1467697844</v>
      </c>
      <c r="M325" s="138">
        <f t="shared" si="56"/>
        <v>10231826.897424005</v>
      </c>
      <c r="N325" s="139">
        <f>INDEX('CHIRP Payment Calc'!AM:AM,MATCH(F:F,'CHIRP Payment Calc'!C:C,0))</f>
        <v>1.46</v>
      </c>
      <c r="O325" s="139">
        <f>INDEX('CHIRP Payment Calc'!AL:AL,MATCH(F:F,'CHIRP Payment Calc'!C:C,0))</f>
        <v>1.61</v>
      </c>
      <c r="P325" s="136">
        <f t="shared" si="57"/>
        <v>19369355.919136535</v>
      </c>
      <c r="Q325" s="149">
        <f t="shared" si="52"/>
        <v>1102022.4938715962</v>
      </c>
      <c r="R325" s="149">
        <f t="shared" si="53"/>
        <v>83347.010038525201</v>
      </c>
      <c r="S325" s="137">
        <f t="shared" si="54"/>
        <v>1185369.5039101213</v>
      </c>
      <c r="T325" s="137">
        <f t="shared" si="58"/>
        <v>2700213.3351221713</v>
      </c>
      <c r="U325" s="137">
        <f t="shared" si="59"/>
        <v>373578.24035238131</v>
      </c>
      <c r="V325" s="137">
        <f t="shared" si="60"/>
        <v>16465395.253949065</v>
      </c>
      <c r="W325" s="137">
        <f t="shared" si="61"/>
        <v>1015538.5936230385</v>
      </c>
      <c r="X325" s="138">
        <f t="shared" si="62"/>
        <v>20554725.423046656</v>
      </c>
    </row>
    <row r="326" spans="4:24">
      <c r="D326" s="9" t="s">
        <v>227</v>
      </c>
      <c r="E326" s="9" t="s">
        <v>2283</v>
      </c>
      <c r="F326" s="4" t="s">
        <v>1426</v>
      </c>
      <c r="G326" s="9" t="s">
        <v>2655</v>
      </c>
      <c r="H326" s="136">
        <v>0</v>
      </c>
      <c r="I326" s="137">
        <v>308191.02515689796</v>
      </c>
      <c r="J326" s="137">
        <v>0</v>
      </c>
      <c r="K326" s="137">
        <v>672245.27654298302</v>
      </c>
      <c r="L326" s="149">
        <f t="shared" si="55"/>
        <v>0</v>
      </c>
      <c r="M326" s="138">
        <f t="shared" si="56"/>
        <v>980436.30169988098</v>
      </c>
      <c r="N326" s="139">
        <f>INDEX('CHIRP Payment Calc'!AM:AM,MATCH(F:F,'CHIRP Payment Calc'!C:C,0))</f>
        <v>0.85</v>
      </c>
      <c r="O326" s="139">
        <f>INDEX('CHIRP Payment Calc'!AL:AL,MATCH(F:F,'CHIRP Payment Calc'!C:C,0))</f>
        <v>0.33</v>
      </c>
      <c r="P326" s="136">
        <f t="shared" si="57"/>
        <v>323543.97956096072</v>
      </c>
      <c r="Q326" s="149">
        <f t="shared" ref="Q326:Q389" si="63">(T326+V326)*$B$10</f>
        <v>6204.6946444054529</v>
      </c>
      <c r="R326" s="149">
        <f t="shared" ref="R326:R389" si="64">(U326+W326)*$B$11</f>
        <v>14160.060080373474</v>
      </c>
      <c r="S326" s="137">
        <f t="shared" ref="S326:S389" si="65">(T326+V326)*$B$10+(U326+W326)*$B$11</f>
        <v>20364.754724778926</v>
      </c>
      <c r="T326" s="137">
        <f t="shared" si="58"/>
        <v>0</v>
      </c>
      <c r="U326" s="137">
        <f t="shared" si="59"/>
        <v>0</v>
      </c>
      <c r="V326" s="137">
        <f t="shared" si="60"/>
        <v>107907.73294618179</v>
      </c>
      <c r="W326" s="137">
        <f t="shared" si="61"/>
        <v>236001.00133955787</v>
      </c>
      <c r="X326" s="138">
        <f t="shared" si="62"/>
        <v>343908.73428573966</v>
      </c>
    </row>
    <row r="327" spans="4:24">
      <c r="D327" s="9" t="s">
        <v>227</v>
      </c>
      <c r="E327" s="9" t="s">
        <v>2283</v>
      </c>
      <c r="F327" s="4" t="s">
        <v>1619</v>
      </c>
      <c r="G327" s="9" t="s">
        <v>2341</v>
      </c>
      <c r="H327" s="136">
        <v>2697372.3183884984</v>
      </c>
      <c r="I327" s="137">
        <v>3984696.9203313473</v>
      </c>
      <c r="J327" s="137">
        <v>1696478.9959460716</v>
      </c>
      <c r="K327" s="137">
        <v>3185849.4111721581</v>
      </c>
      <c r="L327" s="149">
        <f t="shared" si="55"/>
        <v>4393851.3143345695</v>
      </c>
      <c r="M327" s="138">
        <f t="shared" si="56"/>
        <v>7170546.3315035049</v>
      </c>
      <c r="N327" s="139">
        <f>INDEX('CHIRP Payment Calc'!AM:AM,MATCH(F:F,'CHIRP Payment Calc'!C:C,0))</f>
        <v>1.79</v>
      </c>
      <c r="O327" s="139">
        <f>INDEX('CHIRP Payment Calc'!AL:AL,MATCH(F:F,'CHIRP Payment Calc'!C:C,0))</f>
        <v>1.3800000000000001</v>
      </c>
      <c r="P327" s="136">
        <f t="shared" si="57"/>
        <v>17760347.790133718</v>
      </c>
      <c r="Q327" s="149">
        <f t="shared" si="63"/>
        <v>630040.04933520278</v>
      </c>
      <c r="R327" s="149">
        <f t="shared" si="64"/>
        <v>474457.63341453497</v>
      </c>
      <c r="S327" s="137">
        <f t="shared" si="65"/>
        <v>1104497.6827497378</v>
      </c>
      <c r="T327" s="137">
        <f t="shared" si="58"/>
        <v>5122860.9548174134</v>
      </c>
      <c r="U327" s="137">
        <f t="shared" si="59"/>
        <v>3230529.1518547535</v>
      </c>
      <c r="V327" s="137">
        <f t="shared" si="60"/>
        <v>5834357.2944904612</v>
      </c>
      <c r="W327" s="137">
        <f t="shared" si="61"/>
        <v>4677098.0717208283</v>
      </c>
      <c r="X327" s="138">
        <f t="shared" si="62"/>
        <v>18864845.472883455</v>
      </c>
    </row>
    <row r="328" spans="4:24">
      <c r="D328" s="9" t="s">
        <v>1548</v>
      </c>
      <c r="E328" s="9" t="s">
        <v>1547</v>
      </c>
      <c r="F328" s="4" t="s">
        <v>115</v>
      </c>
      <c r="G328" s="9" t="s">
        <v>2351</v>
      </c>
      <c r="H328" s="136">
        <v>80417035.39066501</v>
      </c>
      <c r="I328" s="137">
        <v>63281912.011117108</v>
      </c>
      <c r="J328" s="137">
        <v>305020.46431539528</v>
      </c>
      <c r="K328" s="137">
        <v>235700.83273544195</v>
      </c>
      <c r="L328" s="149">
        <f t="shared" si="55"/>
        <v>80722055.854980409</v>
      </c>
      <c r="M328" s="138">
        <f t="shared" si="56"/>
        <v>63517612.84385255</v>
      </c>
      <c r="N328" s="139">
        <f>INDEX('CHIRP Payment Calc'!AM:AM,MATCH(F:F,'CHIRP Payment Calc'!C:C,0))</f>
        <v>0.31</v>
      </c>
      <c r="O328" s="139">
        <f>INDEX('CHIRP Payment Calc'!AL:AL,MATCH(F:F,'CHIRP Payment Calc'!C:C,0))</f>
        <v>1.37</v>
      </c>
      <c r="P328" s="136">
        <f t="shared" si="57"/>
        <v>112042966.91112192</v>
      </c>
      <c r="Q328" s="149">
        <f t="shared" si="63"/>
        <v>6810043.7925881753</v>
      </c>
      <c r="R328" s="149">
        <f t="shared" si="64"/>
        <v>26646.796901191155</v>
      </c>
      <c r="S328" s="137">
        <f t="shared" si="65"/>
        <v>6836690.5894893669</v>
      </c>
      <c r="T328" s="137">
        <f t="shared" si="58"/>
        <v>26450165.486584779</v>
      </c>
      <c r="U328" s="137">
        <f t="shared" si="59"/>
        <v>100591.85525294952</v>
      </c>
      <c r="V328" s="137">
        <f t="shared" si="60"/>
        <v>91985378.732339993</v>
      </c>
      <c r="W328" s="137">
        <f t="shared" si="61"/>
        <v>343521.42643356969</v>
      </c>
      <c r="X328" s="138">
        <f t="shared" si="62"/>
        <v>118879657.50061128</v>
      </c>
    </row>
    <row r="329" spans="4:24">
      <c r="D329" s="9" t="s">
        <v>1548</v>
      </c>
      <c r="E329" s="9" t="s">
        <v>2295</v>
      </c>
      <c r="F329" s="4" t="s">
        <v>74</v>
      </c>
      <c r="G329" s="9" t="s">
        <v>3014</v>
      </c>
      <c r="H329" s="136">
        <v>2184541.9978750171</v>
      </c>
      <c r="I329" s="137">
        <v>1034163.6418648899</v>
      </c>
      <c r="J329" s="137">
        <v>578403.19806958444</v>
      </c>
      <c r="K329" s="137">
        <v>1062451.0291915827</v>
      </c>
      <c r="L329" s="149">
        <f t="shared" si="55"/>
        <v>2762945.1959446017</v>
      </c>
      <c r="M329" s="138">
        <f t="shared" si="56"/>
        <v>2096614.6710564727</v>
      </c>
      <c r="N329" s="139">
        <f>INDEX('CHIRP Payment Calc'!AM:AM,MATCH(F:F,'CHIRP Payment Calc'!C:C,0))</f>
        <v>0.62</v>
      </c>
      <c r="O329" s="139">
        <f>INDEX('CHIRP Payment Calc'!AL:AL,MATCH(F:F,'CHIRP Payment Calc'!C:C,0))</f>
        <v>0.2</v>
      </c>
      <c r="P329" s="136">
        <f t="shared" si="57"/>
        <v>2132348.9556969474</v>
      </c>
      <c r="Q329" s="149">
        <f t="shared" si="63"/>
        <v>95248.598520626649</v>
      </c>
      <c r="R329" s="149">
        <f t="shared" si="64"/>
        <v>36453.203530305895</v>
      </c>
      <c r="S329" s="137">
        <f t="shared" si="65"/>
        <v>131701.80205093254</v>
      </c>
      <c r="T329" s="137">
        <f t="shared" si="58"/>
        <v>1437046.1948886055</v>
      </c>
      <c r="U329" s="137">
        <f t="shared" si="59"/>
        <v>381499.98170547065</v>
      </c>
      <c r="V329" s="137">
        <f t="shared" si="60"/>
        <v>219451.17068750982</v>
      </c>
      <c r="W329" s="137">
        <f t="shared" si="61"/>
        <v>226053.41046629424</v>
      </c>
      <c r="X329" s="138">
        <f t="shared" si="62"/>
        <v>2264050.7577478802</v>
      </c>
    </row>
    <row r="330" spans="4:24">
      <c r="D330" s="9" t="s">
        <v>1548</v>
      </c>
      <c r="E330" s="9" t="s">
        <v>2295</v>
      </c>
      <c r="F330" s="4" t="s">
        <v>609</v>
      </c>
      <c r="G330" s="9" t="s">
        <v>3015</v>
      </c>
      <c r="H330" s="136">
        <v>1519903.4743115085</v>
      </c>
      <c r="I330" s="137">
        <v>1940082.4440288036</v>
      </c>
      <c r="J330" s="137">
        <v>399574.65021355357</v>
      </c>
      <c r="K330" s="137">
        <v>678704.48854421999</v>
      </c>
      <c r="L330" s="149">
        <f t="shared" si="55"/>
        <v>1919478.124525062</v>
      </c>
      <c r="M330" s="138">
        <f t="shared" si="56"/>
        <v>2618786.9325730237</v>
      </c>
      <c r="N330" s="139">
        <f>INDEX('CHIRP Payment Calc'!AM:AM,MATCH(F:F,'CHIRP Payment Calc'!C:C,0))</f>
        <v>0.65</v>
      </c>
      <c r="O330" s="139">
        <f>INDEX('CHIRP Payment Calc'!AL:AL,MATCH(F:F,'CHIRP Payment Calc'!C:C,0))</f>
        <v>0.2</v>
      </c>
      <c r="P330" s="136">
        <f t="shared" si="57"/>
        <v>1771418.1674558951</v>
      </c>
      <c r="Q330" s="149">
        <f t="shared" si="63"/>
        <v>83944.127807664583</v>
      </c>
      <c r="R330" s="149">
        <f t="shared" si="64"/>
        <v>25242.409809424717</v>
      </c>
      <c r="S330" s="137">
        <f t="shared" si="65"/>
        <v>109186.5376170893</v>
      </c>
      <c r="T330" s="137">
        <f t="shared" si="58"/>
        <v>1048209.2926286266</v>
      </c>
      <c r="U330" s="137">
        <f t="shared" si="59"/>
        <v>276301.6198285211</v>
      </c>
      <c r="V330" s="137">
        <f t="shared" si="60"/>
        <v>411688.58228727931</v>
      </c>
      <c r="W330" s="137">
        <f t="shared" si="61"/>
        <v>144405.21032855747</v>
      </c>
      <c r="X330" s="138">
        <f t="shared" si="62"/>
        <v>1880604.7050729846</v>
      </c>
    </row>
    <row r="331" spans="4:24">
      <c r="D331" s="9" t="s">
        <v>1548</v>
      </c>
      <c r="E331" s="9" t="s">
        <v>2295</v>
      </c>
      <c r="F331" s="4" t="s">
        <v>603</v>
      </c>
      <c r="G331" s="9" t="s">
        <v>1865</v>
      </c>
      <c r="H331" s="136">
        <v>1895493.2969879971</v>
      </c>
      <c r="I331" s="137">
        <v>1884915.8715877063</v>
      </c>
      <c r="J331" s="137">
        <v>377174.89663393371</v>
      </c>
      <c r="K331" s="137">
        <v>608212.32028007752</v>
      </c>
      <c r="L331" s="149">
        <f t="shared" si="55"/>
        <v>2272668.1936219307</v>
      </c>
      <c r="M331" s="138">
        <f t="shared" si="56"/>
        <v>2493128.1918677837</v>
      </c>
      <c r="N331" s="139">
        <f>INDEX('CHIRP Payment Calc'!AM:AM,MATCH(F:F,'CHIRP Payment Calc'!C:C,0))</f>
        <v>0.51</v>
      </c>
      <c r="O331" s="139">
        <f>INDEX('CHIRP Payment Calc'!AL:AL,MATCH(F:F,'CHIRP Payment Calc'!C:C,0))</f>
        <v>0.2</v>
      </c>
      <c r="P331" s="136">
        <f t="shared" si="57"/>
        <v>1657686.4171207414</v>
      </c>
      <c r="Q331" s="149">
        <f t="shared" si="63"/>
        <v>81975.462554304133</v>
      </c>
      <c r="R331" s="149">
        <f t="shared" si="64"/>
        <v>20042.659234424791</v>
      </c>
      <c r="S331" s="137">
        <f t="shared" si="65"/>
        <v>102018.12178872892</v>
      </c>
      <c r="T331" s="137">
        <f t="shared" si="58"/>
        <v>1025678.070518704</v>
      </c>
      <c r="U331" s="137">
        <f t="shared" si="59"/>
        <v>204637.44391841086</v>
      </c>
      <c r="V331" s="137">
        <f t="shared" si="60"/>
        <v>399982.1478170199</v>
      </c>
      <c r="W331" s="137">
        <f t="shared" si="61"/>
        <v>129406.87665533565</v>
      </c>
      <c r="X331" s="138">
        <f t="shared" si="62"/>
        <v>1759704.5389094702</v>
      </c>
    </row>
    <row r="332" spans="4:24">
      <c r="D332" s="9" t="s">
        <v>1548</v>
      </c>
      <c r="E332" s="9" t="s">
        <v>2295</v>
      </c>
      <c r="F332" s="4" t="s">
        <v>851</v>
      </c>
      <c r="G332" s="9" t="s">
        <v>2338</v>
      </c>
      <c r="H332" s="136">
        <v>651987.77500631404</v>
      </c>
      <c r="I332" s="137">
        <v>668565.72470030386</v>
      </c>
      <c r="J332" s="137">
        <v>258742.84246192963</v>
      </c>
      <c r="K332" s="137">
        <v>197106.06597666812</v>
      </c>
      <c r="L332" s="149">
        <f t="shared" si="55"/>
        <v>910730.6174682437</v>
      </c>
      <c r="M332" s="138">
        <f t="shared" si="56"/>
        <v>865671.79067697201</v>
      </c>
      <c r="N332" s="139">
        <f>INDEX('CHIRP Payment Calc'!AM:AM,MATCH(F:F,'CHIRP Payment Calc'!C:C,0))</f>
        <v>0.21000000000000002</v>
      </c>
      <c r="O332" s="139">
        <f>INDEX('CHIRP Payment Calc'!AL:AL,MATCH(F:F,'CHIRP Payment Calc'!C:C,0))</f>
        <v>0.2</v>
      </c>
      <c r="P332" s="136">
        <f t="shared" si="57"/>
        <v>364387.78780372557</v>
      </c>
      <c r="Q332" s="149">
        <f t="shared" si="63"/>
        <v>16510.618798148262</v>
      </c>
      <c r="R332" s="149">
        <f t="shared" si="64"/>
        <v>5984.5027731280124</v>
      </c>
      <c r="S332" s="137">
        <f t="shared" si="65"/>
        <v>22495.121571276275</v>
      </c>
      <c r="T332" s="137">
        <f t="shared" si="58"/>
        <v>145270.48567779941</v>
      </c>
      <c r="U332" s="137">
        <f t="shared" si="59"/>
        <v>57804.25203936726</v>
      </c>
      <c r="V332" s="137">
        <f t="shared" si="60"/>
        <v>141870.71081173557</v>
      </c>
      <c r="W332" s="137">
        <f t="shared" si="61"/>
        <v>41937.460846099602</v>
      </c>
      <c r="X332" s="138">
        <f t="shared" si="62"/>
        <v>386882.90937500185</v>
      </c>
    </row>
    <row r="333" spans="4:24">
      <c r="D333" s="9" t="s">
        <v>1548</v>
      </c>
      <c r="E333" s="9" t="s">
        <v>2295</v>
      </c>
      <c r="F333" s="4" t="s">
        <v>196</v>
      </c>
      <c r="G333" s="9" t="s">
        <v>2911</v>
      </c>
      <c r="H333" s="136">
        <v>625173.39633703767</v>
      </c>
      <c r="I333" s="137">
        <v>24228.842655856952</v>
      </c>
      <c r="J333" s="137">
        <v>184925.63585107203</v>
      </c>
      <c r="K333" s="137">
        <v>17842.917294138901</v>
      </c>
      <c r="L333" s="149">
        <f t="shared" si="55"/>
        <v>810099.0321881097</v>
      </c>
      <c r="M333" s="138">
        <f t="shared" si="56"/>
        <v>42071.759949995852</v>
      </c>
      <c r="N333" s="139">
        <f>INDEX('CHIRP Payment Calc'!AM:AM,MATCH(F:F,'CHIRP Payment Calc'!C:C,0))</f>
        <v>0.17</v>
      </c>
      <c r="O333" s="139">
        <f>INDEX('CHIRP Payment Calc'!AL:AL,MATCH(F:F,'CHIRP Payment Calc'!C:C,0))</f>
        <v>0.2</v>
      </c>
      <c r="P333" s="136">
        <f t="shared" si="57"/>
        <v>146131.18746197785</v>
      </c>
      <c r="Q333" s="149">
        <f t="shared" si="63"/>
        <v>6779.5242861929964</v>
      </c>
      <c r="R333" s="149">
        <f t="shared" si="64"/>
        <v>2234.4218012878746</v>
      </c>
      <c r="S333" s="137">
        <f t="shared" si="65"/>
        <v>9013.9460874808719</v>
      </c>
      <c r="T333" s="137">
        <f t="shared" si="58"/>
        <v>112763.37122259567</v>
      </c>
      <c r="U333" s="137">
        <f t="shared" si="59"/>
        <v>33443.997973066223</v>
      </c>
      <c r="V333" s="137">
        <f t="shared" si="60"/>
        <v>5141.3989720651361</v>
      </c>
      <c r="W333" s="137">
        <f t="shared" si="61"/>
        <v>3796.3653817316817</v>
      </c>
      <c r="X333" s="138">
        <f t="shared" si="62"/>
        <v>155145.1335494587</v>
      </c>
    </row>
    <row r="334" spans="4:24">
      <c r="D334" s="9" t="s">
        <v>1548</v>
      </c>
      <c r="E334" s="9" t="s">
        <v>2295</v>
      </c>
      <c r="F334" s="4" t="s">
        <v>990</v>
      </c>
      <c r="G334" s="9" t="s">
        <v>2658</v>
      </c>
      <c r="H334" s="136">
        <v>296501.6919502957</v>
      </c>
      <c r="I334" s="137">
        <v>61789.438631375298</v>
      </c>
      <c r="J334" s="137">
        <v>206226.83241068578</v>
      </c>
      <c r="K334" s="137">
        <v>6411.3439641306804</v>
      </c>
      <c r="L334" s="149">
        <f t="shared" si="55"/>
        <v>502728.52436098148</v>
      </c>
      <c r="M334" s="138">
        <f t="shared" si="56"/>
        <v>68200.782595505982</v>
      </c>
      <c r="N334" s="139">
        <f>INDEX('CHIRP Payment Calc'!AM:AM,MATCH(F:F,'CHIRP Payment Calc'!C:C,0))</f>
        <v>0.14000000000000001</v>
      </c>
      <c r="O334" s="139">
        <f>INDEX('CHIRP Payment Calc'!AL:AL,MATCH(F:F,'CHIRP Payment Calc'!C:C,0))</f>
        <v>0.2</v>
      </c>
      <c r="P334" s="136">
        <f t="shared" si="57"/>
        <v>84022.149929638603</v>
      </c>
      <c r="Q334" s="149">
        <f t="shared" si="63"/>
        <v>3286.3842593747445</v>
      </c>
      <c r="R334" s="149">
        <f t="shared" si="64"/>
        <v>1924.7250210843924</v>
      </c>
      <c r="S334" s="137">
        <f t="shared" si="65"/>
        <v>5211.1092804591372</v>
      </c>
      <c r="T334" s="137">
        <f t="shared" si="58"/>
        <v>44042.691642484242</v>
      </c>
      <c r="U334" s="137">
        <f t="shared" si="59"/>
        <v>30714.634614357459</v>
      </c>
      <c r="V334" s="137">
        <f t="shared" si="60"/>
        <v>13111.81721620696</v>
      </c>
      <c r="W334" s="137">
        <f t="shared" si="61"/>
        <v>1364.115737049081</v>
      </c>
      <c r="X334" s="138">
        <f t="shared" si="62"/>
        <v>89233.259210097749</v>
      </c>
    </row>
    <row r="335" spans="4:24">
      <c r="D335" s="9" t="s">
        <v>1548</v>
      </c>
      <c r="E335" s="9" t="s">
        <v>2283</v>
      </c>
      <c r="F335" s="4" t="s">
        <v>612</v>
      </c>
      <c r="G335" s="9" t="s">
        <v>2588</v>
      </c>
      <c r="H335" s="136">
        <v>1252633.2294341933</v>
      </c>
      <c r="I335" s="137">
        <v>1779276.1891693391</v>
      </c>
      <c r="J335" s="137">
        <v>1375700.6971404643</v>
      </c>
      <c r="K335" s="137">
        <v>861898.90274967102</v>
      </c>
      <c r="L335" s="149">
        <f t="shared" si="55"/>
        <v>2628333.9265746577</v>
      </c>
      <c r="M335" s="138">
        <f t="shared" si="56"/>
        <v>2641175.09191901</v>
      </c>
      <c r="N335" s="139">
        <f>INDEX('CHIRP Payment Calc'!AM:AM,MATCH(F:F,'CHIRP Payment Calc'!C:C,0))</f>
        <v>0.87</v>
      </c>
      <c r="O335" s="139">
        <f>INDEX('CHIRP Payment Calc'!AL:AL,MATCH(F:F,'CHIRP Payment Calc'!C:C,0))</f>
        <v>0.8</v>
      </c>
      <c r="P335" s="136">
        <f t="shared" si="57"/>
        <v>4399590.5896551609</v>
      </c>
      <c r="Q335" s="149">
        <f t="shared" si="63"/>
        <v>153325.92255091263</v>
      </c>
      <c r="R335" s="149">
        <f t="shared" si="64"/>
        <v>120407.15289650687</v>
      </c>
      <c r="S335" s="137">
        <f t="shared" si="65"/>
        <v>273733.07544741948</v>
      </c>
      <c r="T335" s="137">
        <f t="shared" si="58"/>
        <v>1156276.8271700246</v>
      </c>
      <c r="U335" s="137">
        <f t="shared" si="59"/>
        <v>1273254.9005448979</v>
      </c>
      <c r="V335" s="137">
        <f t="shared" si="60"/>
        <v>1510260.9563241077</v>
      </c>
      <c r="W335" s="137">
        <f t="shared" si="61"/>
        <v>733530.98106354987</v>
      </c>
      <c r="X335" s="138">
        <f t="shared" si="62"/>
        <v>4673323.6651025806</v>
      </c>
    </row>
    <row r="336" spans="4:24">
      <c r="D336" s="9" t="s">
        <v>1548</v>
      </c>
      <c r="E336" s="9" t="s">
        <v>2283</v>
      </c>
      <c r="F336" s="4" t="s">
        <v>507</v>
      </c>
      <c r="G336" s="9" t="s">
        <v>2352</v>
      </c>
      <c r="H336" s="136">
        <v>3429415.981304612</v>
      </c>
      <c r="I336" s="137">
        <v>22778547.449496441</v>
      </c>
      <c r="J336" s="137">
        <v>2171961.5871212864</v>
      </c>
      <c r="K336" s="137">
        <v>6148375.2635723762</v>
      </c>
      <c r="L336" s="149">
        <f t="shared" si="55"/>
        <v>5601377.5684258984</v>
      </c>
      <c r="M336" s="138">
        <f t="shared" si="56"/>
        <v>28926922.713068817</v>
      </c>
      <c r="N336" s="139">
        <f>INDEX('CHIRP Payment Calc'!AM:AM,MATCH(F:F,'CHIRP Payment Calc'!C:C,0))</f>
        <v>1.01</v>
      </c>
      <c r="O336" s="139">
        <f>INDEX('CHIRP Payment Calc'!AL:AL,MATCH(F:F,'CHIRP Payment Calc'!C:C,0))</f>
        <v>1.04</v>
      </c>
      <c r="P336" s="136">
        <f t="shared" si="57"/>
        <v>35741390.965701729</v>
      </c>
      <c r="Q336" s="149">
        <f t="shared" si="63"/>
        <v>1656573.4436012232</v>
      </c>
      <c r="R336" s="149">
        <f t="shared" si="64"/>
        <v>548169.66875155992</v>
      </c>
      <c r="S336" s="137">
        <f t="shared" si="65"/>
        <v>2204743.1123527829</v>
      </c>
      <c r="T336" s="137">
        <f t="shared" si="58"/>
        <v>3675024.0224060034</v>
      </c>
      <c r="U336" s="137">
        <f t="shared" si="59"/>
        <v>2333703.4074388291</v>
      </c>
      <c r="V336" s="137">
        <f t="shared" si="60"/>
        <v>25134948.909789179</v>
      </c>
      <c r="W336" s="137">
        <f t="shared" si="61"/>
        <v>6802457.7384205014</v>
      </c>
      <c r="X336" s="138">
        <f t="shared" si="62"/>
        <v>37946134.07805451</v>
      </c>
    </row>
    <row r="337" spans="4:24">
      <c r="D337" s="9" t="s">
        <v>1548</v>
      </c>
      <c r="E337" s="9" t="s">
        <v>2283</v>
      </c>
      <c r="F337" s="4" t="s">
        <v>1712</v>
      </c>
      <c r="G337" s="9" t="s">
        <v>3016</v>
      </c>
      <c r="H337" s="136">
        <v>4142869.0453207265</v>
      </c>
      <c r="I337" s="137">
        <v>10845936.093327003</v>
      </c>
      <c r="J337" s="137">
        <v>5487972.0272129942</v>
      </c>
      <c r="K337" s="137">
        <v>10506604.969204465</v>
      </c>
      <c r="L337" s="149">
        <f t="shared" si="55"/>
        <v>9630841.0725337211</v>
      </c>
      <c r="M337" s="138">
        <f t="shared" si="56"/>
        <v>21352541.062531468</v>
      </c>
      <c r="N337" s="139">
        <f>INDEX('CHIRP Payment Calc'!AM:AM,MATCH(F:F,'CHIRP Payment Calc'!C:C,0))</f>
        <v>0.9</v>
      </c>
      <c r="O337" s="139">
        <f>INDEX('CHIRP Payment Calc'!AL:AL,MATCH(F:F,'CHIRP Payment Calc'!C:C,0))</f>
        <v>0.64</v>
      </c>
      <c r="P337" s="136">
        <f t="shared" si="57"/>
        <v>22333383.245300487</v>
      </c>
      <c r="Q337" s="149">
        <f t="shared" si="63"/>
        <v>650953.76268411812</v>
      </c>
      <c r="R337" s="149">
        <f t="shared" si="64"/>
        <v>744472.46839037584</v>
      </c>
      <c r="S337" s="137">
        <f t="shared" si="65"/>
        <v>1395426.2310744938</v>
      </c>
      <c r="T337" s="137">
        <f t="shared" si="58"/>
        <v>3956055.3217916749</v>
      </c>
      <c r="U337" s="137">
        <f t="shared" si="59"/>
        <v>5254441.3026507394</v>
      </c>
      <c r="V337" s="137">
        <f t="shared" si="60"/>
        <v>7364879.6814103788</v>
      </c>
      <c r="W337" s="137">
        <f t="shared" si="61"/>
        <v>7153433.1705221897</v>
      </c>
      <c r="X337" s="138">
        <f t="shared" si="62"/>
        <v>23728809.476374984</v>
      </c>
    </row>
    <row r="338" spans="4:24">
      <c r="D338" s="9" t="s">
        <v>1548</v>
      </c>
      <c r="E338" s="9" t="s">
        <v>2283</v>
      </c>
      <c r="F338" s="4" t="s">
        <v>1697</v>
      </c>
      <c r="G338" s="9" t="s">
        <v>2456</v>
      </c>
      <c r="H338" s="136">
        <v>2522538.6268563299</v>
      </c>
      <c r="I338" s="137">
        <v>4517207.5537847215</v>
      </c>
      <c r="J338" s="137">
        <v>1140269.5018547608</v>
      </c>
      <c r="K338" s="137">
        <v>1576212.365086037</v>
      </c>
      <c r="L338" s="149">
        <f t="shared" si="55"/>
        <v>3662808.1287110904</v>
      </c>
      <c r="M338" s="138">
        <f t="shared" si="56"/>
        <v>6093419.9188707583</v>
      </c>
      <c r="N338" s="139">
        <f>INDEX('CHIRP Payment Calc'!AM:AM,MATCH(F:F,'CHIRP Payment Calc'!C:C,0))</f>
        <v>1.37</v>
      </c>
      <c r="O338" s="139">
        <f>INDEX('CHIRP Payment Calc'!AL:AL,MATCH(F:F,'CHIRP Payment Calc'!C:C,0))</f>
        <v>1.5</v>
      </c>
      <c r="P338" s="136">
        <f t="shared" si="57"/>
        <v>14158177.014640331</v>
      </c>
      <c r="Q338" s="149">
        <f t="shared" si="63"/>
        <v>624214.46349553275</v>
      </c>
      <c r="R338" s="149">
        <f t="shared" si="64"/>
        <v>250626.87862787736</v>
      </c>
      <c r="S338" s="137">
        <f t="shared" si="65"/>
        <v>874841.34212341008</v>
      </c>
      <c r="T338" s="137">
        <f t="shared" si="58"/>
        <v>3666713.9721943471</v>
      </c>
      <c r="U338" s="137">
        <f t="shared" si="59"/>
        <v>1661882.1463202368</v>
      </c>
      <c r="V338" s="137">
        <f t="shared" si="60"/>
        <v>7189189.7407714399</v>
      </c>
      <c r="W338" s="137">
        <f t="shared" si="61"/>
        <v>2515232.4974777186</v>
      </c>
      <c r="X338" s="138">
        <f t="shared" si="62"/>
        <v>15033018.356763743</v>
      </c>
    </row>
    <row r="339" spans="4:24">
      <c r="D339" s="9" t="s">
        <v>1365</v>
      </c>
      <c r="E339" s="9" t="s">
        <v>1547</v>
      </c>
      <c r="F339" s="4" t="s">
        <v>86</v>
      </c>
      <c r="G339" s="9" t="s">
        <v>2455</v>
      </c>
      <c r="H339" s="136">
        <v>100859179.39046167</v>
      </c>
      <c r="I339" s="137">
        <v>139659368.74933723</v>
      </c>
      <c r="J339" s="137">
        <v>324914.60430687608</v>
      </c>
      <c r="K339" s="137">
        <v>296103.5550934191</v>
      </c>
      <c r="L339" s="149">
        <f t="shared" si="55"/>
        <v>101184093.99476855</v>
      </c>
      <c r="M339" s="138">
        <f t="shared" si="56"/>
        <v>139955472.30443063</v>
      </c>
      <c r="N339" s="139">
        <f>INDEX('CHIRP Payment Calc'!AM:AM,MATCH(F:F,'CHIRP Payment Calc'!C:C,0))</f>
        <v>0.54</v>
      </c>
      <c r="O339" s="139">
        <f>INDEX('CHIRP Payment Calc'!AL:AL,MATCH(F:F,'CHIRP Payment Calc'!C:C,0))</f>
        <v>1.3599999999999999</v>
      </c>
      <c r="P339" s="136">
        <f t="shared" si="57"/>
        <v>244978853.09120068</v>
      </c>
      <c r="Q339" s="149">
        <f t="shared" si="63"/>
        <v>14910387.43371035</v>
      </c>
      <c r="R339" s="149">
        <f t="shared" si="64"/>
        <v>36903.49284592105</v>
      </c>
      <c r="S339" s="137">
        <f t="shared" si="65"/>
        <v>14947290.926556271</v>
      </c>
      <c r="T339" s="137">
        <f t="shared" si="58"/>
        <v>57786691.640158407</v>
      </c>
      <c r="U339" s="137">
        <f t="shared" si="59"/>
        <v>186653.07055926925</v>
      </c>
      <c r="V339" s="137">
        <f t="shared" si="60"/>
        <v>201524394.16349983</v>
      </c>
      <c r="W339" s="137">
        <f t="shared" si="61"/>
        <v>428405.14353941486</v>
      </c>
      <c r="X339" s="138">
        <f t="shared" si="62"/>
        <v>259926144.01775694</v>
      </c>
    </row>
    <row r="340" spans="4:24">
      <c r="D340" s="9" t="s">
        <v>1365</v>
      </c>
      <c r="E340" s="9" t="s">
        <v>2544</v>
      </c>
      <c r="F340" s="4" t="s">
        <v>1275</v>
      </c>
      <c r="G340" s="9" t="s">
        <v>2844</v>
      </c>
      <c r="H340" s="136">
        <v>0</v>
      </c>
      <c r="I340" s="137">
        <v>3920127.9088175599</v>
      </c>
      <c r="J340" s="137">
        <v>0</v>
      </c>
      <c r="K340" s="137">
        <v>0</v>
      </c>
      <c r="L340" s="149">
        <f t="shared" si="55"/>
        <v>0</v>
      </c>
      <c r="M340" s="138">
        <f t="shared" si="56"/>
        <v>3920127.9088175599</v>
      </c>
      <c r="N340" s="139">
        <f>INDEX('CHIRP Payment Calc'!AM:AM,MATCH(F:F,'CHIRP Payment Calc'!C:C,0))</f>
        <v>0</v>
      </c>
      <c r="O340" s="139">
        <f>INDEX('CHIRP Payment Calc'!AL:AL,MATCH(F:F,'CHIRP Payment Calc'!C:C,0))</f>
        <v>0.22</v>
      </c>
      <c r="P340" s="136">
        <f t="shared" si="57"/>
        <v>862428.13993986323</v>
      </c>
      <c r="Q340" s="149">
        <f t="shared" si="63"/>
        <v>52614.9793597264</v>
      </c>
      <c r="R340" s="149">
        <f t="shared" si="64"/>
        <v>0</v>
      </c>
      <c r="S340" s="137">
        <f t="shared" si="65"/>
        <v>52614.9793597264</v>
      </c>
      <c r="T340" s="137">
        <f t="shared" si="58"/>
        <v>0</v>
      </c>
      <c r="U340" s="137">
        <f t="shared" si="59"/>
        <v>0</v>
      </c>
      <c r="V340" s="137">
        <f t="shared" si="60"/>
        <v>915043.11929958954</v>
      </c>
      <c r="W340" s="137">
        <f t="shared" si="61"/>
        <v>0</v>
      </c>
      <c r="X340" s="138">
        <f t="shared" si="62"/>
        <v>915043.11929958954</v>
      </c>
    </row>
    <row r="341" spans="4:24">
      <c r="D341" s="9" t="s">
        <v>1365</v>
      </c>
      <c r="E341" s="9" t="s">
        <v>2544</v>
      </c>
      <c r="F341" s="4" t="s">
        <v>1272</v>
      </c>
      <c r="G341" s="9" t="s">
        <v>2733</v>
      </c>
      <c r="H341" s="136">
        <v>0</v>
      </c>
      <c r="I341" s="137">
        <v>2234316.5170726096</v>
      </c>
      <c r="J341" s="137">
        <v>0</v>
      </c>
      <c r="K341" s="137">
        <v>0</v>
      </c>
      <c r="L341" s="149">
        <f t="shared" si="55"/>
        <v>0</v>
      </c>
      <c r="M341" s="138">
        <f t="shared" si="56"/>
        <v>2234316.5170726096</v>
      </c>
      <c r="N341" s="139">
        <f>INDEX('CHIRP Payment Calc'!AM:AM,MATCH(F:F,'CHIRP Payment Calc'!C:C,0))</f>
        <v>0</v>
      </c>
      <c r="O341" s="139">
        <f>INDEX('CHIRP Payment Calc'!AL:AL,MATCH(F:F,'CHIRP Payment Calc'!C:C,0))</f>
        <v>0.22</v>
      </c>
      <c r="P341" s="136">
        <f t="shared" si="57"/>
        <v>491549.63375597412</v>
      </c>
      <c r="Q341" s="149">
        <f t="shared" si="63"/>
        <v>29988.439194661554</v>
      </c>
      <c r="R341" s="149">
        <f t="shared" si="64"/>
        <v>0</v>
      </c>
      <c r="S341" s="137">
        <f t="shared" si="65"/>
        <v>29988.439194661554</v>
      </c>
      <c r="T341" s="137">
        <f t="shared" si="58"/>
        <v>0</v>
      </c>
      <c r="U341" s="137">
        <f t="shared" si="59"/>
        <v>0</v>
      </c>
      <c r="V341" s="137">
        <f t="shared" si="60"/>
        <v>521538.07295063569</v>
      </c>
      <c r="W341" s="137">
        <f t="shared" si="61"/>
        <v>0</v>
      </c>
      <c r="X341" s="138">
        <f t="shared" si="62"/>
        <v>521538.07295063569</v>
      </c>
    </row>
    <row r="342" spans="4:24">
      <c r="D342" s="9" t="s">
        <v>1365</v>
      </c>
      <c r="E342" s="9" t="s">
        <v>2544</v>
      </c>
      <c r="F342" s="4" t="s">
        <v>1254</v>
      </c>
      <c r="G342" s="9" t="s">
        <v>2883</v>
      </c>
      <c r="H342" s="136">
        <v>0</v>
      </c>
      <c r="I342" s="137">
        <v>210130.79837517755</v>
      </c>
      <c r="J342" s="137">
        <v>0</v>
      </c>
      <c r="K342" s="137">
        <v>0</v>
      </c>
      <c r="L342" s="149">
        <f t="shared" si="55"/>
        <v>0</v>
      </c>
      <c r="M342" s="138">
        <f t="shared" si="56"/>
        <v>210130.79837517755</v>
      </c>
      <c r="N342" s="139">
        <f>INDEX('CHIRP Payment Calc'!AM:AM,MATCH(F:F,'CHIRP Payment Calc'!C:C,0))</f>
        <v>0</v>
      </c>
      <c r="O342" s="139">
        <f>INDEX('CHIRP Payment Calc'!AL:AL,MATCH(F:F,'CHIRP Payment Calc'!C:C,0))</f>
        <v>0.22</v>
      </c>
      <c r="P342" s="136">
        <f t="shared" si="57"/>
        <v>46228.775642539062</v>
      </c>
      <c r="Q342" s="149">
        <f t="shared" si="63"/>
        <v>2820.3231824360701</v>
      </c>
      <c r="R342" s="149">
        <f t="shared" si="64"/>
        <v>0</v>
      </c>
      <c r="S342" s="137">
        <f t="shared" si="65"/>
        <v>2820.3231824360701</v>
      </c>
      <c r="T342" s="137">
        <f t="shared" si="58"/>
        <v>0</v>
      </c>
      <c r="U342" s="137">
        <f t="shared" si="59"/>
        <v>0</v>
      </c>
      <c r="V342" s="137">
        <f t="shared" si="60"/>
        <v>49049.098824975132</v>
      </c>
      <c r="W342" s="137">
        <f t="shared" si="61"/>
        <v>0</v>
      </c>
      <c r="X342" s="138">
        <f t="shared" si="62"/>
        <v>49049.098824975132</v>
      </c>
    </row>
    <row r="343" spans="4:24">
      <c r="D343" s="9" t="s">
        <v>1365</v>
      </c>
      <c r="E343" s="9" t="s">
        <v>2544</v>
      </c>
      <c r="F343" s="4" t="s">
        <v>1346</v>
      </c>
      <c r="G343" s="9" t="s">
        <v>2848</v>
      </c>
      <c r="H343" s="136">
        <v>0</v>
      </c>
      <c r="I343" s="137">
        <v>1543861.1404494434</v>
      </c>
      <c r="J343" s="137">
        <v>0</v>
      </c>
      <c r="K343" s="137">
        <v>0</v>
      </c>
      <c r="L343" s="149">
        <f t="shared" si="55"/>
        <v>0</v>
      </c>
      <c r="M343" s="138">
        <f t="shared" si="56"/>
        <v>1543861.1404494434</v>
      </c>
      <c r="N343" s="139">
        <f>INDEX('CHIRP Payment Calc'!AM:AM,MATCH(F:F,'CHIRP Payment Calc'!C:C,0))</f>
        <v>0</v>
      </c>
      <c r="O343" s="139">
        <f>INDEX('CHIRP Payment Calc'!AL:AL,MATCH(F:F,'CHIRP Payment Calc'!C:C,0))</f>
        <v>0.22</v>
      </c>
      <c r="P343" s="136">
        <f t="shared" si="57"/>
        <v>339649.45089887752</v>
      </c>
      <c r="Q343" s="149">
        <f t="shared" si="63"/>
        <v>20721.319285607915</v>
      </c>
      <c r="R343" s="149">
        <f t="shared" si="64"/>
        <v>0</v>
      </c>
      <c r="S343" s="137">
        <f t="shared" si="65"/>
        <v>20721.319285607915</v>
      </c>
      <c r="T343" s="137">
        <f t="shared" si="58"/>
        <v>0</v>
      </c>
      <c r="U343" s="137">
        <f t="shared" si="59"/>
        <v>0</v>
      </c>
      <c r="V343" s="137">
        <f t="shared" si="60"/>
        <v>360370.77018448547</v>
      </c>
      <c r="W343" s="137">
        <f t="shared" si="61"/>
        <v>0</v>
      </c>
      <c r="X343" s="138">
        <f t="shared" si="62"/>
        <v>360370.77018448547</v>
      </c>
    </row>
    <row r="344" spans="4:24">
      <c r="D344" s="9" t="s">
        <v>1365</v>
      </c>
      <c r="E344" s="9" t="s">
        <v>2295</v>
      </c>
      <c r="F344" s="4" t="s">
        <v>781</v>
      </c>
      <c r="G344" s="9" t="s">
        <v>2451</v>
      </c>
      <c r="H344" s="136">
        <v>1518255.0881227278</v>
      </c>
      <c r="I344" s="137">
        <v>1969725.9134136983</v>
      </c>
      <c r="J344" s="137">
        <v>474261.40183802653</v>
      </c>
      <c r="K344" s="137">
        <v>1060061.5048361022</v>
      </c>
      <c r="L344" s="149">
        <f t="shared" si="55"/>
        <v>1992516.4899607543</v>
      </c>
      <c r="M344" s="138">
        <f t="shared" si="56"/>
        <v>3029787.4182498008</v>
      </c>
      <c r="N344" s="139">
        <f>INDEX('CHIRP Payment Calc'!AM:AM,MATCH(F:F,'CHIRP Payment Calc'!C:C,0))</f>
        <v>1.98</v>
      </c>
      <c r="O344" s="139">
        <f>INDEX('CHIRP Payment Calc'!AL:AL,MATCH(F:F,'CHIRP Payment Calc'!C:C,0))</f>
        <v>1.47</v>
      </c>
      <c r="P344" s="136">
        <f t="shared" si="57"/>
        <v>8398970.1549495012</v>
      </c>
      <c r="Q344" s="149">
        <f t="shared" si="63"/>
        <v>360047.13486903493</v>
      </c>
      <c r="R344" s="149">
        <f t="shared" si="64"/>
        <v>159403.91411159764</v>
      </c>
      <c r="S344" s="137">
        <f t="shared" si="65"/>
        <v>519451.04898063256</v>
      </c>
      <c r="T344" s="137">
        <f t="shared" si="58"/>
        <v>3189543.8456053059</v>
      </c>
      <c r="U344" s="137">
        <f t="shared" si="59"/>
        <v>998976.14429711981</v>
      </c>
      <c r="V344" s="137">
        <f t="shared" si="60"/>
        <v>3072145.4564648662</v>
      </c>
      <c r="W344" s="137">
        <f t="shared" si="61"/>
        <v>1657755.7575628406</v>
      </c>
      <c r="X344" s="138">
        <f t="shared" si="62"/>
        <v>8918421.2039301321</v>
      </c>
    </row>
    <row r="345" spans="4:24">
      <c r="D345" s="9" t="s">
        <v>1365</v>
      </c>
      <c r="E345" s="9" t="s">
        <v>2295</v>
      </c>
      <c r="F345" s="4" t="s">
        <v>1079</v>
      </c>
      <c r="G345" s="9" t="s">
        <v>2795</v>
      </c>
      <c r="H345" s="136">
        <v>1746429.0943588258</v>
      </c>
      <c r="I345" s="137">
        <v>3255271.7562086275</v>
      </c>
      <c r="J345" s="137">
        <v>996076.56592585612</v>
      </c>
      <c r="K345" s="137">
        <v>2208268.87505924</v>
      </c>
      <c r="L345" s="149">
        <f t="shared" si="55"/>
        <v>2742505.6602846822</v>
      </c>
      <c r="M345" s="138">
        <f t="shared" si="56"/>
        <v>5463540.631267868</v>
      </c>
      <c r="N345" s="139">
        <f>INDEX('CHIRP Payment Calc'!AM:AM,MATCH(F:F,'CHIRP Payment Calc'!C:C,0))</f>
        <v>1.47</v>
      </c>
      <c r="O345" s="139">
        <f>INDEX('CHIRP Payment Calc'!AL:AL,MATCH(F:F,'CHIRP Payment Calc'!C:C,0))</f>
        <v>0.25</v>
      </c>
      <c r="P345" s="136">
        <f t="shared" si="57"/>
        <v>5397368.4784354493</v>
      </c>
      <c r="Q345" s="149">
        <f t="shared" si="63"/>
        <v>206272.09622936739</v>
      </c>
      <c r="R345" s="149">
        <f t="shared" si="64"/>
        <v>128699.98536228632</v>
      </c>
      <c r="S345" s="137">
        <f t="shared" si="65"/>
        <v>334972.0815916537</v>
      </c>
      <c r="T345" s="137">
        <f t="shared" si="58"/>
        <v>2723873.4946498396</v>
      </c>
      <c r="U345" s="137">
        <f t="shared" si="59"/>
        <v>1557694.2041606475</v>
      </c>
      <c r="V345" s="137">
        <f t="shared" si="60"/>
        <v>863467.30933915847</v>
      </c>
      <c r="W345" s="137">
        <f t="shared" si="61"/>
        <v>587305.55187745753</v>
      </c>
      <c r="X345" s="138">
        <f t="shared" si="62"/>
        <v>5732340.5600271029</v>
      </c>
    </row>
    <row r="346" spans="4:24">
      <c r="D346" s="9" t="s">
        <v>1365</v>
      </c>
      <c r="E346" s="9" t="s">
        <v>2283</v>
      </c>
      <c r="F346" s="4" t="s">
        <v>1117</v>
      </c>
      <c r="G346" s="9" t="s">
        <v>2632</v>
      </c>
      <c r="H346" s="136">
        <v>1745202.8160587407</v>
      </c>
      <c r="I346" s="137">
        <v>3999587.9144437257</v>
      </c>
      <c r="J346" s="137">
        <v>920400.66302229359</v>
      </c>
      <c r="K346" s="137">
        <v>1749812.4705167741</v>
      </c>
      <c r="L346" s="149">
        <f t="shared" si="55"/>
        <v>2665603.4790810342</v>
      </c>
      <c r="M346" s="138">
        <f t="shared" si="56"/>
        <v>5749400.3849604996</v>
      </c>
      <c r="N346" s="139">
        <f>INDEX('CHIRP Payment Calc'!AM:AM,MATCH(F:F,'CHIRP Payment Calc'!C:C,0))</f>
        <v>0.9</v>
      </c>
      <c r="O346" s="139">
        <f>INDEX('CHIRP Payment Calc'!AL:AL,MATCH(F:F,'CHIRP Payment Calc'!C:C,0))</f>
        <v>2.2599999999999998</v>
      </c>
      <c r="P346" s="136">
        <f t="shared" si="57"/>
        <v>15392688.001183659</v>
      </c>
      <c r="Q346" s="149">
        <f t="shared" si="63"/>
        <v>647279.25221538672</v>
      </c>
      <c r="R346" s="149">
        <f t="shared" si="64"/>
        <v>305293.837026892</v>
      </c>
      <c r="S346" s="137">
        <f t="shared" si="65"/>
        <v>952573.08924227871</v>
      </c>
      <c r="T346" s="137">
        <f t="shared" si="58"/>
        <v>1666506.6678545005</v>
      </c>
      <c r="U346" s="137">
        <f t="shared" si="59"/>
        <v>881234.67736177053</v>
      </c>
      <c r="V346" s="137">
        <f t="shared" si="60"/>
        <v>9590523.8054565713</v>
      </c>
      <c r="W346" s="137">
        <f t="shared" si="61"/>
        <v>4206995.9397530956</v>
      </c>
      <c r="X346" s="138">
        <f t="shared" si="62"/>
        <v>16345261.090425938</v>
      </c>
    </row>
    <row r="347" spans="4:24">
      <c r="D347" s="9" t="s">
        <v>1365</v>
      </c>
      <c r="E347" s="9" t="s">
        <v>2283</v>
      </c>
      <c r="F347" s="4" t="s">
        <v>1111</v>
      </c>
      <c r="G347" s="9" t="s">
        <v>2603</v>
      </c>
      <c r="H347" s="136">
        <v>3109587.4023255105</v>
      </c>
      <c r="I347" s="137">
        <v>3168785.8550482066</v>
      </c>
      <c r="J347" s="137">
        <v>2583975.2328801532</v>
      </c>
      <c r="K347" s="137">
        <v>3165701.4131806251</v>
      </c>
      <c r="L347" s="149">
        <f t="shared" si="55"/>
        <v>5693562.6352056637</v>
      </c>
      <c r="M347" s="138">
        <f t="shared" si="56"/>
        <v>6334487.2682288317</v>
      </c>
      <c r="N347" s="139">
        <f>INDEX('CHIRP Payment Calc'!AM:AM,MATCH(F:F,'CHIRP Payment Calc'!C:C,0))</f>
        <v>0.55000000000000004</v>
      </c>
      <c r="O347" s="139">
        <f>INDEX('CHIRP Payment Calc'!AL:AL,MATCH(F:F,'CHIRP Payment Calc'!C:C,0))</f>
        <v>2.1</v>
      </c>
      <c r="P347" s="136">
        <f t="shared" si="57"/>
        <v>16433882.712643661</v>
      </c>
      <c r="Q347" s="149">
        <f t="shared" si="63"/>
        <v>510314.68816510902</v>
      </c>
      <c r="R347" s="149">
        <f t="shared" si="64"/>
        <v>515052.72419766372</v>
      </c>
      <c r="S347" s="137">
        <f t="shared" si="65"/>
        <v>1025367.4123627727</v>
      </c>
      <c r="T347" s="137">
        <f t="shared" si="58"/>
        <v>1814613.3382270883</v>
      </c>
      <c r="U347" s="137">
        <f t="shared" si="59"/>
        <v>1511900.4022171111</v>
      </c>
      <c r="V347" s="137">
        <f t="shared" si="60"/>
        <v>7060424.7168182861</v>
      </c>
      <c r="W347" s="137">
        <f t="shared" si="61"/>
        <v>7072311.6677439502</v>
      </c>
      <c r="X347" s="138">
        <f t="shared" si="62"/>
        <v>17459250.125006437</v>
      </c>
    </row>
    <row r="348" spans="4:24">
      <c r="D348" s="9" t="s">
        <v>1365</v>
      </c>
      <c r="E348" s="9" t="s">
        <v>2283</v>
      </c>
      <c r="F348" s="4" t="s">
        <v>936</v>
      </c>
      <c r="G348" s="9" t="s">
        <v>2476</v>
      </c>
      <c r="H348" s="136">
        <v>115128.07253212953</v>
      </c>
      <c r="I348" s="137">
        <v>48335.894181234551</v>
      </c>
      <c r="J348" s="137">
        <v>0</v>
      </c>
      <c r="K348" s="137">
        <v>0</v>
      </c>
      <c r="L348" s="149">
        <f t="shared" si="55"/>
        <v>115128.07253212953</v>
      </c>
      <c r="M348" s="138">
        <f t="shared" si="56"/>
        <v>48335.894181234551</v>
      </c>
      <c r="N348" s="139">
        <f>INDEX('CHIRP Payment Calc'!AM:AM,MATCH(F:F,'CHIRP Payment Calc'!C:C,0))</f>
        <v>6</v>
      </c>
      <c r="O348" s="139">
        <f>INDEX('CHIRP Payment Calc'!AL:AL,MATCH(F:F,'CHIRP Payment Calc'!C:C,0))</f>
        <v>51.300000000000004</v>
      </c>
      <c r="P348" s="136">
        <f t="shared" si="57"/>
        <v>3170399.8066901099</v>
      </c>
      <c r="Q348" s="149">
        <f t="shared" si="63"/>
        <v>193419.61685377327</v>
      </c>
      <c r="R348" s="149">
        <f t="shared" si="64"/>
        <v>0</v>
      </c>
      <c r="S348" s="137">
        <f t="shared" si="65"/>
        <v>193419.61685377327</v>
      </c>
      <c r="T348" s="137">
        <f t="shared" si="58"/>
        <v>732910.80657058582</v>
      </c>
      <c r="U348" s="137">
        <f t="shared" si="59"/>
        <v>0</v>
      </c>
      <c r="V348" s="137">
        <f t="shared" si="60"/>
        <v>2630908.6169732972</v>
      </c>
      <c r="W348" s="137">
        <f t="shared" si="61"/>
        <v>0</v>
      </c>
      <c r="X348" s="138">
        <f t="shared" si="62"/>
        <v>3363819.423543883</v>
      </c>
    </row>
    <row r="349" spans="4:24">
      <c r="D349" s="9" t="s">
        <v>1365</v>
      </c>
      <c r="E349" s="9" t="s">
        <v>2283</v>
      </c>
      <c r="F349" s="4" t="s">
        <v>2549</v>
      </c>
      <c r="G349" s="9" t="s">
        <v>2943</v>
      </c>
      <c r="H349" s="136">
        <v>0</v>
      </c>
      <c r="I349" s="137">
        <v>0</v>
      </c>
      <c r="J349" s="137">
        <v>0</v>
      </c>
      <c r="K349" s="137">
        <v>0</v>
      </c>
      <c r="L349" s="149">
        <f t="shared" si="55"/>
        <v>0</v>
      </c>
      <c r="M349" s="138">
        <f t="shared" si="56"/>
        <v>0</v>
      </c>
      <c r="N349" s="139">
        <f>INDEX('CHIRP Payment Calc'!AM:AM,MATCH(F:F,'CHIRP Payment Calc'!C:C,0))</f>
        <v>0.55000000000000004</v>
      </c>
      <c r="O349" s="139">
        <f>INDEX('CHIRP Payment Calc'!AL:AL,MATCH(F:F,'CHIRP Payment Calc'!C:C,0))</f>
        <v>0.84</v>
      </c>
      <c r="P349" s="136">
        <f t="shared" si="57"/>
        <v>0</v>
      </c>
      <c r="Q349" s="149">
        <f t="shared" si="63"/>
        <v>0</v>
      </c>
      <c r="R349" s="149">
        <f t="shared" si="64"/>
        <v>0</v>
      </c>
      <c r="S349" s="137">
        <f t="shared" si="65"/>
        <v>0</v>
      </c>
      <c r="T349" s="137">
        <f t="shared" si="58"/>
        <v>0</v>
      </c>
      <c r="U349" s="137">
        <f t="shared" si="59"/>
        <v>0</v>
      </c>
      <c r="V349" s="137">
        <f t="shared" si="60"/>
        <v>0</v>
      </c>
      <c r="W349" s="137">
        <f t="shared" si="61"/>
        <v>0</v>
      </c>
      <c r="X349" s="138">
        <f t="shared" si="62"/>
        <v>0</v>
      </c>
    </row>
    <row r="350" spans="4:24">
      <c r="D350" s="9" t="s">
        <v>1365</v>
      </c>
      <c r="E350" s="9" t="s">
        <v>2283</v>
      </c>
      <c r="F350" s="4" t="s">
        <v>1596</v>
      </c>
      <c r="G350" s="9" t="s">
        <v>2624</v>
      </c>
      <c r="H350" s="136">
        <v>1575907.7339134505</v>
      </c>
      <c r="I350" s="137">
        <v>5043757.5285232021</v>
      </c>
      <c r="J350" s="137">
        <v>521342.29368039907</v>
      </c>
      <c r="K350" s="137">
        <v>1079245.6637162233</v>
      </c>
      <c r="L350" s="149">
        <f t="shared" si="55"/>
        <v>2097250.0275938497</v>
      </c>
      <c r="M350" s="138">
        <f t="shared" si="56"/>
        <v>6123003.1922394251</v>
      </c>
      <c r="N350" s="139">
        <f>INDEX('CHIRP Payment Calc'!AM:AM,MATCH(F:F,'CHIRP Payment Calc'!C:C,0))</f>
        <v>0.99</v>
      </c>
      <c r="O350" s="139">
        <f>INDEX('CHIRP Payment Calc'!AL:AL,MATCH(F:F,'CHIRP Payment Calc'!C:C,0))</f>
        <v>1.98</v>
      </c>
      <c r="P350" s="136">
        <f t="shared" si="57"/>
        <v>14199823.847951973</v>
      </c>
      <c r="Q350" s="149">
        <f t="shared" si="63"/>
        <v>704445.98660518799</v>
      </c>
      <c r="R350" s="149">
        <f t="shared" si="64"/>
        <v>169342.6777596841</v>
      </c>
      <c r="S350" s="137">
        <f t="shared" si="65"/>
        <v>873788.66436487203</v>
      </c>
      <c r="T350" s="137">
        <f t="shared" si="58"/>
        <v>1655330.1396013964</v>
      </c>
      <c r="U350" s="137">
        <f t="shared" si="59"/>
        <v>549073.26674850553</v>
      </c>
      <c r="V350" s="137">
        <f t="shared" si="60"/>
        <v>10595904.410054047</v>
      </c>
      <c r="W350" s="137">
        <f t="shared" si="61"/>
        <v>2273304.6959128957</v>
      </c>
      <c r="X350" s="138">
        <f t="shared" si="62"/>
        <v>15073612.512316843</v>
      </c>
    </row>
    <row r="351" spans="4:24">
      <c r="D351" s="9" t="s">
        <v>1365</v>
      </c>
      <c r="E351" s="9" t="s">
        <v>2283</v>
      </c>
      <c r="F351" s="4" t="s">
        <v>624</v>
      </c>
      <c r="G351" s="9" t="s">
        <v>2435</v>
      </c>
      <c r="H351" s="136">
        <v>3531878.5767816738</v>
      </c>
      <c r="I351" s="137">
        <v>19416507.964766756</v>
      </c>
      <c r="J351" s="137">
        <v>642082.80905959802</v>
      </c>
      <c r="K351" s="137">
        <v>2324467.121286165</v>
      </c>
      <c r="L351" s="149">
        <f t="shared" si="55"/>
        <v>4173961.3858412718</v>
      </c>
      <c r="M351" s="138">
        <f t="shared" si="56"/>
        <v>21740975.086052921</v>
      </c>
      <c r="N351" s="139">
        <f>INDEX('CHIRP Payment Calc'!AM:AM,MATCH(F:F,'CHIRP Payment Calc'!C:C,0))</f>
        <v>1.1000000000000001</v>
      </c>
      <c r="O351" s="139">
        <f>INDEX('CHIRP Payment Calc'!AL:AL,MATCH(F:F,'CHIRP Payment Calc'!C:C,0))</f>
        <v>1.4</v>
      </c>
      <c r="P351" s="136">
        <f t="shared" si="57"/>
        <v>35028722.644899487</v>
      </c>
      <c r="Q351" s="149">
        <f t="shared" si="63"/>
        <v>1895406.0595704666</v>
      </c>
      <c r="R351" s="149">
        <f t="shared" si="64"/>
        <v>252800.74849571419</v>
      </c>
      <c r="S351" s="137">
        <f t="shared" si="65"/>
        <v>2148206.8080661809</v>
      </c>
      <c r="T351" s="137">
        <f t="shared" si="58"/>
        <v>4122086.4026099113</v>
      </c>
      <c r="U351" s="137">
        <f t="shared" si="59"/>
        <v>751373.49996335944</v>
      </c>
      <c r="V351" s="137">
        <f t="shared" si="60"/>
        <v>28841497.242093854</v>
      </c>
      <c r="W351" s="137">
        <f t="shared" si="61"/>
        <v>3461972.3082985436</v>
      </c>
      <c r="X351" s="138">
        <f t="shared" si="62"/>
        <v>37176929.452965669</v>
      </c>
    </row>
    <row r="352" spans="4:24">
      <c r="D352" s="9" t="s">
        <v>1365</v>
      </c>
      <c r="E352" s="9" t="s">
        <v>2283</v>
      </c>
      <c r="F352" s="4" t="s">
        <v>1090</v>
      </c>
      <c r="G352" s="9" t="s">
        <v>2631</v>
      </c>
      <c r="H352" s="136">
        <v>2699336.7600682611</v>
      </c>
      <c r="I352" s="137">
        <v>3454552.6674151933</v>
      </c>
      <c r="J352" s="137">
        <v>1222394.3116727213</v>
      </c>
      <c r="K352" s="137">
        <v>1969998.867880936</v>
      </c>
      <c r="L352" s="149">
        <f t="shared" si="55"/>
        <v>3921731.0717409821</v>
      </c>
      <c r="M352" s="138">
        <f t="shared" si="56"/>
        <v>5424551.5352961291</v>
      </c>
      <c r="N352" s="139">
        <f>INDEX('CHIRP Payment Calc'!AM:AM,MATCH(F:F,'CHIRP Payment Calc'!C:C,0))</f>
        <v>0.94000000000000006</v>
      </c>
      <c r="O352" s="139">
        <f>INDEX('CHIRP Payment Calc'!AL:AL,MATCH(F:F,'CHIRP Payment Calc'!C:C,0))</f>
        <v>2.5299999999999998</v>
      </c>
      <c r="P352" s="136">
        <f t="shared" si="57"/>
        <v>17410542.591735728</v>
      </c>
      <c r="Q352" s="149">
        <f t="shared" si="63"/>
        <v>688010.82352670003</v>
      </c>
      <c r="R352" s="149">
        <f t="shared" si="64"/>
        <v>391477.51842836977</v>
      </c>
      <c r="S352" s="137">
        <f t="shared" si="65"/>
        <v>1079488.3419550699</v>
      </c>
      <c r="T352" s="137">
        <f t="shared" si="58"/>
        <v>2692176.7156118471</v>
      </c>
      <c r="U352" s="137">
        <f t="shared" si="59"/>
        <v>1222394.3116727215</v>
      </c>
      <c r="V352" s="137">
        <f t="shared" si="60"/>
        <v>9273228.9109394569</v>
      </c>
      <c r="W352" s="137">
        <f t="shared" si="61"/>
        <v>5302230.9954667743</v>
      </c>
      <c r="X352" s="138">
        <f t="shared" si="62"/>
        <v>18490030.933690801</v>
      </c>
    </row>
    <row r="353" spans="4:24">
      <c r="D353" s="9" t="s">
        <v>1365</v>
      </c>
      <c r="E353" s="9" t="s">
        <v>2283</v>
      </c>
      <c r="F353" s="4" t="s">
        <v>444</v>
      </c>
      <c r="G353" s="9" t="s">
        <v>2571</v>
      </c>
      <c r="H353" s="136">
        <v>0</v>
      </c>
      <c r="I353" s="137">
        <v>0</v>
      </c>
      <c r="J353" s="137">
        <v>0</v>
      </c>
      <c r="K353" s="137">
        <v>0</v>
      </c>
      <c r="L353" s="149">
        <f t="shared" si="55"/>
        <v>0</v>
      </c>
      <c r="M353" s="138">
        <f t="shared" si="56"/>
        <v>0</v>
      </c>
      <c r="N353" s="139">
        <f>INDEX('CHIRP Payment Calc'!AM:AM,MATCH(F:F,'CHIRP Payment Calc'!C:C,0))</f>
        <v>0.55000000000000004</v>
      </c>
      <c r="O353" s="139">
        <f>INDEX('CHIRP Payment Calc'!AL:AL,MATCH(F:F,'CHIRP Payment Calc'!C:C,0))</f>
        <v>0.84</v>
      </c>
      <c r="P353" s="136">
        <f t="shared" si="57"/>
        <v>0</v>
      </c>
      <c r="Q353" s="149">
        <f t="shared" si="63"/>
        <v>0</v>
      </c>
      <c r="R353" s="149">
        <f t="shared" si="64"/>
        <v>0</v>
      </c>
      <c r="S353" s="137">
        <f t="shared" si="65"/>
        <v>0</v>
      </c>
      <c r="T353" s="137">
        <f t="shared" si="58"/>
        <v>0</v>
      </c>
      <c r="U353" s="137">
        <f t="shared" si="59"/>
        <v>0</v>
      </c>
      <c r="V353" s="137">
        <f t="shared" si="60"/>
        <v>0</v>
      </c>
      <c r="W353" s="137">
        <f t="shared" si="61"/>
        <v>0</v>
      </c>
      <c r="X353" s="138">
        <f t="shared" si="62"/>
        <v>0</v>
      </c>
    </row>
    <row r="354" spans="4:24">
      <c r="D354" s="9" t="s">
        <v>1365</v>
      </c>
      <c r="E354" s="9" t="s">
        <v>2283</v>
      </c>
      <c r="F354" s="4" t="s">
        <v>1093</v>
      </c>
      <c r="G354" s="9" t="s">
        <v>2633</v>
      </c>
      <c r="H354" s="136">
        <v>862824.19470972521</v>
      </c>
      <c r="I354" s="137">
        <v>1517532.1840229281</v>
      </c>
      <c r="J354" s="137">
        <v>309986.93744524714</v>
      </c>
      <c r="K354" s="137">
        <v>351475.99383971182</v>
      </c>
      <c r="L354" s="149">
        <f t="shared" si="55"/>
        <v>1172811.1321549723</v>
      </c>
      <c r="M354" s="138">
        <f t="shared" si="56"/>
        <v>1869008.17786264</v>
      </c>
      <c r="N354" s="139">
        <f>INDEX('CHIRP Payment Calc'!AM:AM,MATCH(F:F,'CHIRP Payment Calc'!C:C,0))</f>
        <v>0.84000000000000008</v>
      </c>
      <c r="O354" s="139">
        <f>INDEX('CHIRP Payment Calc'!AL:AL,MATCH(F:F,'CHIRP Payment Calc'!C:C,0))</f>
        <v>2.5299999999999998</v>
      </c>
      <c r="P354" s="136">
        <f t="shared" si="57"/>
        <v>5713752.0410026554</v>
      </c>
      <c r="Q354" s="149">
        <f t="shared" si="63"/>
        <v>278448.17302410095</v>
      </c>
      <c r="R354" s="149">
        <f t="shared" si="64"/>
        <v>73380.210119264593</v>
      </c>
      <c r="S354" s="137">
        <f t="shared" si="65"/>
        <v>351828.38314336556</v>
      </c>
      <c r="T354" s="137">
        <f t="shared" si="58"/>
        <v>768989.20271211595</v>
      </c>
      <c r="U354" s="137">
        <f t="shared" si="59"/>
        <v>277009.60367447621</v>
      </c>
      <c r="V354" s="137">
        <f t="shared" si="60"/>
        <v>4073587.7194461618</v>
      </c>
      <c r="W354" s="137">
        <f t="shared" si="61"/>
        <v>945993.89831326692</v>
      </c>
      <c r="X354" s="138">
        <f t="shared" si="62"/>
        <v>6065580.4241460208</v>
      </c>
    </row>
    <row r="355" spans="4:24">
      <c r="D355" s="9" t="s">
        <v>1365</v>
      </c>
      <c r="E355" s="9" t="s">
        <v>2283</v>
      </c>
      <c r="F355" s="4" t="s">
        <v>829</v>
      </c>
      <c r="G355" s="9" t="s">
        <v>2438</v>
      </c>
      <c r="H355" s="136">
        <v>1255338.7046964185</v>
      </c>
      <c r="I355" s="137">
        <v>2553406.0596379838</v>
      </c>
      <c r="J355" s="137">
        <v>220513.02499635451</v>
      </c>
      <c r="K355" s="137">
        <v>440550.25361982634</v>
      </c>
      <c r="L355" s="149">
        <f t="shared" si="55"/>
        <v>1475851.729692773</v>
      </c>
      <c r="M355" s="138">
        <f t="shared" si="56"/>
        <v>2993956.3132578102</v>
      </c>
      <c r="N355" s="139">
        <f>INDEX('CHIRP Payment Calc'!AM:AM,MATCH(F:F,'CHIRP Payment Calc'!C:C,0))</f>
        <v>1.03</v>
      </c>
      <c r="O355" s="139">
        <f>INDEX('CHIRP Payment Calc'!AL:AL,MATCH(F:F,'CHIRP Payment Calc'!C:C,0))</f>
        <v>1.9699999999999998</v>
      </c>
      <c r="P355" s="136">
        <f t="shared" si="57"/>
        <v>7418221.2187014418</v>
      </c>
      <c r="Q355" s="149">
        <f t="shared" si="63"/>
        <v>385766.05431420472</v>
      </c>
      <c r="R355" s="149">
        <f t="shared" si="64"/>
        <v>69894.409492168284</v>
      </c>
      <c r="S355" s="137">
        <f t="shared" si="65"/>
        <v>455660.46380637301</v>
      </c>
      <c r="T355" s="137">
        <f t="shared" si="58"/>
        <v>1371882.0857690303</v>
      </c>
      <c r="U355" s="137">
        <f t="shared" si="59"/>
        <v>241625.97419813316</v>
      </c>
      <c r="V355" s="137">
        <f t="shared" si="60"/>
        <v>5337092.771869313</v>
      </c>
      <c r="W355" s="137">
        <f t="shared" si="61"/>
        <v>923280.85067133815</v>
      </c>
      <c r="X355" s="138">
        <f t="shared" si="62"/>
        <v>7873881.6825078148</v>
      </c>
    </row>
    <row r="356" spans="4:24">
      <c r="D356" s="9" t="s">
        <v>1365</v>
      </c>
      <c r="E356" s="9" t="s">
        <v>2283</v>
      </c>
      <c r="F356" s="4" t="s">
        <v>627</v>
      </c>
      <c r="G356" s="9" t="s">
        <v>2439</v>
      </c>
      <c r="H356" s="136">
        <v>798281.05709959369</v>
      </c>
      <c r="I356" s="137">
        <v>359771.40690107853</v>
      </c>
      <c r="J356" s="137">
        <v>377957.27373727004</v>
      </c>
      <c r="K356" s="137">
        <v>1865899.1913204447</v>
      </c>
      <c r="L356" s="149">
        <f t="shared" si="55"/>
        <v>1176238.3308368637</v>
      </c>
      <c r="M356" s="138">
        <f t="shared" si="56"/>
        <v>2225670.5982215232</v>
      </c>
      <c r="N356" s="139">
        <f>INDEX('CHIRP Payment Calc'!AM:AM,MATCH(F:F,'CHIRP Payment Calc'!C:C,0))</f>
        <v>1.35</v>
      </c>
      <c r="O356" s="139">
        <f>INDEX('CHIRP Payment Calc'!AL:AL,MATCH(F:F,'CHIRP Payment Calc'!C:C,0))</f>
        <v>2.35</v>
      </c>
      <c r="P356" s="136">
        <f t="shared" si="57"/>
        <v>6818247.6524503464</v>
      </c>
      <c r="Q356" s="149">
        <f t="shared" si="63"/>
        <v>117326.97975051905</v>
      </c>
      <c r="R356" s="149">
        <f t="shared" si="64"/>
        <v>312453.53739244858</v>
      </c>
      <c r="S356" s="137">
        <f t="shared" si="65"/>
        <v>429780.51714296761</v>
      </c>
      <c r="T356" s="137">
        <f t="shared" si="58"/>
        <v>1143426.4478349618</v>
      </c>
      <c r="U356" s="137">
        <f t="shared" si="59"/>
        <v>542810.97823969636</v>
      </c>
      <c r="V356" s="137">
        <f t="shared" si="60"/>
        <v>897042.76521754323</v>
      </c>
      <c r="W356" s="137">
        <f t="shared" si="61"/>
        <v>4664747.9783011125</v>
      </c>
      <c r="X356" s="138">
        <f t="shared" si="62"/>
        <v>7248028.1695933137</v>
      </c>
    </row>
    <row r="357" spans="4:24">
      <c r="D357" s="9" t="s">
        <v>1365</v>
      </c>
      <c r="E357" s="9" t="s">
        <v>2283</v>
      </c>
      <c r="F357" s="4" t="s">
        <v>1102</v>
      </c>
      <c r="G357" s="9" t="s">
        <v>2621</v>
      </c>
      <c r="H357" s="136">
        <v>5852530.7438422963</v>
      </c>
      <c r="I357" s="137">
        <v>16601823.337751564</v>
      </c>
      <c r="J357" s="137">
        <v>5662140.4468215797</v>
      </c>
      <c r="K357" s="137">
        <v>13089321.384603119</v>
      </c>
      <c r="L357" s="149">
        <f t="shared" si="55"/>
        <v>11514671.190663876</v>
      </c>
      <c r="M357" s="138">
        <f t="shared" si="56"/>
        <v>29691144.72235468</v>
      </c>
      <c r="N357" s="139">
        <f>INDEX('CHIRP Payment Calc'!AM:AM,MATCH(F:F,'CHIRP Payment Calc'!C:C,0))</f>
        <v>0.83000000000000007</v>
      </c>
      <c r="O357" s="139">
        <f>INDEX('CHIRP Payment Calc'!AL:AL,MATCH(F:F,'CHIRP Payment Calc'!C:C,0))</f>
        <v>2.2799999999999998</v>
      </c>
      <c r="P357" s="136">
        <f t="shared" si="57"/>
        <v>77252987.05521968</v>
      </c>
      <c r="Q357" s="149">
        <f t="shared" si="63"/>
        <v>2605635.0868213298</v>
      </c>
      <c r="R357" s="149">
        <f t="shared" si="64"/>
        <v>2204886.9783674697</v>
      </c>
      <c r="S357" s="137">
        <f t="shared" si="65"/>
        <v>4810522.0651887991</v>
      </c>
      <c r="T357" s="137">
        <f t="shared" si="58"/>
        <v>5153952.8035958689</v>
      </c>
      <c r="U357" s="137">
        <f t="shared" si="59"/>
        <v>4999549.5434701191</v>
      </c>
      <c r="V357" s="137">
        <f t="shared" si="60"/>
        <v>40161440.010688126</v>
      </c>
      <c r="W357" s="137">
        <f t="shared" si="61"/>
        <v>31748566.762654372</v>
      </c>
      <c r="X357" s="138">
        <f t="shared" si="62"/>
        <v>82063509.120408475</v>
      </c>
    </row>
    <row r="358" spans="4:24">
      <c r="D358" s="9" t="s">
        <v>1365</v>
      </c>
      <c r="E358" s="9" t="s">
        <v>2283</v>
      </c>
      <c r="F358" s="4" t="s">
        <v>1099</v>
      </c>
      <c r="G358" s="9" t="s">
        <v>2625</v>
      </c>
      <c r="H358" s="136">
        <v>1288347.8504347601</v>
      </c>
      <c r="I358" s="137">
        <v>1115926.4365496254</v>
      </c>
      <c r="J358" s="137">
        <v>655177.84270609065</v>
      </c>
      <c r="K358" s="137">
        <v>498154.64361492824</v>
      </c>
      <c r="L358" s="149">
        <f t="shared" si="55"/>
        <v>1943525.6931408509</v>
      </c>
      <c r="M358" s="138">
        <f t="shared" si="56"/>
        <v>1614081.0801645536</v>
      </c>
      <c r="N358" s="139">
        <f>INDEX('CHIRP Payment Calc'!AM:AM,MATCH(F:F,'CHIRP Payment Calc'!C:C,0))</f>
        <v>0.95000000000000007</v>
      </c>
      <c r="O358" s="139">
        <f>INDEX('CHIRP Payment Calc'!AL:AL,MATCH(F:F,'CHIRP Payment Calc'!C:C,0))</f>
        <v>2.52</v>
      </c>
      <c r="P358" s="136">
        <f t="shared" si="57"/>
        <v>5913833.7304984834</v>
      </c>
      <c r="Q358" s="149">
        <f t="shared" si="63"/>
        <v>246232.08698784033</v>
      </c>
      <c r="R358" s="149">
        <f t="shared" si="64"/>
        <v>119857.57356257908</v>
      </c>
      <c r="S358" s="137">
        <f t="shared" si="65"/>
        <v>366089.66055041942</v>
      </c>
      <c r="T358" s="137">
        <f t="shared" si="58"/>
        <v>1298599.9553453815</v>
      </c>
      <c r="U358" s="137">
        <f t="shared" si="59"/>
        <v>662147.81975615548</v>
      </c>
      <c r="V358" s="137">
        <f t="shared" si="60"/>
        <v>2983697.2096605366</v>
      </c>
      <c r="W358" s="137">
        <f t="shared" si="61"/>
        <v>1335478.4062868289</v>
      </c>
      <c r="X358" s="138">
        <f t="shared" si="62"/>
        <v>6279923.3910489026</v>
      </c>
    </row>
    <row r="359" spans="4:24">
      <c r="D359" s="9" t="s">
        <v>1365</v>
      </c>
      <c r="E359" s="9" t="s">
        <v>2283</v>
      </c>
      <c r="F359" s="4" t="s">
        <v>8</v>
      </c>
      <c r="G359" s="9" t="s">
        <v>2634</v>
      </c>
      <c r="H359" s="136">
        <v>24108.252153689464</v>
      </c>
      <c r="I359" s="137">
        <v>0</v>
      </c>
      <c r="J359" s="137">
        <v>68995.288944843676</v>
      </c>
      <c r="K359" s="137">
        <v>58845.28177724962</v>
      </c>
      <c r="L359" s="149">
        <f t="shared" si="55"/>
        <v>93103.54109853314</v>
      </c>
      <c r="M359" s="138">
        <f t="shared" si="56"/>
        <v>58845.28177724962</v>
      </c>
      <c r="N359" s="139">
        <f>INDEX('CHIRP Payment Calc'!AM:AM,MATCH(F:F,'CHIRP Payment Calc'!C:C,0))</f>
        <v>0.93</v>
      </c>
      <c r="O359" s="139">
        <f>INDEX('CHIRP Payment Calc'!AL:AL,MATCH(F:F,'CHIRP Payment Calc'!C:C,0))</f>
        <v>3.23</v>
      </c>
      <c r="P359" s="136">
        <f t="shared" si="57"/>
        <v>276656.55336215207</v>
      </c>
      <c r="Q359" s="149">
        <f t="shared" si="63"/>
        <v>1367.8395585342644</v>
      </c>
      <c r="R359" s="149">
        <f t="shared" si="64"/>
        <v>16227.822054843891</v>
      </c>
      <c r="S359" s="137">
        <f t="shared" si="65"/>
        <v>17595.661613378157</v>
      </c>
      <c r="T359" s="137">
        <f t="shared" si="58"/>
        <v>23788.514061465467</v>
      </c>
      <c r="U359" s="137">
        <f t="shared" si="59"/>
        <v>68261.296509260239</v>
      </c>
      <c r="V359" s="137">
        <f t="shared" si="60"/>
        <v>0</v>
      </c>
      <c r="W359" s="137">
        <f t="shared" si="61"/>
        <v>202202.40440480458</v>
      </c>
      <c r="X359" s="138">
        <f t="shared" si="62"/>
        <v>294252.21497553028</v>
      </c>
    </row>
    <row r="360" spans="4:24">
      <c r="D360" s="9" t="s">
        <v>1365</v>
      </c>
      <c r="E360" s="9" t="s">
        <v>2283</v>
      </c>
      <c r="F360" s="4" t="s">
        <v>1169</v>
      </c>
      <c r="G360" s="9" t="s">
        <v>2434</v>
      </c>
      <c r="H360" s="136">
        <v>1032012.2106510302</v>
      </c>
      <c r="I360" s="137">
        <v>1590343.4206152305</v>
      </c>
      <c r="J360" s="137">
        <v>462609.74147163623</v>
      </c>
      <c r="K360" s="137">
        <v>939212.46060194587</v>
      </c>
      <c r="L360" s="149">
        <f t="shared" si="55"/>
        <v>1494621.9521226664</v>
      </c>
      <c r="M360" s="138">
        <f t="shared" si="56"/>
        <v>2529555.8812171761</v>
      </c>
      <c r="N360" s="139">
        <f>INDEX('CHIRP Payment Calc'!AM:AM,MATCH(F:F,'CHIRP Payment Calc'!C:C,0))</f>
        <v>1.1100000000000001</v>
      </c>
      <c r="O360" s="139">
        <f>INDEX('CHIRP Payment Calc'!AL:AL,MATCH(F:F,'CHIRP Payment Calc'!C:C,0))</f>
        <v>1.9300000000000002</v>
      </c>
      <c r="P360" s="136">
        <f t="shared" si="57"/>
        <v>6541073.2176053096</v>
      </c>
      <c r="Q360" s="149">
        <f t="shared" si="63"/>
        <v>257142.21798151429</v>
      </c>
      <c r="R360" s="149">
        <f t="shared" si="64"/>
        <v>148479.374169911</v>
      </c>
      <c r="S360" s="137">
        <f t="shared" si="65"/>
        <v>405621.59215142531</v>
      </c>
      <c r="T360" s="137">
        <f t="shared" si="58"/>
        <v>1215420.2162574467</v>
      </c>
      <c r="U360" s="137">
        <f t="shared" si="59"/>
        <v>546273.20535480464</v>
      </c>
      <c r="V360" s="137">
        <f t="shared" si="60"/>
        <v>3256618.3573341062</v>
      </c>
      <c r="W360" s="137">
        <f t="shared" si="61"/>
        <v>1928383.0308103785</v>
      </c>
      <c r="X360" s="138">
        <f t="shared" si="62"/>
        <v>6946694.8097567363</v>
      </c>
    </row>
    <row r="361" spans="4:24">
      <c r="D361" s="9" t="s">
        <v>1365</v>
      </c>
      <c r="E361" s="9" t="s">
        <v>2283</v>
      </c>
      <c r="F361" s="4" t="s">
        <v>1105</v>
      </c>
      <c r="G361" s="9" t="s">
        <v>2623</v>
      </c>
      <c r="H361" s="136">
        <v>2097490.4107604814</v>
      </c>
      <c r="I361" s="137">
        <v>7069975.9967201855</v>
      </c>
      <c r="J361" s="137">
        <v>1447518.3914542652</v>
      </c>
      <c r="K361" s="137">
        <v>1546700.8050655327</v>
      </c>
      <c r="L361" s="149">
        <f t="shared" si="55"/>
        <v>3545008.8022147464</v>
      </c>
      <c r="M361" s="138">
        <f t="shared" si="56"/>
        <v>8616676.8017857186</v>
      </c>
      <c r="N361" s="139">
        <f>INDEX('CHIRP Payment Calc'!AM:AM,MATCH(F:F,'CHIRP Payment Calc'!C:C,0))</f>
        <v>1.01</v>
      </c>
      <c r="O361" s="139">
        <f>INDEX('CHIRP Payment Calc'!AL:AL,MATCH(F:F,'CHIRP Payment Calc'!C:C,0))</f>
        <v>2.2199999999999998</v>
      </c>
      <c r="P361" s="136">
        <f t="shared" si="57"/>
        <v>22709481.390201189</v>
      </c>
      <c r="Q361" s="149">
        <f t="shared" si="63"/>
        <v>1086784.288155169</v>
      </c>
      <c r="R361" s="149">
        <f t="shared" si="64"/>
        <v>312489.53378389095</v>
      </c>
      <c r="S361" s="137">
        <f t="shared" si="65"/>
        <v>1399273.82193906</v>
      </c>
      <c r="T361" s="137">
        <f t="shared" si="58"/>
        <v>2247708.5568892159</v>
      </c>
      <c r="U361" s="137">
        <f t="shared" si="59"/>
        <v>1555312.3142221363</v>
      </c>
      <c r="V361" s="137">
        <f t="shared" si="60"/>
        <v>16652887.758852851</v>
      </c>
      <c r="W361" s="137">
        <f t="shared" si="61"/>
        <v>3652846.5821760455</v>
      </c>
      <c r="X361" s="138">
        <f t="shared" si="62"/>
        <v>24108755.212140247</v>
      </c>
    </row>
    <row r="362" spans="4:24">
      <c r="D362" s="9" t="s">
        <v>1365</v>
      </c>
      <c r="E362" s="9" t="s">
        <v>2283</v>
      </c>
      <c r="F362" s="4" t="s">
        <v>1420</v>
      </c>
      <c r="G362" s="9" t="s">
        <v>2653</v>
      </c>
      <c r="H362" s="136">
        <v>0</v>
      </c>
      <c r="I362" s="137">
        <v>0</v>
      </c>
      <c r="J362" s="137">
        <v>0</v>
      </c>
      <c r="K362" s="137">
        <v>0</v>
      </c>
      <c r="L362" s="149">
        <f t="shared" si="55"/>
        <v>0</v>
      </c>
      <c r="M362" s="138">
        <f t="shared" si="56"/>
        <v>0</v>
      </c>
      <c r="N362" s="139">
        <f>INDEX('CHIRP Payment Calc'!AM:AM,MATCH(F:F,'CHIRP Payment Calc'!C:C,0))</f>
        <v>0.55000000000000004</v>
      </c>
      <c r="O362" s="139">
        <f>INDEX('CHIRP Payment Calc'!AL:AL,MATCH(F:F,'CHIRP Payment Calc'!C:C,0))</f>
        <v>0.84</v>
      </c>
      <c r="P362" s="136">
        <f t="shared" si="57"/>
        <v>0</v>
      </c>
      <c r="Q362" s="149">
        <f t="shared" si="63"/>
        <v>0</v>
      </c>
      <c r="R362" s="149">
        <f t="shared" si="64"/>
        <v>0</v>
      </c>
      <c r="S362" s="137">
        <f t="shared" si="65"/>
        <v>0</v>
      </c>
      <c r="T362" s="137">
        <f t="shared" si="58"/>
        <v>0</v>
      </c>
      <c r="U362" s="137">
        <f t="shared" si="59"/>
        <v>0</v>
      </c>
      <c r="V362" s="137">
        <f t="shared" si="60"/>
        <v>0</v>
      </c>
      <c r="W362" s="137">
        <f t="shared" si="61"/>
        <v>0</v>
      </c>
      <c r="X362" s="138">
        <f t="shared" si="62"/>
        <v>0</v>
      </c>
    </row>
    <row r="363" spans="4:24">
      <c r="D363" s="9" t="s">
        <v>1365</v>
      </c>
      <c r="E363" s="9" t="s">
        <v>2283</v>
      </c>
      <c r="F363" s="4" t="s">
        <v>1096</v>
      </c>
      <c r="G363" s="9" t="s">
        <v>2622</v>
      </c>
      <c r="H363" s="136">
        <v>691217.48601234599</v>
      </c>
      <c r="I363" s="137">
        <v>107654.25470458546</v>
      </c>
      <c r="J363" s="137">
        <v>470881.61823583813</v>
      </c>
      <c r="K363" s="137">
        <v>326849.88221575634</v>
      </c>
      <c r="L363" s="149">
        <f t="shared" si="55"/>
        <v>1162099.1042481842</v>
      </c>
      <c r="M363" s="138">
        <f t="shared" si="56"/>
        <v>434504.13692034181</v>
      </c>
      <c r="N363" s="139">
        <f>INDEX('CHIRP Payment Calc'!AM:AM,MATCH(F:F,'CHIRP Payment Calc'!C:C,0))</f>
        <v>0.89000000000000012</v>
      </c>
      <c r="O363" s="139">
        <f>INDEX('CHIRP Payment Calc'!AL:AL,MATCH(F:F,'CHIRP Payment Calc'!C:C,0))</f>
        <v>2.23</v>
      </c>
      <c r="P363" s="136">
        <f t="shared" si="57"/>
        <v>2003212.4281132463</v>
      </c>
      <c r="Q363" s="149">
        <f t="shared" si="63"/>
        <v>52177.211306288889</v>
      </c>
      <c r="R363" s="149">
        <f t="shared" si="64"/>
        <v>73274.034738576564</v>
      </c>
      <c r="S363" s="137">
        <f t="shared" si="65"/>
        <v>125451.24604486546</v>
      </c>
      <c r="T363" s="137">
        <f t="shared" si="58"/>
        <v>652714.65522651246</v>
      </c>
      <c r="U363" s="137">
        <f t="shared" si="59"/>
        <v>445834.72364882554</v>
      </c>
      <c r="V363" s="137">
        <f t="shared" si="60"/>
        <v>254715.10662198998</v>
      </c>
      <c r="W363" s="137">
        <f t="shared" si="61"/>
        <v>775399.18866078369</v>
      </c>
      <c r="X363" s="138">
        <f t="shared" si="62"/>
        <v>2128663.6741581117</v>
      </c>
    </row>
    <row r="364" spans="4:24">
      <c r="D364" s="9" t="s">
        <v>1365</v>
      </c>
      <c r="E364" s="9" t="s">
        <v>2283</v>
      </c>
      <c r="F364" s="4" t="s">
        <v>636</v>
      </c>
      <c r="G364" s="9" t="s">
        <v>2437</v>
      </c>
      <c r="H364" s="136">
        <v>747939.39161162369</v>
      </c>
      <c r="I364" s="137">
        <v>210533.00732367267</v>
      </c>
      <c r="J364" s="137">
        <v>350697.02404555463</v>
      </c>
      <c r="K364" s="137">
        <v>756899.58507405513</v>
      </c>
      <c r="L364" s="149">
        <f t="shared" si="55"/>
        <v>1098636.4156571783</v>
      </c>
      <c r="M364" s="138">
        <f t="shared" si="56"/>
        <v>967432.59239772777</v>
      </c>
      <c r="N364" s="139">
        <f>INDEX('CHIRP Payment Calc'!AM:AM,MATCH(F:F,'CHIRP Payment Calc'!C:C,0))</f>
        <v>0.93</v>
      </c>
      <c r="O364" s="139">
        <f>INDEX('CHIRP Payment Calc'!AL:AL,MATCH(F:F,'CHIRP Payment Calc'!C:C,0))</f>
        <v>3.1199999999999997</v>
      </c>
      <c r="P364" s="136">
        <f t="shared" si="57"/>
        <v>4040121.554842086</v>
      </c>
      <c r="Q364" s="149">
        <f t="shared" si="63"/>
        <v>82510.005814640273</v>
      </c>
      <c r="R364" s="149">
        <f t="shared" si="64"/>
        <v>171553.71943362241</v>
      </c>
      <c r="S364" s="137">
        <f t="shared" si="65"/>
        <v>254063.72524826269</v>
      </c>
      <c r="T364" s="137">
        <f t="shared" si="58"/>
        <v>738019.77103322023</v>
      </c>
      <c r="U364" s="137">
        <f t="shared" si="59"/>
        <v>346966.20464081474</v>
      </c>
      <c r="V364" s="137">
        <f t="shared" si="60"/>
        <v>696936.85183008877</v>
      </c>
      <c r="W364" s="137">
        <f t="shared" si="61"/>
        <v>2512262.4525862252</v>
      </c>
      <c r="X364" s="138">
        <f t="shared" si="62"/>
        <v>4294185.2800903488</v>
      </c>
    </row>
    <row r="365" spans="4:24">
      <c r="D365" s="9" t="s">
        <v>1365</v>
      </c>
      <c r="E365" s="9" t="s">
        <v>2283</v>
      </c>
      <c r="F365" s="4" t="s">
        <v>2969</v>
      </c>
      <c r="G365" s="9" t="s">
        <v>2946</v>
      </c>
      <c r="H365" s="136">
        <v>0</v>
      </c>
      <c r="I365" s="137">
        <v>0</v>
      </c>
      <c r="J365" s="137">
        <v>0</v>
      </c>
      <c r="K365" s="137">
        <v>0</v>
      </c>
      <c r="L365" s="149">
        <f t="shared" si="55"/>
        <v>0</v>
      </c>
      <c r="M365" s="138">
        <f t="shared" si="56"/>
        <v>0</v>
      </c>
      <c r="N365" s="139">
        <f>INDEX('CHIRP Payment Calc'!AM:AM,MATCH(F:F,'CHIRP Payment Calc'!C:C,0))</f>
        <v>0.55000000000000004</v>
      </c>
      <c r="O365" s="139">
        <f>INDEX('CHIRP Payment Calc'!AL:AL,MATCH(F:F,'CHIRP Payment Calc'!C:C,0))</f>
        <v>0.84</v>
      </c>
      <c r="P365" s="136">
        <f t="shared" si="57"/>
        <v>0</v>
      </c>
      <c r="Q365" s="149">
        <f t="shared" si="63"/>
        <v>0</v>
      </c>
      <c r="R365" s="149">
        <f t="shared" si="64"/>
        <v>0</v>
      </c>
      <c r="S365" s="137">
        <f t="shared" si="65"/>
        <v>0</v>
      </c>
      <c r="T365" s="137">
        <f t="shared" si="58"/>
        <v>0</v>
      </c>
      <c r="U365" s="137">
        <f t="shared" si="59"/>
        <v>0</v>
      </c>
      <c r="V365" s="137">
        <f t="shared" si="60"/>
        <v>0</v>
      </c>
      <c r="W365" s="137">
        <f t="shared" si="61"/>
        <v>0</v>
      </c>
      <c r="X365" s="138">
        <f t="shared" si="62"/>
        <v>0</v>
      </c>
    </row>
    <row r="366" spans="4:24">
      <c r="D366" s="9" t="s">
        <v>1365</v>
      </c>
      <c r="E366" s="9" t="s">
        <v>2283</v>
      </c>
      <c r="F366" s="4" t="s">
        <v>405</v>
      </c>
      <c r="G366" s="9" t="s">
        <v>2636</v>
      </c>
      <c r="H366" s="136">
        <v>80739.887710786163</v>
      </c>
      <c r="I366" s="137">
        <v>0</v>
      </c>
      <c r="J366" s="137">
        <v>8128.3059602594712</v>
      </c>
      <c r="K366" s="137">
        <v>0</v>
      </c>
      <c r="L366" s="149">
        <f t="shared" si="55"/>
        <v>88868.193671045636</v>
      </c>
      <c r="M366" s="138">
        <f t="shared" si="56"/>
        <v>0</v>
      </c>
      <c r="N366" s="139">
        <f>INDEX('CHIRP Payment Calc'!AM:AM,MATCH(F:F,'CHIRP Payment Calc'!C:C,0))</f>
        <v>2.23</v>
      </c>
      <c r="O366" s="139">
        <f>INDEX('CHIRP Payment Calc'!AL:AL,MATCH(F:F,'CHIRP Payment Calc'!C:C,0))</f>
        <v>0.84</v>
      </c>
      <c r="P366" s="136">
        <f t="shared" si="57"/>
        <v>198176.07188643178</v>
      </c>
      <c r="Q366" s="149">
        <f t="shared" si="63"/>
        <v>10984.479683517831</v>
      </c>
      <c r="R366" s="149">
        <f t="shared" si="64"/>
        <v>1156.9865292369334</v>
      </c>
      <c r="S366" s="137">
        <f t="shared" si="65"/>
        <v>12141.466212754765</v>
      </c>
      <c r="T366" s="137">
        <f t="shared" si="58"/>
        <v>191034.42927857095</v>
      </c>
      <c r="U366" s="137">
        <f t="shared" si="59"/>
        <v>19283.108820615555</v>
      </c>
      <c r="V366" s="137">
        <f t="shared" si="60"/>
        <v>0</v>
      </c>
      <c r="W366" s="137">
        <f t="shared" si="61"/>
        <v>0</v>
      </c>
      <c r="X366" s="138">
        <f t="shared" si="62"/>
        <v>210317.53809918649</v>
      </c>
    </row>
    <row r="367" spans="4:24">
      <c r="D367" s="9" t="s">
        <v>1365</v>
      </c>
      <c r="E367" s="9" t="s">
        <v>2283</v>
      </c>
      <c r="F367" s="4" t="s">
        <v>639</v>
      </c>
      <c r="G367" s="9" t="s">
        <v>2436</v>
      </c>
      <c r="H367" s="136">
        <v>1546153.5838614705</v>
      </c>
      <c r="I367" s="137">
        <v>1569579.9782326538</v>
      </c>
      <c r="J367" s="137">
        <v>1775316.8074195257</v>
      </c>
      <c r="K367" s="137">
        <v>3710557.3902288862</v>
      </c>
      <c r="L367" s="149">
        <f t="shared" si="55"/>
        <v>3321470.3912809961</v>
      </c>
      <c r="M367" s="138">
        <f t="shared" si="56"/>
        <v>5280137.36846154</v>
      </c>
      <c r="N367" s="139">
        <f>INDEX('CHIRP Payment Calc'!AM:AM,MATCH(F:F,'CHIRP Payment Calc'!C:C,0))</f>
        <v>1.81</v>
      </c>
      <c r="O367" s="139">
        <f>INDEX('CHIRP Payment Calc'!AL:AL,MATCH(F:F,'CHIRP Payment Calc'!C:C,0))</f>
        <v>2.61</v>
      </c>
      <c r="P367" s="136">
        <f t="shared" si="57"/>
        <v>19793019.939903222</v>
      </c>
      <c r="Q367" s="149">
        <f t="shared" si="63"/>
        <v>420658.51403039583</v>
      </c>
      <c r="R367" s="149">
        <f t="shared" si="64"/>
        <v>823268.82191021729</v>
      </c>
      <c r="S367" s="137">
        <f t="shared" si="65"/>
        <v>1243927.3359406132</v>
      </c>
      <c r="T367" s="137">
        <f t="shared" si="58"/>
        <v>2969271.0735164578</v>
      </c>
      <c r="U367" s="137">
        <f t="shared" si="59"/>
        <v>3418429.1717333426</v>
      </c>
      <c r="V367" s="137">
        <f t="shared" si="60"/>
        <v>4346529.170490426</v>
      </c>
      <c r="W367" s="137">
        <f t="shared" si="61"/>
        <v>10302717.860103611</v>
      </c>
      <c r="X367" s="138">
        <f t="shared" si="62"/>
        <v>21036947.275843836</v>
      </c>
    </row>
    <row r="368" spans="4:24">
      <c r="D368" s="9" t="s">
        <v>1365</v>
      </c>
      <c r="E368" s="9" t="s">
        <v>2283</v>
      </c>
      <c r="F368" s="4" t="s">
        <v>469</v>
      </c>
      <c r="G368" s="9" t="s">
        <v>2581</v>
      </c>
      <c r="H368" s="136">
        <v>256152.98103334053</v>
      </c>
      <c r="I368" s="137">
        <v>61018.841868966054</v>
      </c>
      <c r="J368" s="137">
        <v>104849.53791189393</v>
      </c>
      <c r="K368" s="137">
        <v>445917.81080367509</v>
      </c>
      <c r="L368" s="149">
        <f t="shared" si="55"/>
        <v>361002.51894523448</v>
      </c>
      <c r="M368" s="138">
        <f t="shared" si="56"/>
        <v>506936.65267264115</v>
      </c>
      <c r="N368" s="139">
        <f>INDEX('CHIRP Payment Calc'!AM:AM,MATCH(F:F,'CHIRP Payment Calc'!C:C,0))</f>
        <v>0.71000000000000008</v>
      </c>
      <c r="O368" s="139">
        <f>INDEX('CHIRP Payment Calc'!AL:AL,MATCH(F:F,'CHIRP Payment Calc'!C:C,0))</f>
        <v>1.7999999999999998</v>
      </c>
      <c r="P368" s="136">
        <f t="shared" si="57"/>
        <v>1168797.7632618705</v>
      </c>
      <c r="Q368" s="149">
        <f t="shared" si="63"/>
        <v>17796.175686073333</v>
      </c>
      <c r="R368" s="149">
        <f t="shared" si="64"/>
        <v>55984.802001961274</v>
      </c>
      <c r="S368" s="137">
        <f t="shared" si="65"/>
        <v>73780.977688034603</v>
      </c>
      <c r="T368" s="137">
        <f t="shared" si="58"/>
        <v>192964.04937259608</v>
      </c>
      <c r="U368" s="137">
        <f t="shared" si="59"/>
        <v>79194.863741962457</v>
      </c>
      <c r="V368" s="137">
        <f t="shared" si="60"/>
        <v>116534.65821128794</v>
      </c>
      <c r="W368" s="137">
        <f t="shared" si="61"/>
        <v>853885.16962405865</v>
      </c>
      <c r="X368" s="138">
        <f t="shared" si="62"/>
        <v>1242578.740949905</v>
      </c>
    </row>
    <row r="369" spans="4:24">
      <c r="D369" s="9" t="s">
        <v>1365</v>
      </c>
      <c r="E369" s="9" t="s">
        <v>2283</v>
      </c>
      <c r="F369" s="4" t="s">
        <v>510</v>
      </c>
      <c r="G369" s="9" t="s">
        <v>2342</v>
      </c>
      <c r="H369" s="136">
        <v>2176376.2747676978</v>
      </c>
      <c r="I369" s="137">
        <v>15294842.92639148</v>
      </c>
      <c r="J369" s="137">
        <v>512972.11668376351</v>
      </c>
      <c r="K369" s="137">
        <v>1253232.9801005437</v>
      </c>
      <c r="L369" s="149">
        <f t="shared" si="55"/>
        <v>2689348.3914514612</v>
      </c>
      <c r="M369" s="138">
        <f t="shared" si="56"/>
        <v>16548075.906492025</v>
      </c>
      <c r="N369" s="139">
        <f>INDEX('CHIRP Payment Calc'!AM:AM,MATCH(F:F,'CHIRP Payment Calc'!C:C,0))</f>
        <v>1.02</v>
      </c>
      <c r="O369" s="139">
        <f>INDEX('CHIRP Payment Calc'!AL:AL,MATCH(F:F,'CHIRP Payment Calc'!C:C,0))</f>
        <v>1.75</v>
      </c>
      <c r="P369" s="136">
        <f t="shared" si="57"/>
        <v>31702268.195641533</v>
      </c>
      <c r="Q369" s="149">
        <f t="shared" si="63"/>
        <v>1768369.2710697805</v>
      </c>
      <c r="R369" s="149">
        <f t="shared" si="64"/>
        <v>173386.54941659942</v>
      </c>
      <c r="S369" s="137">
        <f t="shared" si="65"/>
        <v>1941755.8204863798</v>
      </c>
      <c r="T369" s="137">
        <f t="shared" si="58"/>
        <v>2355335.5970960762</v>
      </c>
      <c r="U369" s="137">
        <f t="shared" si="59"/>
        <v>556629.31810365827</v>
      </c>
      <c r="V369" s="137">
        <f t="shared" si="60"/>
        <v>28398912.595421847</v>
      </c>
      <c r="W369" s="137">
        <f t="shared" si="61"/>
        <v>2333146.5055063316</v>
      </c>
      <c r="X369" s="138">
        <f t="shared" si="62"/>
        <v>33644024.016127914</v>
      </c>
    </row>
    <row r="370" spans="4:24">
      <c r="D370" s="9" t="s">
        <v>1365</v>
      </c>
      <c r="E370" s="9" t="s">
        <v>2283</v>
      </c>
      <c r="F370" s="4" t="s">
        <v>121</v>
      </c>
      <c r="G370" s="9" t="s">
        <v>2760</v>
      </c>
      <c r="H370" s="136">
        <v>519888.59264732682</v>
      </c>
      <c r="I370" s="137">
        <v>0</v>
      </c>
      <c r="J370" s="137">
        <v>0</v>
      </c>
      <c r="K370" s="137">
        <v>0</v>
      </c>
      <c r="L370" s="149">
        <f t="shared" si="55"/>
        <v>519888.59264732682</v>
      </c>
      <c r="M370" s="138">
        <f t="shared" si="56"/>
        <v>0</v>
      </c>
      <c r="N370" s="139">
        <f>INDEX('CHIRP Payment Calc'!AM:AM,MATCH(F:F,'CHIRP Payment Calc'!C:C,0))</f>
        <v>1.6500000000000001</v>
      </c>
      <c r="O370" s="139">
        <f>INDEX('CHIRP Payment Calc'!AL:AL,MATCH(F:F,'CHIRP Payment Calc'!C:C,0))</f>
        <v>0.84</v>
      </c>
      <c r="P370" s="136">
        <f t="shared" si="57"/>
        <v>857816.17786808929</v>
      </c>
      <c r="Q370" s="149">
        <f t="shared" si="63"/>
        <v>52333.612973384763</v>
      </c>
      <c r="R370" s="149">
        <f t="shared" si="64"/>
        <v>0</v>
      </c>
      <c r="S370" s="137">
        <f t="shared" si="65"/>
        <v>52333.612973384763</v>
      </c>
      <c r="T370" s="137">
        <f t="shared" si="58"/>
        <v>910149.79084147408</v>
      </c>
      <c r="U370" s="137">
        <f t="shared" si="59"/>
        <v>0</v>
      </c>
      <c r="V370" s="137">
        <f t="shared" si="60"/>
        <v>0</v>
      </c>
      <c r="W370" s="137">
        <f t="shared" si="61"/>
        <v>0</v>
      </c>
      <c r="X370" s="138">
        <f t="shared" si="62"/>
        <v>910149.79084147408</v>
      </c>
    </row>
    <row r="371" spans="4:24">
      <c r="D371" s="9" t="s">
        <v>1365</v>
      </c>
      <c r="E371" s="9" t="s">
        <v>2283</v>
      </c>
      <c r="F371" s="4" t="s">
        <v>265</v>
      </c>
      <c r="G371" s="9" t="s">
        <v>2874</v>
      </c>
      <c r="H371" s="136">
        <v>962751.62723586382</v>
      </c>
      <c r="I371" s="137">
        <v>2123663.0631338647</v>
      </c>
      <c r="J371" s="137">
        <v>300272.12158695789</v>
      </c>
      <c r="K371" s="137">
        <v>795461.15156399354</v>
      </c>
      <c r="L371" s="149">
        <f t="shared" si="55"/>
        <v>1263023.7488228218</v>
      </c>
      <c r="M371" s="138">
        <f t="shared" si="56"/>
        <v>2919124.2146978583</v>
      </c>
      <c r="N371" s="139">
        <f>INDEX('CHIRP Payment Calc'!AM:AM,MATCH(F:F,'CHIRP Payment Calc'!C:C,0))</f>
        <v>1.1100000000000001</v>
      </c>
      <c r="O371" s="139">
        <f>INDEX('CHIRP Payment Calc'!AL:AL,MATCH(F:F,'CHIRP Payment Calc'!C:C,0))</f>
        <v>2.17</v>
      </c>
      <c r="P371" s="136">
        <f t="shared" si="57"/>
        <v>7736455.9070876855</v>
      </c>
      <c r="Q371" s="149">
        <f t="shared" si="63"/>
        <v>346342.36743857508</v>
      </c>
      <c r="R371" s="149">
        <f t="shared" si="64"/>
        <v>131454.43109715253</v>
      </c>
      <c r="S371" s="137">
        <f t="shared" si="65"/>
        <v>477796.7985357276</v>
      </c>
      <c r="T371" s="137">
        <f t="shared" si="58"/>
        <v>1133850.7227923702</v>
      </c>
      <c r="U371" s="137">
        <f t="shared" si="59"/>
        <v>354576.65421438654</v>
      </c>
      <c r="V371" s="137">
        <f t="shared" si="60"/>
        <v>4889494.7978785001</v>
      </c>
      <c r="W371" s="137">
        <f t="shared" si="61"/>
        <v>1836330.5307381554</v>
      </c>
      <c r="X371" s="138">
        <f t="shared" si="62"/>
        <v>8214252.7056234125</v>
      </c>
    </row>
    <row r="372" spans="4:24">
      <c r="D372" s="9" t="s">
        <v>1365</v>
      </c>
      <c r="E372" s="9" t="s">
        <v>2283</v>
      </c>
      <c r="F372" s="4" t="s">
        <v>1411</v>
      </c>
      <c r="G372" s="9" t="s">
        <v>2649</v>
      </c>
      <c r="H372" s="136">
        <v>0</v>
      </c>
      <c r="I372" s="137">
        <v>0</v>
      </c>
      <c r="J372" s="137">
        <v>0</v>
      </c>
      <c r="K372" s="137">
        <v>0</v>
      </c>
      <c r="L372" s="149">
        <f t="shared" si="55"/>
        <v>0</v>
      </c>
      <c r="M372" s="138">
        <f t="shared" si="56"/>
        <v>0</v>
      </c>
      <c r="N372" s="139">
        <f>INDEX('CHIRP Payment Calc'!AM:AM,MATCH(F:F,'CHIRP Payment Calc'!C:C,0))</f>
        <v>0.55000000000000004</v>
      </c>
      <c r="O372" s="139">
        <f>INDEX('CHIRP Payment Calc'!AL:AL,MATCH(F:F,'CHIRP Payment Calc'!C:C,0))</f>
        <v>0.84</v>
      </c>
      <c r="P372" s="136">
        <f t="shared" si="57"/>
        <v>0</v>
      </c>
      <c r="Q372" s="149">
        <f t="shared" si="63"/>
        <v>0</v>
      </c>
      <c r="R372" s="149">
        <f t="shared" si="64"/>
        <v>0</v>
      </c>
      <c r="S372" s="137">
        <f t="shared" si="65"/>
        <v>0</v>
      </c>
      <c r="T372" s="137">
        <f t="shared" si="58"/>
        <v>0</v>
      </c>
      <c r="U372" s="137">
        <f t="shared" si="59"/>
        <v>0</v>
      </c>
      <c r="V372" s="137">
        <f t="shared" si="60"/>
        <v>0</v>
      </c>
      <c r="W372" s="137">
        <f t="shared" si="61"/>
        <v>0</v>
      </c>
      <c r="X372" s="138">
        <f t="shared" si="62"/>
        <v>0</v>
      </c>
    </row>
    <row r="373" spans="4:24">
      <c r="D373" s="9" t="s">
        <v>1365</v>
      </c>
      <c r="E373" s="9" t="s">
        <v>2283</v>
      </c>
      <c r="F373" s="4" t="s">
        <v>1423</v>
      </c>
      <c r="G373" s="9" t="s">
        <v>2646</v>
      </c>
      <c r="H373" s="136">
        <v>0</v>
      </c>
      <c r="I373" s="137">
        <v>0</v>
      </c>
      <c r="J373" s="137">
        <v>0</v>
      </c>
      <c r="K373" s="137">
        <v>0</v>
      </c>
      <c r="L373" s="149">
        <f t="shared" si="55"/>
        <v>0</v>
      </c>
      <c r="M373" s="138">
        <f t="shared" si="56"/>
        <v>0</v>
      </c>
      <c r="N373" s="139">
        <f>INDEX('CHIRP Payment Calc'!AM:AM,MATCH(F:F,'CHIRP Payment Calc'!C:C,0))</f>
        <v>0.55000000000000004</v>
      </c>
      <c r="O373" s="139">
        <f>INDEX('CHIRP Payment Calc'!AL:AL,MATCH(F:F,'CHIRP Payment Calc'!C:C,0))</f>
        <v>0.84</v>
      </c>
      <c r="P373" s="136">
        <f t="shared" si="57"/>
        <v>0</v>
      </c>
      <c r="Q373" s="149">
        <f t="shared" si="63"/>
        <v>0</v>
      </c>
      <c r="R373" s="149">
        <f t="shared" si="64"/>
        <v>0</v>
      </c>
      <c r="S373" s="137">
        <f t="shared" si="65"/>
        <v>0</v>
      </c>
      <c r="T373" s="137">
        <f t="shared" si="58"/>
        <v>0</v>
      </c>
      <c r="U373" s="137">
        <f t="shared" si="59"/>
        <v>0</v>
      </c>
      <c r="V373" s="137">
        <f t="shared" si="60"/>
        <v>0</v>
      </c>
      <c r="W373" s="137">
        <f t="shared" si="61"/>
        <v>0</v>
      </c>
      <c r="X373" s="138">
        <f t="shared" si="62"/>
        <v>0</v>
      </c>
    </row>
    <row r="374" spans="4:24">
      <c r="D374" s="9" t="s">
        <v>1365</v>
      </c>
      <c r="E374" s="9" t="s">
        <v>2283</v>
      </c>
      <c r="F374" s="4" t="s">
        <v>1363</v>
      </c>
      <c r="G374" s="9" t="s">
        <v>2847</v>
      </c>
      <c r="H374" s="136">
        <v>6724.1000948078745</v>
      </c>
      <c r="I374" s="137">
        <v>0</v>
      </c>
      <c r="J374" s="137">
        <v>40263.831109661463</v>
      </c>
      <c r="K374" s="137">
        <v>0</v>
      </c>
      <c r="L374" s="149">
        <f t="shared" si="55"/>
        <v>46987.931204469336</v>
      </c>
      <c r="M374" s="138">
        <f t="shared" si="56"/>
        <v>0</v>
      </c>
      <c r="N374" s="139">
        <f>INDEX('CHIRP Payment Calc'!AM:AM,MATCH(F:F,'CHIRP Payment Calc'!C:C,0))</f>
        <v>0.55000000000000004</v>
      </c>
      <c r="O374" s="139">
        <f>INDEX('CHIRP Payment Calc'!AL:AL,MATCH(F:F,'CHIRP Payment Calc'!C:C,0))</f>
        <v>0.84</v>
      </c>
      <c r="P374" s="136">
        <f t="shared" si="57"/>
        <v>25843.362162458136</v>
      </c>
      <c r="Q374" s="149">
        <f t="shared" si="63"/>
        <v>225.62298726609978</v>
      </c>
      <c r="R374" s="149">
        <f t="shared" si="64"/>
        <v>1413.5174751264135</v>
      </c>
      <c r="S374" s="137">
        <f t="shared" si="65"/>
        <v>1639.1404623925132</v>
      </c>
      <c r="T374" s="137">
        <f t="shared" si="58"/>
        <v>3923.878039410431</v>
      </c>
      <c r="U374" s="137">
        <f t="shared" si="59"/>
        <v>23558.624585440222</v>
      </c>
      <c r="V374" s="137">
        <f t="shared" si="60"/>
        <v>0</v>
      </c>
      <c r="W374" s="137">
        <f t="shared" si="61"/>
        <v>0</v>
      </c>
      <c r="X374" s="138">
        <f t="shared" si="62"/>
        <v>27482.502624850655</v>
      </c>
    </row>
    <row r="375" spans="4:24">
      <c r="D375" s="9" t="s">
        <v>1365</v>
      </c>
      <c r="E375" s="9" t="s">
        <v>2283</v>
      </c>
      <c r="F375" s="4" t="s">
        <v>930</v>
      </c>
      <c r="G375" s="9" t="s">
        <v>2431</v>
      </c>
      <c r="H375" s="136">
        <v>936176.38348745089</v>
      </c>
      <c r="I375" s="137">
        <v>1310209.298251854</v>
      </c>
      <c r="J375" s="137">
        <v>154505.35659848768</v>
      </c>
      <c r="K375" s="137">
        <v>685098.80384075292</v>
      </c>
      <c r="L375" s="149">
        <f t="shared" si="55"/>
        <v>1090681.7400859385</v>
      </c>
      <c r="M375" s="138">
        <f t="shared" si="56"/>
        <v>1995308.1020926069</v>
      </c>
      <c r="N375" s="139">
        <f>INDEX('CHIRP Payment Calc'!AM:AM,MATCH(F:F,'CHIRP Payment Calc'!C:C,0))</f>
        <v>1.04</v>
      </c>
      <c r="O375" s="139">
        <f>INDEX('CHIRP Payment Calc'!AL:AL,MATCH(F:F,'CHIRP Payment Calc'!C:C,0))</f>
        <v>1.45</v>
      </c>
      <c r="P375" s="136">
        <f t="shared" si="57"/>
        <v>4027505.7577236556</v>
      </c>
      <c r="Q375" s="149">
        <f t="shared" si="63"/>
        <v>175301.90766503758</v>
      </c>
      <c r="R375" s="149">
        <f t="shared" si="64"/>
        <v>73664.606580735257</v>
      </c>
      <c r="S375" s="137">
        <f t="shared" si="65"/>
        <v>248966.51424577285</v>
      </c>
      <c r="T375" s="137">
        <f t="shared" si="58"/>
        <v>1033022.2162620148</v>
      </c>
      <c r="U375" s="137">
        <f t="shared" si="59"/>
        <v>170942.0966621566</v>
      </c>
      <c r="V375" s="137">
        <f t="shared" si="60"/>
        <v>2015706.6126951601</v>
      </c>
      <c r="W375" s="137">
        <f t="shared" si="61"/>
        <v>1056801.3463500976</v>
      </c>
      <c r="X375" s="138">
        <f t="shared" si="62"/>
        <v>4276472.2719694283</v>
      </c>
    </row>
    <row r="376" spans="4:24">
      <c r="D376" s="9" t="s">
        <v>1365</v>
      </c>
      <c r="E376" s="9" t="s">
        <v>2283</v>
      </c>
      <c r="F376" s="4" t="s">
        <v>144</v>
      </c>
      <c r="G376" s="9" t="s">
        <v>2638</v>
      </c>
      <c r="H376" s="136">
        <v>597831.21827085677</v>
      </c>
      <c r="I376" s="137">
        <v>1720600.8145705315</v>
      </c>
      <c r="J376" s="137">
        <v>129324.55708868659</v>
      </c>
      <c r="K376" s="137">
        <v>110012.12306221991</v>
      </c>
      <c r="L376" s="149">
        <f t="shared" si="55"/>
        <v>727155.77535954339</v>
      </c>
      <c r="M376" s="138">
        <f t="shared" si="56"/>
        <v>1830612.9376327514</v>
      </c>
      <c r="N376" s="139">
        <f>INDEX('CHIRP Payment Calc'!AM:AM,MATCH(F:F,'CHIRP Payment Calc'!C:C,0))</f>
        <v>0.89000000000000012</v>
      </c>
      <c r="O376" s="139">
        <f>INDEX('CHIRP Payment Calc'!AL:AL,MATCH(F:F,'CHIRP Payment Calc'!C:C,0))</f>
        <v>2.37</v>
      </c>
      <c r="P376" s="136">
        <f t="shared" si="57"/>
        <v>4985721.3022596147</v>
      </c>
      <c r="Q376" s="149">
        <f t="shared" si="63"/>
        <v>281240.20010674838</v>
      </c>
      <c r="R376" s="149">
        <f t="shared" si="64"/>
        <v>23988.99494466334</v>
      </c>
      <c r="S376" s="137">
        <f t="shared" si="65"/>
        <v>305229.19505141175</v>
      </c>
      <c r="T376" s="137">
        <f t="shared" si="58"/>
        <v>564530.27507805056</v>
      </c>
      <c r="U376" s="137">
        <f t="shared" si="59"/>
        <v>122445.5912860969</v>
      </c>
      <c r="V376" s="137">
        <f t="shared" si="60"/>
        <v>4326603.6398219205</v>
      </c>
      <c r="W376" s="137">
        <f t="shared" si="61"/>
        <v>277370.99112495873</v>
      </c>
      <c r="X376" s="138">
        <f t="shared" si="62"/>
        <v>5290950.4973110268</v>
      </c>
    </row>
    <row r="377" spans="4:24">
      <c r="D377" s="9" t="s">
        <v>1365</v>
      </c>
      <c r="E377" s="9" t="s">
        <v>2283</v>
      </c>
      <c r="F377" s="4" t="s">
        <v>918</v>
      </c>
      <c r="G377" s="9" t="s">
        <v>2829</v>
      </c>
      <c r="H377" s="136">
        <v>13821984.112149166</v>
      </c>
      <c r="I377" s="137">
        <v>15565139.571529647</v>
      </c>
      <c r="J377" s="137">
        <v>11156793.026387779</v>
      </c>
      <c r="K377" s="137">
        <v>13521766.240175718</v>
      </c>
      <c r="L377" s="149">
        <f t="shared" si="55"/>
        <v>24978777.138536945</v>
      </c>
      <c r="M377" s="138">
        <f t="shared" si="56"/>
        <v>29086905.811705366</v>
      </c>
      <c r="N377" s="139">
        <f>INDEX('CHIRP Payment Calc'!AM:AM,MATCH(F:F,'CHIRP Payment Calc'!C:C,0))</f>
        <v>0.58000000000000007</v>
      </c>
      <c r="O377" s="139">
        <f>INDEX('CHIRP Payment Calc'!AL:AL,MATCH(F:F,'CHIRP Payment Calc'!C:C,0))</f>
        <v>1.28</v>
      </c>
      <c r="P377" s="136">
        <f t="shared" si="57"/>
        <v>51718930.179334298</v>
      </c>
      <c r="Q377" s="149">
        <f t="shared" si="63"/>
        <v>1704570.2308803785</v>
      </c>
      <c r="R377" s="149">
        <f t="shared" si="64"/>
        <v>1517795.7920891384</v>
      </c>
      <c r="S377" s="137">
        <f t="shared" si="65"/>
        <v>3222366.0229695169</v>
      </c>
      <c r="T377" s="137">
        <f t="shared" si="58"/>
        <v>8505836.3767071795</v>
      </c>
      <c r="U377" s="137">
        <f t="shared" si="59"/>
        <v>6883978.6758562904</v>
      </c>
      <c r="V377" s="137">
        <f t="shared" si="60"/>
        <v>21138863.290777665</v>
      </c>
      <c r="W377" s="137">
        <f t="shared" si="61"/>
        <v>18412617.858962681</v>
      </c>
      <c r="X377" s="138">
        <f t="shared" si="62"/>
        <v>54941296.202303812</v>
      </c>
    </row>
    <row r="378" spans="4:24">
      <c r="D378" s="9" t="s">
        <v>1202</v>
      </c>
      <c r="E378" s="9" t="s">
        <v>1547</v>
      </c>
      <c r="F378" s="4" t="s">
        <v>393</v>
      </c>
      <c r="G378" s="9" t="s">
        <v>2467</v>
      </c>
      <c r="H378" s="136">
        <v>19434355.892021421</v>
      </c>
      <c r="I378" s="137">
        <v>61704810.627670087</v>
      </c>
      <c r="J378" s="137">
        <v>140265.15165055945</v>
      </c>
      <c r="K378" s="137">
        <v>899746.13245549204</v>
      </c>
      <c r="L378" s="149">
        <f t="shared" si="55"/>
        <v>19574621.043671981</v>
      </c>
      <c r="M378" s="138">
        <f t="shared" si="56"/>
        <v>62604556.760125577</v>
      </c>
      <c r="N378" s="139">
        <f>INDEX('CHIRP Payment Calc'!AM:AM,MATCH(F:F,'CHIRP Payment Calc'!C:C,0))</f>
        <v>1.52</v>
      </c>
      <c r="O378" s="139">
        <f>INDEX('CHIRP Payment Calc'!AL:AL,MATCH(F:F,'CHIRP Payment Calc'!C:C,0))</f>
        <v>1.48</v>
      </c>
      <c r="P378" s="136">
        <f t="shared" si="57"/>
        <v>122408167.99136727</v>
      </c>
      <c r="Q378" s="149">
        <f t="shared" si="63"/>
        <v>7373625.5590211106</v>
      </c>
      <c r="R378" s="149">
        <f t="shared" si="64"/>
        <v>98605.998289977375</v>
      </c>
      <c r="S378" s="137">
        <f t="shared" si="65"/>
        <v>7472231.5573110878</v>
      </c>
      <c r="T378" s="137">
        <f t="shared" si="58"/>
        <v>31342409.502252053</v>
      </c>
      <c r="U378" s="137">
        <f t="shared" si="59"/>
        <v>226811.7345838834</v>
      </c>
      <c r="V378" s="137">
        <f t="shared" si="60"/>
        <v>96894556.741593346</v>
      </c>
      <c r="W378" s="137">
        <f t="shared" si="61"/>
        <v>1416621.5702490727</v>
      </c>
      <c r="X378" s="138">
        <f t="shared" si="62"/>
        <v>129880399.54867835</v>
      </c>
    </row>
    <row r="379" spans="4:24">
      <c r="D379" s="9" t="s">
        <v>1202</v>
      </c>
      <c r="E379" s="9" t="s">
        <v>2544</v>
      </c>
      <c r="F379" s="4" t="s">
        <v>1213</v>
      </c>
      <c r="G379" s="9" t="s">
        <v>3017</v>
      </c>
      <c r="H379" s="136">
        <v>0</v>
      </c>
      <c r="I379" s="137">
        <v>1301219.8927996513</v>
      </c>
      <c r="J379" s="137">
        <v>0</v>
      </c>
      <c r="K379" s="137">
        <v>0</v>
      </c>
      <c r="L379" s="149">
        <f t="shared" si="55"/>
        <v>0</v>
      </c>
      <c r="M379" s="138">
        <f t="shared" si="56"/>
        <v>1301219.8927996513</v>
      </c>
      <c r="N379" s="139">
        <f>INDEX('CHIRP Payment Calc'!AM:AM,MATCH(F:F,'CHIRP Payment Calc'!C:C,0))</f>
        <v>0</v>
      </c>
      <c r="O379" s="139">
        <f>INDEX('CHIRP Payment Calc'!AL:AL,MATCH(F:F,'CHIRP Payment Calc'!C:C,0))</f>
        <v>0.28999999999999998</v>
      </c>
      <c r="P379" s="136">
        <f t="shared" si="57"/>
        <v>377353.76891189883</v>
      </c>
      <c r="Q379" s="149">
        <f t="shared" si="63"/>
        <v>23021.58271876306</v>
      </c>
      <c r="R379" s="149">
        <f t="shared" si="64"/>
        <v>0</v>
      </c>
      <c r="S379" s="137">
        <f t="shared" si="65"/>
        <v>23021.58271876306</v>
      </c>
      <c r="T379" s="137">
        <f t="shared" si="58"/>
        <v>0</v>
      </c>
      <c r="U379" s="137">
        <f t="shared" si="59"/>
        <v>0</v>
      </c>
      <c r="V379" s="137">
        <f t="shared" si="60"/>
        <v>400375.35163066187</v>
      </c>
      <c r="W379" s="137">
        <f t="shared" si="61"/>
        <v>0</v>
      </c>
      <c r="X379" s="138">
        <f t="shared" si="62"/>
        <v>400375.35163066187</v>
      </c>
    </row>
    <row r="380" spans="4:24">
      <c r="D380" s="9" t="s">
        <v>1202</v>
      </c>
      <c r="E380" s="9" t="s">
        <v>2544</v>
      </c>
      <c r="F380" s="4" t="s">
        <v>1304</v>
      </c>
      <c r="G380" s="9" t="s">
        <v>2803</v>
      </c>
      <c r="H380" s="136">
        <v>0</v>
      </c>
      <c r="I380" s="137">
        <v>81795.555919790437</v>
      </c>
      <c r="J380" s="137">
        <v>0</v>
      </c>
      <c r="K380" s="137">
        <v>0</v>
      </c>
      <c r="L380" s="149">
        <f t="shared" si="55"/>
        <v>0</v>
      </c>
      <c r="M380" s="138">
        <f t="shared" si="56"/>
        <v>81795.555919790437</v>
      </c>
      <c r="N380" s="139">
        <f>INDEX('CHIRP Payment Calc'!AM:AM,MATCH(F:F,'CHIRP Payment Calc'!C:C,0))</f>
        <v>0</v>
      </c>
      <c r="O380" s="139">
        <f>INDEX('CHIRP Payment Calc'!AL:AL,MATCH(F:F,'CHIRP Payment Calc'!C:C,0))</f>
        <v>0.28999999999999998</v>
      </c>
      <c r="P380" s="136">
        <f t="shared" si="57"/>
        <v>23720.711216739226</v>
      </c>
      <c r="Q380" s="149">
        <f t="shared" si="63"/>
        <v>1447.1521431962922</v>
      </c>
      <c r="R380" s="149">
        <f t="shared" si="64"/>
        <v>0</v>
      </c>
      <c r="S380" s="137">
        <f t="shared" si="65"/>
        <v>1447.1521431962922</v>
      </c>
      <c r="T380" s="137">
        <f t="shared" si="58"/>
        <v>0</v>
      </c>
      <c r="U380" s="137">
        <f t="shared" si="59"/>
        <v>0</v>
      </c>
      <c r="V380" s="137">
        <f t="shared" si="60"/>
        <v>25167.863359935516</v>
      </c>
      <c r="W380" s="137">
        <f t="shared" si="61"/>
        <v>0</v>
      </c>
      <c r="X380" s="138">
        <f t="shared" si="62"/>
        <v>25167.863359935516</v>
      </c>
    </row>
    <row r="381" spans="4:24">
      <c r="D381" s="9" t="s">
        <v>1202</v>
      </c>
      <c r="E381" s="9" t="s">
        <v>2544</v>
      </c>
      <c r="F381" s="4" t="s">
        <v>1245</v>
      </c>
      <c r="G381" s="9" t="s">
        <v>2735</v>
      </c>
      <c r="H381" s="136">
        <v>0</v>
      </c>
      <c r="I381" s="137">
        <v>1377580.423091081</v>
      </c>
      <c r="J381" s="137">
        <v>0</v>
      </c>
      <c r="K381" s="137">
        <v>0</v>
      </c>
      <c r="L381" s="149">
        <f t="shared" si="55"/>
        <v>0</v>
      </c>
      <c r="M381" s="138">
        <f t="shared" si="56"/>
        <v>1377580.423091081</v>
      </c>
      <c r="N381" s="139">
        <f>INDEX('CHIRP Payment Calc'!AM:AM,MATCH(F:F,'CHIRP Payment Calc'!C:C,0))</f>
        <v>0</v>
      </c>
      <c r="O381" s="139">
        <f>INDEX('CHIRP Payment Calc'!AL:AL,MATCH(F:F,'CHIRP Payment Calc'!C:C,0))</f>
        <v>0.28999999999999998</v>
      </c>
      <c r="P381" s="136">
        <f t="shared" si="57"/>
        <v>399498.32269641344</v>
      </c>
      <c r="Q381" s="149">
        <f t="shared" si="63"/>
        <v>24372.576716226817</v>
      </c>
      <c r="R381" s="149">
        <f t="shared" si="64"/>
        <v>0</v>
      </c>
      <c r="S381" s="137">
        <f t="shared" si="65"/>
        <v>24372.576716226817</v>
      </c>
      <c r="T381" s="137">
        <f t="shared" si="58"/>
        <v>0</v>
      </c>
      <c r="U381" s="137">
        <f t="shared" si="59"/>
        <v>0</v>
      </c>
      <c r="V381" s="137">
        <f t="shared" si="60"/>
        <v>423870.89941264025</v>
      </c>
      <c r="W381" s="137">
        <f t="shared" si="61"/>
        <v>0</v>
      </c>
      <c r="X381" s="138">
        <f t="shared" si="62"/>
        <v>423870.89941264025</v>
      </c>
    </row>
    <row r="382" spans="4:24">
      <c r="D382" s="9" t="s">
        <v>1202</v>
      </c>
      <c r="E382" s="9" t="s">
        <v>2544</v>
      </c>
      <c r="F382" s="4" t="s">
        <v>1310</v>
      </c>
      <c r="G382" s="9" t="s">
        <v>2464</v>
      </c>
      <c r="H382" s="136">
        <v>0</v>
      </c>
      <c r="I382" s="137">
        <v>65460.243001008625</v>
      </c>
      <c r="J382" s="137">
        <v>0</v>
      </c>
      <c r="K382" s="137">
        <v>0</v>
      </c>
      <c r="L382" s="149">
        <f t="shared" si="55"/>
        <v>0</v>
      </c>
      <c r="M382" s="138">
        <f t="shared" si="56"/>
        <v>65460.243001008625</v>
      </c>
      <c r="N382" s="139">
        <f>INDEX('CHIRP Payment Calc'!AM:AM,MATCH(F:F,'CHIRP Payment Calc'!C:C,0))</f>
        <v>0</v>
      </c>
      <c r="O382" s="139">
        <f>INDEX('CHIRP Payment Calc'!AL:AL,MATCH(F:F,'CHIRP Payment Calc'!C:C,0))</f>
        <v>0.28999999999999998</v>
      </c>
      <c r="P382" s="136">
        <f t="shared" si="57"/>
        <v>18983.470470292501</v>
      </c>
      <c r="Q382" s="149">
        <f t="shared" si="63"/>
        <v>1158.1427607870758</v>
      </c>
      <c r="R382" s="149">
        <f t="shared" si="64"/>
        <v>0</v>
      </c>
      <c r="S382" s="137">
        <f t="shared" si="65"/>
        <v>1158.1427607870758</v>
      </c>
      <c r="T382" s="137">
        <f t="shared" si="58"/>
        <v>0</v>
      </c>
      <c r="U382" s="137">
        <f t="shared" si="59"/>
        <v>0</v>
      </c>
      <c r="V382" s="137">
        <f t="shared" si="60"/>
        <v>20141.613231079577</v>
      </c>
      <c r="W382" s="137">
        <f t="shared" si="61"/>
        <v>0</v>
      </c>
      <c r="X382" s="138">
        <f t="shared" si="62"/>
        <v>20141.613231079577</v>
      </c>
    </row>
    <row r="383" spans="4:24">
      <c r="D383" s="9" t="s">
        <v>1202</v>
      </c>
      <c r="E383" s="9" t="s">
        <v>2544</v>
      </c>
      <c r="F383" s="4" t="s">
        <v>1343</v>
      </c>
      <c r="G383" s="9" t="s">
        <v>2845</v>
      </c>
      <c r="H383" s="136">
        <v>0</v>
      </c>
      <c r="I383" s="137">
        <v>1998544.0856444507</v>
      </c>
      <c r="J383" s="137">
        <v>0</v>
      </c>
      <c r="K383" s="137">
        <v>0</v>
      </c>
      <c r="L383" s="149">
        <f t="shared" si="55"/>
        <v>0</v>
      </c>
      <c r="M383" s="138">
        <f t="shared" si="56"/>
        <v>1998544.0856444507</v>
      </c>
      <c r="N383" s="139">
        <f>INDEX('CHIRP Payment Calc'!AM:AM,MATCH(F:F,'CHIRP Payment Calc'!C:C,0))</f>
        <v>0</v>
      </c>
      <c r="O383" s="139">
        <f>INDEX('CHIRP Payment Calc'!AL:AL,MATCH(F:F,'CHIRP Payment Calc'!C:C,0))</f>
        <v>0.28999999999999998</v>
      </c>
      <c r="P383" s="136">
        <f t="shared" si="57"/>
        <v>579577.78483689064</v>
      </c>
      <c r="Q383" s="149">
        <f t="shared" si="63"/>
        <v>35358.856899863364</v>
      </c>
      <c r="R383" s="149">
        <f t="shared" si="64"/>
        <v>0</v>
      </c>
      <c r="S383" s="137">
        <f t="shared" si="65"/>
        <v>35358.856899863364</v>
      </c>
      <c r="T383" s="137">
        <f t="shared" si="58"/>
        <v>0</v>
      </c>
      <c r="U383" s="137">
        <f t="shared" si="59"/>
        <v>0</v>
      </c>
      <c r="V383" s="137">
        <f t="shared" si="60"/>
        <v>614936.6417367541</v>
      </c>
      <c r="W383" s="137">
        <f t="shared" si="61"/>
        <v>0</v>
      </c>
      <c r="X383" s="138">
        <f t="shared" si="62"/>
        <v>614936.6417367541</v>
      </c>
    </row>
    <row r="384" spans="4:24">
      <c r="D384" s="9" t="s">
        <v>1202</v>
      </c>
      <c r="E384" s="9" t="s">
        <v>2544</v>
      </c>
      <c r="F384" s="4" t="s">
        <v>1263</v>
      </c>
      <c r="G384" s="9" t="s">
        <v>2583</v>
      </c>
      <c r="H384" s="136">
        <v>0</v>
      </c>
      <c r="I384" s="137">
        <v>48518.781870927065</v>
      </c>
      <c r="J384" s="137">
        <v>0</v>
      </c>
      <c r="K384" s="137">
        <v>0</v>
      </c>
      <c r="L384" s="149">
        <f t="shared" si="55"/>
        <v>0</v>
      </c>
      <c r="M384" s="138">
        <f t="shared" si="56"/>
        <v>48518.781870927065</v>
      </c>
      <c r="N384" s="139">
        <f>INDEX('CHIRP Payment Calc'!AM:AM,MATCH(F:F,'CHIRP Payment Calc'!C:C,0))</f>
        <v>0</v>
      </c>
      <c r="O384" s="139">
        <f>INDEX('CHIRP Payment Calc'!AL:AL,MATCH(F:F,'CHIRP Payment Calc'!C:C,0))</f>
        <v>0.28999999999999998</v>
      </c>
      <c r="P384" s="136">
        <f t="shared" si="57"/>
        <v>14070.446742568847</v>
      </c>
      <c r="Q384" s="149">
        <f t="shared" si="63"/>
        <v>858.40921771640194</v>
      </c>
      <c r="R384" s="149">
        <f t="shared" si="64"/>
        <v>0</v>
      </c>
      <c r="S384" s="137">
        <f t="shared" si="65"/>
        <v>858.40921771640194</v>
      </c>
      <c r="T384" s="137">
        <f t="shared" si="58"/>
        <v>0</v>
      </c>
      <c r="U384" s="137">
        <f t="shared" si="59"/>
        <v>0</v>
      </c>
      <c r="V384" s="137">
        <f t="shared" si="60"/>
        <v>14928.855960285251</v>
      </c>
      <c r="W384" s="137">
        <f t="shared" si="61"/>
        <v>0</v>
      </c>
      <c r="X384" s="138">
        <f t="shared" si="62"/>
        <v>14928.855960285251</v>
      </c>
    </row>
    <row r="385" spans="4:24">
      <c r="D385" s="9" t="s">
        <v>1202</v>
      </c>
      <c r="E385" s="9" t="s">
        <v>2295</v>
      </c>
      <c r="F385" s="4" t="s">
        <v>1026</v>
      </c>
      <c r="G385" s="9" t="s">
        <v>2463</v>
      </c>
      <c r="H385" s="136">
        <v>142.75764562936919</v>
      </c>
      <c r="I385" s="137">
        <v>552842.3779385438</v>
      </c>
      <c r="J385" s="137">
        <v>910.94936731990742</v>
      </c>
      <c r="K385" s="137">
        <v>454105.12228260993</v>
      </c>
      <c r="L385" s="149">
        <f t="shared" si="55"/>
        <v>1053.7070129492765</v>
      </c>
      <c r="M385" s="138">
        <f t="shared" si="56"/>
        <v>1006947.5002211537</v>
      </c>
      <c r="N385" s="139">
        <f>INDEX('CHIRP Payment Calc'!AM:AM,MATCH(F:F,'CHIRP Payment Calc'!C:C,0))</f>
        <v>0.22</v>
      </c>
      <c r="O385" s="139">
        <f>INDEX('CHIRP Payment Calc'!AL:AL,MATCH(F:F,'CHIRP Payment Calc'!C:C,0))</f>
        <v>0.27</v>
      </c>
      <c r="P385" s="136">
        <f t="shared" si="57"/>
        <v>272107.64060256036</v>
      </c>
      <c r="Q385" s="149">
        <f t="shared" si="63"/>
        <v>9108.4178267513034</v>
      </c>
      <c r="R385" s="149">
        <f t="shared" si="64"/>
        <v>7838.8590559860695</v>
      </c>
      <c r="S385" s="137">
        <f t="shared" si="65"/>
        <v>16947.276882737373</v>
      </c>
      <c r="T385" s="137">
        <f t="shared" si="58"/>
        <v>33.322739563354084</v>
      </c>
      <c r="U385" s="137">
        <f t="shared" si="59"/>
        <v>213.20091575572303</v>
      </c>
      <c r="V385" s="137">
        <f t="shared" si="60"/>
        <v>158373.94381263322</v>
      </c>
      <c r="W385" s="137">
        <f t="shared" si="61"/>
        <v>130434.45001734543</v>
      </c>
      <c r="X385" s="138">
        <f t="shared" si="62"/>
        <v>289054.91748529777</v>
      </c>
    </row>
    <row r="386" spans="4:24">
      <c r="D386" s="9" t="s">
        <v>1202</v>
      </c>
      <c r="E386" s="9" t="s">
        <v>2295</v>
      </c>
      <c r="F386" s="4" t="s">
        <v>1020</v>
      </c>
      <c r="G386" s="9" t="s">
        <v>2691</v>
      </c>
      <c r="H386" s="136">
        <v>0</v>
      </c>
      <c r="I386" s="137">
        <v>860738.75073967467</v>
      </c>
      <c r="J386" s="137">
        <v>2932.9116713238591</v>
      </c>
      <c r="K386" s="137">
        <v>247726.51157903284</v>
      </c>
      <c r="L386" s="149">
        <f t="shared" si="55"/>
        <v>2932.9116713238591</v>
      </c>
      <c r="M386" s="138">
        <f t="shared" si="56"/>
        <v>1108465.2623187075</v>
      </c>
      <c r="N386" s="139">
        <f>INDEX('CHIRP Payment Calc'!AM:AM,MATCH(F:F,'CHIRP Payment Calc'!C:C,0))</f>
        <v>1.83</v>
      </c>
      <c r="O386" s="139">
        <f>INDEX('CHIRP Payment Calc'!AL:AL,MATCH(F:F,'CHIRP Payment Calc'!C:C,0))</f>
        <v>0.43</v>
      </c>
      <c r="P386" s="136">
        <f t="shared" si="57"/>
        <v>482007.29115556687</v>
      </c>
      <c r="Q386" s="149">
        <f t="shared" si="63"/>
        <v>22580.122665292794</v>
      </c>
      <c r="R386" s="149">
        <f t="shared" si="64"/>
        <v>7141.8911704791581</v>
      </c>
      <c r="S386" s="137">
        <f t="shared" si="65"/>
        <v>29722.013835771952</v>
      </c>
      <c r="T386" s="137">
        <f t="shared" si="58"/>
        <v>0</v>
      </c>
      <c r="U386" s="137">
        <f t="shared" si="59"/>
        <v>5709.8174026836832</v>
      </c>
      <c r="V386" s="137">
        <f t="shared" si="60"/>
        <v>392697.7854833529</v>
      </c>
      <c r="W386" s="137">
        <f t="shared" si="61"/>
        <v>113321.70210530228</v>
      </c>
      <c r="X386" s="138">
        <f t="shared" si="62"/>
        <v>511729.30499133887</v>
      </c>
    </row>
    <row r="387" spans="4:24">
      <c r="D387" s="9" t="s">
        <v>1202</v>
      </c>
      <c r="E387" s="9" t="s">
        <v>2295</v>
      </c>
      <c r="F387" s="4" t="s">
        <v>375</v>
      </c>
      <c r="G387" s="9" t="s">
        <v>2865</v>
      </c>
      <c r="H387" s="136">
        <v>1915928.2467147049</v>
      </c>
      <c r="I387" s="137">
        <v>1802745.5720098494</v>
      </c>
      <c r="J387" s="137">
        <v>944788.52085315366</v>
      </c>
      <c r="K387" s="137">
        <v>564844.81553445675</v>
      </c>
      <c r="L387" s="149">
        <f t="shared" si="55"/>
        <v>2860716.7675678586</v>
      </c>
      <c r="M387" s="138">
        <f t="shared" si="56"/>
        <v>2367590.387544306</v>
      </c>
      <c r="N387" s="139">
        <f>INDEX('CHIRP Payment Calc'!AM:AM,MATCH(F:F,'CHIRP Payment Calc'!C:C,0))</f>
        <v>0.29000000000000004</v>
      </c>
      <c r="O387" s="139">
        <f>INDEX('CHIRP Payment Calc'!AL:AL,MATCH(F:F,'CHIRP Payment Calc'!C:C,0))</f>
        <v>0.28999999999999998</v>
      </c>
      <c r="P387" s="136">
        <f t="shared" si="57"/>
        <v>1516209.0749825276</v>
      </c>
      <c r="Q387" s="149">
        <f t="shared" si="63"/>
        <v>65791.921408203663</v>
      </c>
      <c r="R387" s="149">
        <f t="shared" si="64"/>
        <v>27944.276652281307</v>
      </c>
      <c r="S387" s="137">
        <f t="shared" si="65"/>
        <v>93736.198060484967</v>
      </c>
      <c r="T387" s="137">
        <f t="shared" si="58"/>
        <v>589516.38360452466</v>
      </c>
      <c r="U387" s="137">
        <f t="shared" si="59"/>
        <v>291477.30962490919</v>
      </c>
      <c r="V387" s="137">
        <f t="shared" si="60"/>
        <v>554690.94523379975</v>
      </c>
      <c r="W387" s="137">
        <f t="shared" si="61"/>
        <v>174260.6345797792</v>
      </c>
      <c r="X387" s="138">
        <f t="shared" si="62"/>
        <v>1609945.2730430127</v>
      </c>
    </row>
    <row r="388" spans="4:24">
      <c r="D388" s="9" t="s">
        <v>1202</v>
      </c>
      <c r="E388" s="9" t="s">
        <v>2295</v>
      </c>
      <c r="F388" s="4" t="s">
        <v>423</v>
      </c>
      <c r="G388" s="9" t="s">
        <v>2453</v>
      </c>
      <c r="H388" s="136">
        <v>317286.12617042504</v>
      </c>
      <c r="I388" s="137">
        <v>120853.91482165661</v>
      </c>
      <c r="J388" s="137">
        <v>239405.62738156991</v>
      </c>
      <c r="K388" s="137">
        <v>208414.93118588088</v>
      </c>
      <c r="L388" s="149">
        <f t="shared" ref="L388:L411" si="66">H388+J388</f>
        <v>556691.75355199492</v>
      </c>
      <c r="M388" s="138">
        <f t="shared" ref="M388:M411" si="67">I388+K388</f>
        <v>329268.8460075375</v>
      </c>
      <c r="N388" s="139">
        <f>INDEX('CHIRP Payment Calc'!AM:AM,MATCH(F:F,'CHIRP Payment Calc'!C:C,0))</f>
        <v>0.45999999999999996</v>
      </c>
      <c r="O388" s="139">
        <f>INDEX('CHIRP Payment Calc'!AL:AL,MATCH(F:F,'CHIRP Payment Calc'!C:C,0))</f>
        <v>0.05</v>
      </c>
      <c r="P388" s="136">
        <f t="shared" ref="P388:P410" si="68">(L388*N388)+(M388*O388)</f>
        <v>272541.64893429453</v>
      </c>
      <c r="Q388" s="149">
        <f t="shared" si="63"/>
        <v>9272.8626443713565</v>
      </c>
      <c r="R388" s="149">
        <f t="shared" si="64"/>
        <v>7694.510754562737</v>
      </c>
      <c r="S388" s="137">
        <f t="shared" si="65"/>
        <v>16967.373398934094</v>
      </c>
      <c r="T388" s="137">
        <f t="shared" ref="T388:T410" si="69">H388/(1-$B$10)*N388</f>
        <v>154855.82815744879</v>
      </c>
      <c r="U388" s="137">
        <f t="shared" ref="U388:U410" si="70">J388/(1-$B$11)*N388</f>
        <v>117155.94531438527</v>
      </c>
      <c r="V388" s="137">
        <f t="shared" ref="V388:V410" si="71">I388/(1-$B$10)*O388</f>
        <v>6411.3482664008816</v>
      </c>
      <c r="W388" s="137">
        <f t="shared" ref="W388:W410" si="72">K388/(1-$B$11)*O388</f>
        <v>11085.900594993665</v>
      </c>
      <c r="X388" s="138">
        <f t="shared" ref="X388:X410" si="73">SUM(T388:W388)</f>
        <v>289509.02233322861</v>
      </c>
    </row>
    <row r="389" spans="4:24">
      <c r="D389" s="9" t="s">
        <v>1202</v>
      </c>
      <c r="E389" s="9" t="s">
        <v>2295</v>
      </c>
      <c r="F389" s="4" t="s">
        <v>1008</v>
      </c>
      <c r="G389" s="9" t="s">
        <v>2570</v>
      </c>
      <c r="H389" s="136">
        <v>534536.95898533147</v>
      </c>
      <c r="I389" s="137">
        <v>47828.430402954255</v>
      </c>
      <c r="J389" s="137">
        <v>187140.54428445554</v>
      </c>
      <c r="K389" s="137">
        <v>31227.335931868689</v>
      </c>
      <c r="L389" s="149">
        <f t="shared" si="66"/>
        <v>721677.50326978695</v>
      </c>
      <c r="M389" s="138">
        <f t="shared" si="67"/>
        <v>79055.76633482294</v>
      </c>
      <c r="N389" s="139">
        <f>INDEX('CHIRP Payment Calc'!AM:AM,MATCH(F:F,'CHIRP Payment Calc'!C:C,0))</f>
        <v>0.32</v>
      </c>
      <c r="O389" s="139">
        <f>INDEX('CHIRP Payment Calc'!AL:AL,MATCH(F:F,'CHIRP Payment Calc'!C:C,0))</f>
        <v>0.58000000000000007</v>
      </c>
      <c r="P389" s="136">
        <f t="shared" si="68"/>
        <v>276789.14552052913</v>
      </c>
      <c r="Q389" s="149">
        <f t="shared" si="63"/>
        <v>12127.913208773074</v>
      </c>
      <c r="R389" s="149">
        <f t="shared" si="64"/>
        <v>4978.5210007346568</v>
      </c>
      <c r="S389" s="137">
        <f t="shared" si="65"/>
        <v>17106.43420950773</v>
      </c>
      <c r="T389" s="137">
        <f t="shared" si="69"/>
        <v>181487.34946982074</v>
      </c>
      <c r="U389" s="137">
        <f t="shared" si="70"/>
        <v>63707.419330878482</v>
      </c>
      <c r="V389" s="137">
        <f t="shared" si="71"/>
        <v>29432.880247971854</v>
      </c>
      <c r="W389" s="137">
        <f t="shared" si="72"/>
        <v>19267.930681365789</v>
      </c>
      <c r="X389" s="138">
        <f t="shared" si="73"/>
        <v>293895.57973003684</v>
      </c>
    </row>
    <row r="390" spans="4:24">
      <c r="D390" s="9" t="s">
        <v>1202</v>
      </c>
      <c r="E390" s="9" t="s">
        <v>2964</v>
      </c>
      <c r="F390" s="4" t="s">
        <v>2306</v>
      </c>
      <c r="G390" s="9" t="s">
        <v>2699</v>
      </c>
      <c r="H390" s="136">
        <v>0</v>
      </c>
      <c r="I390" s="137">
        <v>137454.67531284908</v>
      </c>
      <c r="J390" s="137">
        <v>0</v>
      </c>
      <c r="K390" s="137">
        <v>0</v>
      </c>
      <c r="L390" s="149">
        <f t="shared" si="66"/>
        <v>0</v>
      </c>
      <c r="M390" s="138">
        <f t="shared" si="67"/>
        <v>137454.67531284908</v>
      </c>
      <c r="N390" s="139">
        <f>INDEX('CHIRP Payment Calc'!AM:AM,MATCH(F:F,'CHIRP Payment Calc'!C:C,0))</f>
        <v>0</v>
      </c>
      <c r="O390" s="139">
        <f>INDEX('CHIRP Payment Calc'!AL:AL,MATCH(F:F,'CHIRP Payment Calc'!C:C,0))</f>
        <v>2.5499999999999998</v>
      </c>
      <c r="P390" s="136">
        <f t="shared" si="68"/>
        <v>350509.42204776511</v>
      </c>
      <c r="Q390" s="149">
        <f t="shared" ref="Q390:Q410" si="74">(T390+V390)*$B$10</f>
        <v>21383.863944558616</v>
      </c>
      <c r="R390" s="149">
        <f t="shared" ref="R390:R410" si="75">(U390+W390)*$B$11</f>
        <v>0</v>
      </c>
      <c r="S390" s="137">
        <f t="shared" ref="S390:S410" si="76">(T390+V390)*$B$10+(U390+W390)*$B$11</f>
        <v>21383.863944558616</v>
      </c>
      <c r="T390" s="137">
        <f t="shared" si="69"/>
        <v>0</v>
      </c>
      <c r="U390" s="137">
        <f t="shared" si="70"/>
        <v>0</v>
      </c>
      <c r="V390" s="137">
        <f t="shared" si="71"/>
        <v>371893.28599232377</v>
      </c>
      <c r="W390" s="137">
        <f t="shared" si="72"/>
        <v>0</v>
      </c>
      <c r="X390" s="138">
        <f t="shared" si="73"/>
        <v>371893.28599232377</v>
      </c>
    </row>
    <row r="391" spans="4:24">
      <c r="D391" s="9" t="s">
        <v>1202</v>
      </c>
      <c r="E391" s="9" t="s">
        <v>2283</v>
      </c>
      <c r="F391" s="4" t="s">
        <v>1023</v>
      </c>
      <c r="G391" s="9" t="s">
        <v>2470</v>
      </c>
      <c r="H391" s="136">
        <v>3112077.1065753889</v>
      </c>
      <c r="I391" s="137">
        <v>2232648.4296224597</v>
      </c>
      <c r="J391" s="137">
        <v>3371674.5697350292</v>
      </c>
      <c r="K391" s="137">
        <v>7285241.4168760935</v>
      </c>
      <c r="L391" s="149">
        <f t="shared" si="66"/>
        <v>6483751.6763104182</v>
      </c>
      <c r="M391" s="138">
        <f t="shared" si="67"/>
        <v>9517889.8464985527</v>
      </c>
      <c r="N391" s="139">
        <f>INDEX('CHIRP Payment Calc'!AM:AM,MATCH(F:F,'CHIRP Payment Calc'!C:C,0))</f>
        <v>1.04</v>
      </c>
      <c r="O391" s="139">
        <f>INDEX('CHIRP Payment Calc'!AL:AL,MATCH(F:F,'CHIRP Payment Calc'!C:C,0))</f>
        <v>2.0100000000000002</v>
      </c>
      <c r="P391" s="136">
        <f t="shared" si="68"/>
        <v>25874060.334824927</v>
      </c>
      <c r="Q391" s="149">
        <f t="shared" si="74"/>
        <v>471236.66124861967</v>
      </c>
      <c r="R391" s="149">
        <f t="shared" si="75"/>
        <v>1158502.7744965139</v>
      </c>
      <c r="S391" s="137">
        <f t="shared" si="76"/>
        <v>1629739.4357451336</v>
      </c>
      <c r="T391" s="137">
        <f t="shared" si="69"/>
        <v>3434016.1176004289</v>
      </c>
      <c r="U391" s="137">
        <f t="shared" si="70"/>
        <v>3730363.3537493944</v>
      </c>
      <c r="V391" s="137">
        <f t="shared" si="71"/>
        <v>4761404.0780277392</v>
      </c>
      <c r="W391" s="137">
        <f t="shared" si="72"/>
        <v>15578016.2211925</v>
      </c>
      <c r="X391" s="138">
        <f t="shared" si="73"/>
        <v>27503799.770570062</v>
      </c>
    </row>
    <row r="392" spans="4:24">
      <c r="D392" s="9" t="s">
        <v>1202</v>
      </c>
      <c r="E392" s="9" t="s">
        <v>2283</v>
      </c>
      <c r="F392" s="4" t="s">
        <v>387</v>
      </c>
      <c r="G392" s="9" t="s">
        <v>2462</v>
      </c>
      <c r="H392" s="136">
        <v>1149710.1380883914</v>
      </c>
      <c r="I392" s="137">
        <v>2721830.0950942747</v>
      </c>
      <c r="J392" s="137">
        <v>363623.31893177284</v>
      </c>
      <c r="K392" s="137">
        <v>431802.03165416222</v>
      </c>
      <c r="L392" s="149">
        <f t="shared" si="66"/>
        <v>1513333.4570201642</v>
      </c>
      <c r="M392" s="138">
        <f t="shared" si="67"/>
        <v>3153632.1267484371</v>
      </c>
      <c r="N392" s="139">
        <f>INDEX('CHIRP Payment Calc'!AM:AM,MATCH(F:F,'CHIRP Payment Calc'!C:C,0))</f>
        <v>1.03</v>
      </c>
      <c r="O392" s="139">
        <f>INDEX('CHIRP Payment Calc'!AL:AL,MATCH(F:F,'CHIRP Payment Calc'!C:C,0))</f>
        <v>1.28</v>
      </c>
      <c r="P392" s="136">
        <f t="shared" si="68"/>
        <v>5595382.5829687687</v>
      </c>
      <c r="Q392" s="149">
        <f t="shared" si="74"/>
        <v>284793.9288352505</v>
      </c>
      <c r="R392" s="149">
        <f t="shared" si="75"/>
        <v>59185.443767045988</v>
      </c>
      <c r="S392" s="137">
        <f t="shared" si="76"/>
        <v>343979.37260229647</v>
      </c>
      <c r="T392" s="137">
        <f t="shared" si="69"/>
        <v>1256447.1535607884</v>
      </c>
      <c r="U392" s="137">
        <f t="shared" si="70"/>
        <v>398438.31755290006</v>
      </c>
      <c r="V392" s="137">
        <f t="shared" si="71"/>
        <v>3696490.7392261769</v>
      </c>
      <c r="W392" s="137">
        <f t="shared" si="72"/>
        <v>587985.74523119966</v>
      </c>
      <c r="X392" s="138">
        <f t="shared" si="73"/>
        <v>5939361.9555710647</v>
      </c>
    </row>
    <row r="393" spans="4:24">
      <c r="D393" s="9" t="s">
        <v>1202</v>
      </c>
      <c r="E393" s="9" t="s">
        <v>2283</v>
      </c>
      <c r="F393" s="4" t="s">
        <v>2287</v>
      </c>
      <c r="G393" s="9" t="s">
        <v>2559</v>
      </c>
      <c r="H393" s="136">
        <v>52389.344204035464</v>
      </c>
      <c r="I393" s="137">
        <v>6422.6515268398744</v>
      </c>
      <c r="J393" s="137">
        <v>18724.484734824924</v>
      </c>
      <c r="K393" s="137">
        <v>59.901056239876297</v>
      </c>
      <c r="L393" s="149">
        <f t="shared" si="66"/>
        <v>71113.828938860388</v>
      </c>
      <c r="M393" s="138">
        <f t="shared" si="67"/>
        <v>6482.5525830797505</v>
      </c>
      <c r="N393" s="139">
        <f>INDEX('CHIRP Payment Calc'!AM:AM,MATCH(F:F,'CHIRP Payment Calc'!C:C,0))</f>
        <v>1.03</v>
      </c>
      <c r="O393" s="139">
        <f>INDEX('CHIRP Payment Calc'!AL:AL,MATCH(F:F,'CHIRP Payment Calc'!C:C,0))</f>
        <v>0.4</v>
      </c>
      <c r="P393" s="136">
        <f t="shared" si="68"/>
        <v>75840.264840258096</v>
      </c>
      <c r="Q393" s="149">
        <f t="shared" si="74"/>
        <v>3448.7850351207608</v>
      </c>
      <c r="R393" s="149">
        <f t="shared" si="75"/>
        <v>1232.5646616616357</v>
      </c>
      <c r="S393" s="137">
        <f t="shared" si="76"/>
        <v>4681.3496967823967</v>
      </c>
      <c r="T393" s="137">
        <f t="shared" si="69"/>
        <v>57253.076424569255</v>
      </c>
      <c r="U393" s="137">
        <f t="shared" si="70"/>
        <v>20517.254549861354</v>
      </c>
      <c r="V393" s="137">
        <f t="shared" si="71"/>
        <v>2725.7937514439786</v>
      </c>
      <c r="W393" s="137">
        <f t="shared" si="72"/>
        <v>25.489811165904811</v>
      </c>
      <c r="X393" s="138">
        <f t="shared" si="73"/>
        <v>80521.614537040485</v>
      </c>
    </row>
    <row r="394" spans="4:24">
      <c r="D394" s="9" t="s">
        <v>1202</v>
      </c>
      <c r="E394" s="9" t="s">
        <v>2283</v>
      </c>
      <c r="F394" s="4" t="s">
        <v>1622</v>
      </c>
      <c r="G394" s="9" t="s">
        <v>2469</v>
      </c>
      <c r="H394" s="136">
        <v>380643.84350947448</v>
      </c>
      <c r="I394" s="137">
        <v>18665.747085270112</v>
      </c>
      <c r="J394" s="137">
        <v>189770.63494882168</v>
      </c>
      <c r="K394" s="137">
        <v>27377.416956154317</v>
      </c>
      <c r="L394" s="149">
        <f t="shared" si="66"/>
        <v>570414.47845829616</v>
      </c>
      <c r="M394" s="138">
        <f t="shared" si="67"/>
        <v>46043.164041424432</v>
      </c>
      <c r="N394" s="139">
        <f>INDEX('CHIRP Payment Calc'!AM:AM,MATCH(F:F,'CHIRP Payment Calc'!C:C,0))</f>
        <v>1.03</v>
      </c>
      <c r="O394" s="139">
        <f>INDEX('CHIRP Payment Calc'!AL:AL,MATCH(F:F,'CHIRP Payment Calc'!C:C,0))</f>
        <v>1.32</v>
      </c>
      <c r="P394" s="136">
        <f t="shared" si="68"/>
        <v>648303.88934672531</v>
      </c>
      <c r="Q394" s="149">
        <f t="shared" si="74"/>
        <v>25422.134573602794</v>
      </c>
      <c r="R394" s="149">
        <f t="shared" si="75"/>
        <v>14783.102832728304</v>
      </c>
      <c r="S394" s="137">
        <f t="shared" si="76"/>
        <v>40205.2374063311</v>
      </c>
      <c r="T394" s="137">
        <f t="shared" si="69"/>
        <v>415982.1313684443</v>
      </c>
      <c r="U394" s="137">
        <f t="shared" si="70"/>
        <v>207940.16382690039</v>
      </c>
      <c r="V394" s="137">
        <f t="shared" si="71"/>
        <v>26141.948172473789</v>
      </c>
      <c r="W394" s="137">
        <f t="shared" si="72"/>
        <v>38444.883385237976</v>
      </c>
      <c r="X394" s="138">
        <f t="shared" si="73"/>
        <v>688509.12675305654</v>
      </c>
    </row>
    <row r="395" spans="4:24">
      <c r="D395" s="9" t="s">
        <v>1202</v>
      </c>
      <c r="E395" s="9" t="s">
        <v>2283</v>
      </c>
      <c r="F395" s="4" t="s">
        <v>1029</v>
      </c>
      <c r="G395" s="9" t="s">
        <v>2461</v>
      </c>
      <c r="H395" s="136">
        <v>2068543.529785587</v>
      </c>
      <c r="I395" s="137">
        <v>13566967.080912871</v>
      </c>
      <c r="J395" s="137">
        <v>872271.60263766104</v>
      </c>
      <c r="K395" s="137">
        <v>2741898.7973957672</v>
      </c>
      <c r="L395" s="149">
        <f t="shared" si="66"/>
        <v>2940815.1324232481</v>
      </c>
      <c r="M395" s="138">
        <f t="shared" si="67"/>
        <v>16308865.878308639</v>
      </c>
      <c r="N395" s="139">
        <f>INDEX('CHIRP Payment Calc'!AM:AM,MATCH(F:F,'CHIRP Payment Calc'!C:C,0))</f>
        <v>1.04</v>
      </c>
      <c r="O395" s="139">
        <f>INDEX('CHIRP Payment Calc'!AL:AL,MATCH(F:F,'CHIRP Payment Calc'!C:C,0))</f>
        <v>1.52</v>
      </c>
      <c r="P395" s="136">
        <f t="shared" si="68"/>
        <v>27847923.872749306</v>
      </c>
      <c r="Q395" s="149">
        <f t="shared" si="74"/>
        <v>1389338.8073771494</v>
      </c>
      <c r="R395" s="149">
        <f t="shared" si="75"/>
        <v>323926.50885860011</v>
      </c>
      <c r="S395" s="137">
        <f t="shared" si="76"/>
        <v>1713265.3162357495</v>
      </c>
      <c r="T395" s="137">
        <f t="shared" si="69"/>
        <v>2282530.7914875443</v>
      </c>
      <c r="U395" s="137">
        <f t="shared" si="70"/>
        <v>965066.45398209314</v>
      </c>
      <c r="V395" s="137">
        <f t="shared" si="71"/>
        <v>21879883.249854181</v>
      </c>
      <c r="W395" s="137">
        <f t="shared" si="72"/>
        <v>4433708.6936612409</v>
      </c>
      <c r="X395" s="138">
        <f t="shared" si="73"/>
        <v>29561189.188985057</v>
      </c>
    </row>
    <row r="396" spans="4:24">
      <c r="D396" s="9" t="s">
        <v>1202</v>
      </c>
      <c r="E396" s="9" t="s">
        <v>2283</v>
      </c>
      <c r="F396" s="4" t="s">
        <v>1448</v>
      </c>
      <c r="G396" s="9" t="s">
        <v>2662</v>
      </c>
      <c r="H396" s="136">
        <v>0</v>
      </c>
      <c r="I396" s="137">
        <v>200099.88251599879</v>
      </c>
      <c r="J396" s="137">
        <v>0</v>
      </c>
      <c r="K396" s="137">
        <v>170162.77099971453</v>
      </c>
      <c r="L396" s="149">
        <f t="shared" si="66"/>
        <v>0</v>
      </c>
      <c r="M396" s="138">
        <f t="shared" si="67"/>
        <v>370262.65351571329</v>
      </c>
      <c r="N396" s="139">
        <f>INDEX('CHIRP Payment Calc'!AM:AM,MATCH(F:F,'CHIRP Payment Calc'!C:C,0))</f>
        <v>1.03</v>
      </c>
      <c r="O396" s="139">
        <f>INDEX('CHIRP Payment Calc'!AL:AL,MATCH(F:F,'CHIRP Payment Calc'!C:C,0))</f>
        <v>0.42000000000000004</v>
      </c>
      <c r="P396" s="136">
        <f t="shared" si="68"/>
        <v>155510.3144765996</v>
      </c>
      <c r="Q396" s="149">
        <f t="shared" si="74"/>
        <v>5127.227758898006</v>
      </c>
      <c r="R396" s="149">
        <f t="shared" si="75"/>
        <v>4561.8104565880931</v>
      </c>
      <c r="S396" s="137">
        <f t="shared" si="76"/>
        <v>9689.0382154860999</v>
      </c>
      <c r="T396" s="137">
        <f t="shared" si="69"/>
        <v>0</v>
      </c>
      <c r="U396" s="137">
        <f t="shared" si="70"/>
        <v>0</v>
      </c>
      <c r="V396" s="137">
        <f t="shared" si="71"/>
        <v>89169.178415617498</v>
      </c>
      <c r="W396" s="137">
        <f t="shared" si="72"/>
        <v>76030.174276468213</v>
      </c>
      <c r="X396" s="138">
        <f t="shared" si="73"/>
        <v>165199.35269208573</v>
      </c>
    </row>
    <row r="397" spans="4:24">
      <c r="D397" s="9" t="s">
        <v>1202</v>
      </c>
      <c r="E397" s="9" t="s">
        <v>2283</v>
      </c>
      <c r="F397" s="4" t="s">
        <v>1005</v>
      </c>
      <c r="G397" s="9" t="s">
        <v>2867</v>
      </c>
      <c r="H397" s="136">
        <v>1139275.6376332326</v>
      </c>
      <c r="I397" s="137">
        <v>689375.26156378957</v>
      </c>
      <c r="J397" s="137">
        <v>1441119.7435106076</v>
      </c>
      <c r="K397" s="137">
        <v>682045.76394906151</v>
      </c>
      <c r="L397" s="149">
        <f t="shared" si="66"/>
        <v>2580395.38114384</v>
      </c>
      <c r="M397" s="138">
        <f t="shared" si="67"/>
        <v>1371421.0255128511</v>
      </c>
      <c r="N397" s="139">
        <f>INDEX('CHIRP Payment Calc'!AM:AM,MATCH(F:F,'CHIRP Payment Calc'!C:C,0))</f>
        <v>1.04</v>
      </c>
      <c r="O397" s="139">
        <f>INDEX('CHIRP Payment Calc'!AL:AL,MATCH(F:F,'CHIRP Payment Calc'!C:C,0))</f>
        <v>2.31</v>
      </c>
      <c r="P397" s="136">
        <f t="shared" si="68"/>
        <v>5851593.7653242797</v>
      </c>
      <c r="Q397" s="149">
        <f t="shared" si="74"/>
        <v>169437.61511689937</v>
      </c>
      <c r="R397" s="149">
        <f t="shared" si="75"/>
        <v>196231.29242383179</v>
      </c>
      <c r="S397" s="137">
        <f t="shared" si="76"/>
        <v>365668.90754073113</v>
      </c>
      <c r="T397" s="137">
        <f t="shared" si="69"/>
        <v>1257131.7380780498</v>
      </c>
      <c r="U397" s="137">
        <f t="shared" si="70"/>
        <v>1594430.3545223747</v>
      </c>
      <c r="V397" s="137">
        <f t="shared" si="71"/>
        <v>1689609.3943897653</v>
      </c>
      <c r="W397" s="137">
        <f t="shared" si="72"/>
        <v>1676091.1858748216</v>
      </c>
      <c r="X397" s="138">
        <f t="shared" si="73"/>
        <v>6217262.6728650117</v>
      </c>
    </row>
    <row r="398" spans="4:24">
      <c r="D398" s="9" t="s">
        <v>1202</v>
      </c>
      <c r="E398" s="9" t="s">
        <v>2283</v>
      </c>
      <c r="F398" s="4" t="s">
        <v>1472</v>
      </c>
      <c r="G398" s="9" t="s">
        <v>2559</v>
      </c>
      <c r="H398" s="136">
        <v>197337.80906327421</v>
      </c>
      <c r="I398" s="137">
        <v>29872.46209644491</v>
      </c>
      <c r="J398" s="137">
        <v>86043.294942822089</v>
      </c>
      <c r="K398" s="137">
        <v>56375.713546107625</v>
      </c>
      <c r="L398" s="149">
        <f t="shared" si="66"/>
        <v>283381.10400609631</v>
      </c>
      <c r="M398" s="138">
        <f t="shared" si="67"/>
        <v>86248.175642552538</v>
      </c>
      <c r="N398" s="139">
        <f>INDEX('CHIRP Payment Calc'!AM:AM,MATCH(F:F,'CHIRP Payment Calc'!C:C,0))</f>
        <v>1.03</v>
      </c>
      <c r="O398" s="139">
        <f>INDEX('CHIRP Payment Calc'!AL:AL,MATCH(F:F,'CHIRP Payment Calc'!C:C,0))</f>
        <v>1.29</v>
      </c>
      <c r="P398" s="136">
        <f t="shared" si="68"/>
        <v>403142.68370517198</v>
      </c>
      <c r="Q398" s="149">
        <f t="shared" si="74"/>
        <v>14751.322671380603</v>
      </c>
      <c r="R398" s="149">
        <f t="shared" si="75"/>
        <v>10298.889208441635</v>
      </c>
      <c r="S398" s="137">
        <f t="shared" si="76"/>
        <v>25050.211879822236</v>
      </c>
      <c r="T398" s="137">
        <f t="shared" si="69"/>
        <v>215658.29531583283</v>
      </c>
      <c r="U398" s="137">
        <f t="shared" si="70"/>
        <v>94281.482756496553</v>
      </c>
      <c r="V398" s="137">
        <f t="shared" si="71"/>
        <v>40886.44679513415</v>
      </c>
      <c r="W398" s="137">
        <f t="shared" si="72"/>
        <v>77366.67071753068</v>
      </c>
      <c r="X398" s="138">
        <f t="shared" si="73"/>
        <v>428192.89558499423</v>
      </c>
    </row>
    <row r="399" spans="4:24">
      <c r="D399" s="9" t="s">
        <v>1202</v>
      </c>
      <c r="E399" s="9" t="s">
        <v>2283</v>
      </c>
      <c r="F399" s="4" t="s">
        <v>555</v>
      </c>
      <c r="G399" s="9" t="s">
        <v>2454</v>
      </c>
      <c r="H399" s="136">
        <v>1297594.8046260118</v>
      </c>
      <c r="I399" s="137">
        <v>1233958.5515056634</v>
      </c>
      <c r="J399" s="137">
        <v>295561.16828111938</v>
      </c>
      <c r="K399" s="137">
        <v>268965.01205124846</v>
      </c>
      <c r="L399" s="149">
        <f t="shared" si="66"/>
        <v>1593155.9729071311</v>
      </c>
      <c r="M399" s="138">
        <f t="shared" si="67"/>
        <v>1502923.5635569119</v>
      </c>
      <c r="N399" s="139">
        <f>INDEX('CHIRP Payment Calc'!AM:AM,MATCH(F:F,'CHIRP Payment Calc'!C:C,0))</f>
        <v>1.03</v>
      </c>
      <c r="O399" s="139">
        <f>INDEX('CHIRP Payment Calc'!AL:AL,MATCH(F:F,'CHIRP Payment Calc'!C:C,0))</f>
        <v>1.5699999999999998</v>
      </c>
      <c r="P399" s="136">
        <f t="shared" si="68"/>
        <v>4000540.6468786965</v>
      </c>
      <c r="Q399" s="149">
        <f t="shared" si="74"/>
        <v>199730.14381023799</v>
      </c>
      <c r="R399" s="149">
        <f t="shared" si="75"/>
        <v>46385.302484043386</v>
      </c>
      <c r="S399" s="137">
        <f t="shared" si="76"/>
        <v>246115.44629428137</v>
      </c>
      <c r="T399" s="137">
        <f t="shared" si="69"/>
        <v>1418061.165798188</v>
      </c>
      <c r="U399" s="137">
        <f t="shared" si="70"/>
        <v>323859.57801016275</v>
      </c>
      <c r="V399" s="137">
        <f t="shared" si="71"/>
        <v>2055506.5526407335</v>
      </c>
      <c r="W399" s="137">
        <f t="shared" si="72"/>
        <v>449228.79672389367</v>
      </c>
      <c r="X399" s="138">
        <f t="shared" si="73"/>
        <v>4246656.0931729777</v>
      </c>
    </row>
    <row r="400" spans="4:24">
      <c r="D400" s="9" t="s">
        <v>1202</v>
      </c>
      <c r="E400" s="9" t="s">
        <v>2283</v>
      </c>
      <c r="F400" s="4" t="s">
        <v>2679</v>
      </c>
      <c r="G400" s="9" t="s">
        <v>3018</v>
      </c>
      <c r="H400" s="136">
        <v>5428.0514853517961</v>
      </c>
      <c r="I400" s="137">
        <v>0</v>
      </c>
      <c r="J400" s="137">
        <v>545969.11387247266</v>
      </c>
      <c r="K400" s="137">
        <v>175792.96344407613</v>
      </c>
      <c r="L400" s="149">
        <f t="shared" si="66"/>
        <v>551397.16535782441</v>
      </c>
      <c r="M400" s="138">
        <f t="shared" si="67"/>
        <v>175792.96344407613</v>
      </c>
      <c r="N400" s="139">
        <f>INDEX('CHIRP Payment Calc'!AM:AM,MATCH(F:F,'CHIRP Payment Calc'!C:C,0))</f>
        <v>1.57</v>
      </c>
      <c r="O400" s="139">
        <f>INDEX('CHIRP Payment Calc'!AL:AL,MATCH(F:F,'CHIRP Payment Calc'!C:C,0))</f>
        <v>10.84</v>
      </c>
      <c r="P400" s="136">
        <f t="shared" si="68"/>
        <v>2771289.2733455696</v>
      </c>
      <c r="Q400" s="149">
        <f t="shared" si="74"/>
        <v>519.91230540067204</v>
      </c>
      <c r="R400" s="149">
        <f t="shared" si="75"/>
        <v>176346.84462852561</v>
      </c>
      <c r="S400" s="137">
        <f t="shared" si="76"/>
        <v>176866.75693392628</v>
      </c>
      <c r="T400" s="137">
        <f t="shared" si="69"/>
        <v>9041.9531374029921</v>
      </c>
      <c r="U400" s="137">
        <f t="shared" si="70"/>
        <v>911884.58380827878</v>
      </c>
      <c r="V400" s="137">
        <f t="shared" si="71"/>
        <v>0</v>
      </c>
      <c r="W400" s="137">
        <f t="shared" si="72"/>
        <v>2027229.4933338144</v>
      </c>
      <c r="X400" s="138">
        <f t="shared" si="73"/>
        <v>2948156.0302794962</v>
      </c>
    </row>
    <row r="401" spans="4:24">
      <c r="D401" s="9" t="s">
        <v>1202</v>
      </c>
      <c r="E401" s="9" t="s">
        <v>2283</v>
      </c>
      <c r="F401" s="4" t="s">
        <v>1417</v>
      </c>
      <c r="G401" s="9" t="s">
        <v>2647</v>
      </c>
      <c r="H401" s="136">
        <v>0</v>
      </c>
      <c r="I401" s="137">
        <v>101994.97514451169</v>
      </c>
      <c r="J401" s="137">
        <v>0</v>
      </c>
      <c r="K401" s="137">
        <v>85846.760959961088</v>
      </c>
      <c r="L401" s="149">
        <f t="shared" si="66"/>
        <v>0</v>
      </c>
      <c r="M401" s="138">
        <f t="shared" si="67"/>
        <v>187841.73610447277</v>
      </c>
      <c r="N401" s="139">
        <f>INDEX('CHIRP Payment Calc'!AM:AM,MATCH(F:F,'CHIRP Payment Calc'!C:C,0))</f>
        <v>1.03</v>
      </c>
      <c r="O401" s="139">
        <f>INDEX('CHIRP Payment Calc'!AL:AL,MATCH(F:F,'CHIRP Payment Calc'!C:C,0))</f>
        <v>0.46</v>
      </c>
      <c r="P401" s="136">
        <f t="shared" si="68"/>
        <v>86407.198608057486</v>
      </c>
      <c r="Q401" s="149">
        <f t="shared" si="74"/>
        <v>2862.352352861893</v>
      </c>
      <c r="R401" s="149">
        <f t="shared" si="75"/>
        <v>2520.6070239307733</v>
      </c>
      <c r="S401" s="137">
        <f t="shared" si="76"/>
        <v>5382.9593767926663</v>
      </c>
      <c r="T401" s="137">
        <f t="shared" si="69"/>
        <v>0</v>
      </c>
      <c r="U401" s="137">
        <f t="shared" si="70"/>
        <v>0</v>
      </c>
      <c r="V401" s="137">
        <f t="shared" si="71"/>
        <v>49780.040919337269</v>
      </c>
      <c r="W401" s="137">
        <f t="shared" si="72"/>
        <v>42010.117065512881</v>
      </c>
      <c r="X401" s="138">
        <f t="shared" si="73"/>
        <v>91790.157984850142</v>
      </c>
    </row>
    <row r="402" spans="4:24">
      <c r="D402" s="9" t="s">
        <v>1202</v>
      </c>
      <c r="E402" s="9" t="s">
        <v>2283</v>
      </c>
      <c r="F402" s="4" t="s">
        <v>1035</v>
      </c>
      <c r="G402" s="9" t="s">
        <v>2468</v>
      </c>
      <c r="H402" s="136">
        <v>1290370.1985625257</v>
      </c>
      <c r="I402" s="137">
        <v>1065535.9301272277</v>
      </c>
      <c r="J402" s="137">
        <v>415410.08960907545</v>
      </c>
      <c r="K402" s="137">
        <v>1398203.2399452343</v>
      </c>
      <c r="L402" s="149">
        <f t="shared" si="66"/>
        <v>1705780.288171601</v>
      </c>
      <c r="M402" s="138">
        <f t="shared" si="67"/>
        <v>2463739.1700724619</v>
      </c>
      <c r="N402" s="139">
        <f>INDEX('CHIRP Payment Calc'!AM:AM,MATCH(F:F,'CHIRP Payment Calc'!C:C,0))</f>
        <v>1.0900000000000001</v>
      </c>
      <c r="O402" s="139">
        <f>INDEX('CHIRP Payment Calc'!AL:AL,MATCH(F:F,'CHIRP Payment Calc'!C:C,0))</f>
        <v>1.96</v>
      </c>
      <c r="P402" s="136">
        <f t="shared" si="68"/>
        <v>6688229.2874490712</v>
      </c>
      <c r="Q402" s="149">
        <f t="shared" si="74"/>
        <v>213220.00161299188</v>
      </c>
      <c r="R402" s="149">
        <f t="shared" si="75"/>
        <v>203826.08604041822</v>
      </c>
      <c r="S402" s="137">
        <f t="shared" si="76"/>
        <v>417046.0876534101</v>
      </c>
      <c r="T402" s="137">
        <f t="shared" si="69"/>
        <v>1492311.42327125</v>
      </c>
      <c r="U402" s="137">
        <f t="shared" si="70"/>
        <v>481698.93369563011</v>
      </c>
      <c r="V402" s="137">
        <f t="shared" si="71"/>
        <v>2215862.517824261</v>
      </c>
      <c r="W402" s="137">
        <f t="shared" si="72"/>
        <v>2915402.5003113397</v>
      </c>
      <c r="X402" s="138">
        <f t="shared" si="73"/>
        <v>7105275.3751024809</v>
      </c>
    </row>
    <row r="403" spans="4:24">
      <c r="D403" s="9" t="s">
        <v>1202</v>
      </c>
      <c r="E403" s="9" t="s">
        <v>2283</v>
      </c>
      <c r="F403" s="4" t="s">
        <v>1032</v>
      </c>
      <c r="G403" s="9" t="s">
        <v>2466</v>
      </c>
      <c r="H403" s="136">
        <v>1471484.5482938238</v>
      </c>
      <c r="I403" s="137">
        <v>2874663.3419695464</v>
      </c>
      <c r="J403" s="137">
        <v>480255.23538809211</v>
      </c>
      <c r="K403" s="137">
        <v>1683082.8714197192</v>
      </c>
      <c r="L403" s="149">
        <f t="shared" si="66"/>
        <v>1951739.7836819161</v>
      </c>
      <c r="M403" s="138">
        <f t="shared" si="67"/>
        <v>4557746.2133892654</v>
      </c>
      <c r="N403" s="139">
        <f>INDEX('CHIRP Payment Calc'!AM:AM,MATCH(F:F,'CHIRP Payment Calc'!C:C,0))</f>
        <v>1.1499999999999999</v>
      </c>
      <c r="O403" s="139">
        <f>INDEX('CHIRP Payment Calc'!AL:AL,MATCH(F:F,'CHIRP Payment Calc'!C:C,0))</f>
        <v>1.5499999999999998</v>
      </c>
      <c r="P403" s="136">
        <f t="shared" si="68"/>
        <v>9309007.3819875643</v>
      </c>
      <c r="Q403" s="149">
        <f t="shared" si="74"/>
        <v>375072.98260898131</v>
      </c>
      <c r="R403" s="149">
        <f t="shared" si="75"/>
        <v>201770.55136575771</v>
      </c>
      <c r="S403" s="137">
        <f t="shared" si="76"/>
        <v>576843.53397473902</v>
      </c>
      <c r="T403" s="137">
        <f t="shared" si="69"/>
        <v>1795445.3374407399</v>
      </c>
      <c r="U403" s="137">
        <f t="shared" si="70"/>
        <v>587546.29861309147</v>
      </c>
      <c r="V403" s="137">
        <f t="shared" si="71"/>
        <v>4727563.0557589354</v>
      </c>
      <c r="W403" s="137">
        <f t="shared" si="72"/>
        <v>2775296.2241495368</v>
      </c>
      <c r="X403" s="138">
        <f t="shared" si="73"/>
        <v>9885850.9159623031</v>
      </c>
    </row>
    <row r="404" spans="4:24">
      <c r="D404" s="9" t="s">
        <v>1202</v>
      </c>
      <c r="E404" s="9" t="s">
        <v>2283</v>
      </c>
      <c r="F404" s="4" t="s">
        <v>1066</v>
      </c>
      <c r="G404" s="9" t="s">
        <v>2444</v>
      </c>
      <c r="H404" s="136">
        <v>2940161.2773726797</v>
      </c>
      <c r="I404" s="137">
        <v>21330350.407809198</v>
      </c>
      <c r="J404" s="137">
        <v>589853.23760362051</v>
      </c>
      <c r="K404" s="137">
        <v>2264673.0023506782</v>
      </c>
      <c r="L404" s="149">
        <f t="shared" si="66"/>
        <v>3530014.5149763003</v>
      </c>
      <c r="M404" s="138">
        <f t="shared" si="67"/>
        <v>23595023.410159875</v>
      </c>
      <c r="N404" s="139">
        <f>INDEX('CHIRP Payment Calc'!AM:AM,MATCH(F:F,'CHIRP Payment Calc'!C:C,0))</f>
        <v>1.1000000000000001</v>
      </c>
      <c r="O404" s="139">
        <f>INDEX('CHIRP Payment Calc'!AL:AL,MATCH(F:F,'CHIRP Payment Calc'!C:C,0))</f>
        <v>1.1400000000000001</v>
      </c>
      <c r="P404" s="136">
        <f t="shared" si="68"/>
        <v>30781342.654056191</v>
      </c>
      <c r="Q404" s="149">
        <f t="shared" si="74"/>
        <v>1680816.6260219789</v>
      </c>
      <c r="R404" s="149">
        <f t="shared" si="75"/>
        <v>206206.32664109083</v>
      </c>
      <c r="S404" s="137">
        <f t="shared" si="76"/>
        <v>1887022.9526630698</v>
      </c>
      <c r="T404" s="137">
        <f t="shared" si="69"/>
        <v>3431487.9629813773</v>
      </c>
      <c r="U404" s="137">
        <f t="shared" si="70"/>
        <v>690253.78868508793</v>
      </c>
      <c r="V404" s="137">
        <f t="shared" si="71"/>
        <v>25800105.533053037</v>
      </c>
      <c r="W404" s="137">
        <f t="shared" si="72"/>
        <v>2746518.3219997589</v>
      </c>
      <c r="X404" s="138">
        <f t="shared" si="73"/>
        <v>32668365.606719259</v>
      </c>
    </row>
    <row r="405" spans="4:24">
      <c r="D405" s="9" t="s">
        <v>1202</v>
      </c>
      <c r="E405" s="9" t="s">
        <v>2283</v>
      </c>
      <c r="F405" s="4" t="s">
        <v>1060</v>
      </c>
      <c r="G405" s="9" t="s">
        <v>2443</v>
      </c>
      <c r="H405" s="136">
        <v>687450.36790258938</v>
      </c>
      <c r="I405" s="137">
        <v>2817587.6659847484</v>
      </c>
      <c r="J405" s="137">
        <v>290819.21922570496</v>
      </c>
      <c r="K405" s="137">
        <v>1031158.3187179539</v>
      </c>
      <c r="L405" s="149">
        <f t="shared" si="66"/>
        <v>978269.5871282944</v>
      </c>
      <c r="M405" s="138">
        <f t="shared" si="67"/>
        <v>3848745.9847027021</v>
      </c>
      <c r="N405" s="139">
        <f>INDEX('CHIRP Payment Calc'!AM:AM,MATCH(F:F,'CHIRP Payment Calc'!C:C,0))</f>
        <v>1.26</v>
      </c>
      <c r="O405" s="139">
        <f>INDEX('CHIRP Payment Calc'!AL:AL,MATCH(F:F,'CHIRP Payment Calc'!C:C,0))</f>
        <v>1.27</v>
      </c>
      <c r="P405" s="136">
        <f t="shared" si="68"/>
        <v>6120527.0803540833</v>
      </c>
      <c r="Q405" s="149">
        <f t="shared" si="74"/>
        <v>271151.31932422158</v>
      </c>
      <c r="R405" s="149">
        <f t="shared" si="75"/>
        <v>106978.93282954404</v>
      </c>
      <c r="S405" s="137">
        <f t="shared" si="76"/>
        <v>378130.25215376564</v>
      </c>
      <c r="T405" s="137">
        <f t="shared" si="69"/>
        <v>919031.79157269245</v>
      </c>
      <c r="U405" s="137">
        <f t="shared" si="70"/>
        <v>389821.50662168965</v>
      </c>
      <c r="V405" s="137">
        <f t="shared" si="71"/>
        <v>3796643.3271094221</v>
      </c>
      <c r="W405" s="137">
        <f t="shared" si="72"/>
        <v>1393160.7072040441</v>
      </c>
      <c r="X405" s="138">
        <f t="shared" si="73"/>
        <v>6498657.3325078478</v>
      </c>
    </row>
    <row r="406" spans="4:24">
      <c r="D406" s="9" t="s">
        <v>1202</v>
      </c>
      <c r="E406" s="9" t="s">
        <v>2283</v>
      </c>
      <c r="F406" s="4" t="s">
        <v>1063</v>
      </c>
      <c r="G406" s="9" t="s">
        <v>2878</v>
      </c>
      <c r="H406" s="136">
        <v>1656954.4601778232</v>
      </c>
      <c r="I406" s="137">
        <v>5996140.2497333735</v>
      </c>
      <c r="J406" s="137">
        <v>1073837.0224157055</v>
      </c>
      <c r="K406" s="137">
        <v>5415611.7396598905</v>
      </c>
      <c r="L406" s="149">
        <f t="shared" si="66"/>
        <v>2730791.4825935289</v>
      </c>
      <c r="M406" s="138">
        <f t="shared" si="67"/>
        <v>11411751.989393264</v>
      </c>
      <c r="N406" s="139">
        <f>INDEX('CHIRP Payment Calc'!AM:AM,MATCH(F:F,'CHIRP Payment Calc'!C:C,0))</f>
        <v>1.29</v>
      </c>
      <c r="O406" s="139">
        <f>INDEX('CHIRP Payment Calc'!AL:AL,MATCH(F:F,'CHIRP Payment Calc'!C:C,0))</f>
        <v>1.44</v>
      </c>
      <c r="P406" s="136">
        <f t="shared" si="68"/>
        <v>19955643.87727195</v>
      </c>
      <c r="Q406" s="149">
        <f t="shared" si="74"/>
        <v>657172.42415025295</v>
      </c>
      <c r="R406" s="149">
        <f t="shared" si="75"/>
        <v>586195.574299564</v>
      </c>
      <c r="S406" s="137">
        <f t="shared" si="76"/>
        <v>1243367.9984498168</v>
      </c>
      <c r="T406" s="137">
        <f t="shared" si="69"/>
        <v>2267874.0091558537</v>
      </c>
      <c r="U406" s="137">
        <f t="shared" si="70"/>
        <v>1473669.9562938937</v>
      </c>
      <c r="V406" s="137">
        <f t="shared" si="71"/>
        <v>9161211.6282398496</v>
      </c>
      <c r="W406" s="137">
        <f t="shared" si="72"/>
        <v>8296256.2820321722</v>
      </c>
      <c r="X406" s="138">
        <f t="shared" si="73"/>
        <v>21199011.875721771</v>
      </c>
    </row>
    <row r="407" spans="4:24">
      <c r="D407" s="9" t="s">
        <v>1202</v>
      </c>
      <c r="E407" s="9" t="s">
        <v>2283</v>
      </c>
      <c r="F407" s="4" t="s">
        <v>1057</v>
      </c>
      <c r="G407" s="9" t="s">
        <v>2445</v>
      </c>
      <c r="H407" s="136">
        <v>1975361.5848740528</v>
      </c>
      <c r="I407" s="137">
        <v>22849658.753668536</v>
      </c>
      <c r="J407" s="137">
        <v>1385577.873891752</v>
      </c>
      <c r="K407" s="137">
        <v>5186131.8117066864</v>
      </c>
      <c r="L407" s="149">
        <f t="shared" si="66"/>
        <v>3360939.4587658048</v>
      </c>
      <c r="M407" s="138">
        <f t="shared" si="67"/>
        <v>28035790.565375224</v>
      </c>
      <c r="N407" s="139">
        <f>INDEX('CHIRP Payment Calc'!AM:AM,MATCH(F:F,'CHIRP Payment Calc'!C:C,0))</f>
        <v>1.33</v>
      </c>
      <c r="O407" s="139">
        <f>INDEX('CHIRP Payment Calc'!AL:AL,MATCH(F:F,'CHIRP Payment Calc'!C:C,0))</f>
        <v>1.17</v>
      </c>
      <c r="P407" s="136">
        <f t="shared" si="68"/>
        <v>37271924.44164753</v>
      </c>
      <c r="Q407" s="149">
        <f t="shared" si="74"/>
        <v>1791274.8751790917</v>
      </c>
      <c r="R407" s="149">
        <f t="shared" si="75"/>
        <v>504931.45480677794</v>
      </c>
      <c r="S407" s="137">
        <f t="shared" si="76"/>
        <v>2296206.3299858696</v>
      </c>
      <c r="T407" s="137">
        <f t="shared" si="69"/>
        <v>2787512.8996100696</v>
      </c>
      <c r="U407" s="137">
        <f t="shared" si="70"/>
        <v>1960445.2896553515</v>
      </c>
      <c r="V407" s="137">
        <f t="shared" si="71"/>
        <v>28365093.625243697</v>
      </c>
      <c r="W407" s="137">
        <f t="shared" si="72"/>
        <v>6455078.9571242807</v>
      </c>
      <c r="X407" s="138">
        <f t="shared" si="73"/>
        <v>39568130.771633394</v>
      </c>
    </row>
    <row r="408" spans="4:24">
      <c r="D408" s="9" t="s">
        <v>1202</v>
      </c>
      <c r="E408" s="9" t="s">
        <v>2283</v>
      </c>
      <c r="F408" s="4" t="s">
        <v>390</v>
      </c>
      <c r="G408" s="9" t="s">
        <v>2465</v>
      </c>
      <c r="H408" s="136">
        <v>323231.94141473871</v>
      </c>
      <c r="I408" s="137">
        <v>52959.270504587977</v>
      </c>
      <c r="J408" s="137">
        <v>64029.384702830052</v>
      </c>
      <c r="K408" s="137">
        <v>64413.277977799939</v>
      </c>
      <c r="L408" s="149">
        <f t="shared" si="66"/>
        <v>387261.32611756877</v>
      </c>
      <c r="M408" s="138">
        <f t="shared" si="67"/>
        <v>117372.54848238791</v>
      </c>
      <c r="N408" s="139">
        <f>INDEX('CHIRP Payment Calc'!AM:AM,MATCH(F:F,'CHIRP Payment Calc'!C:C,0))</f>
        <v>1.0900000000000001</v>
      </c>
      <c r="O408" s="139">
        <f>INDEX('CHIRP Payment Calc'!AL:AL,MATCH(F:F,'CHIRP Payment Calc'!C:C,0))</f>
        <v>1.6099999999999999</v>
      </c>
      <c r="P408" s="136">
        <f t="shared" si="68"/>
        <v>611084.64852479449</v>
      </c>
      <c r="Q408" s="149">
        <f t="shared" si="74"/>
        <v>26696.303867512983</v>
      </c>
      <c r="R408" s="149">
        <f t="shared" si="75"/>
        <v>11074.302566192084</v>
      </c>
      <c r="S408" s="137">
        <f t="shared" si="76"/>
        <v>37770.606433705063</v>
      </c>
      <c r="T408" s="137">
        <f t="shared" si="69"/>
        <v>373817.3115565679</v>
      </c>
      <c r="U408" s="137">
        <f t="shared" si="70"/>
        <v>74246.839708600804</v>
      </c>
      <c r="V408" s="137">
        <f t="shared" si="71"/>
        <v>90466.233965396968</v>
      </c>
      <c r="W408" s="137">
        <f t="shared" si="72"/>
        <v>110324.86972793394</v>
      </c>
      <c r="X408" s="138">
        <f t="shared" si="73"/>
        <v>648855.25495849957</v>
      </c>
    </row>
    <row r="409" spans="4:24">
      <c r="D409" s="9" t="s">
        <v>1202</v>
      </c>
      <c r="E409" s="9" t="s">
        <v>2283</v>
      </c>
      <c r="F409" s="4" t="s">
        <v>2285</v>
      </c>
      <c r="G409" s="9" t="s">
        <v>2559</v>
      </c>
      <c r="H409" s="136">
        <v>0</v>
      </c>
      <c r="I409" s="137">
        <v>0</v>
      </c>
      <c r="J409" s="137">
        <v>109.23331776576805</v>
      </c>
      <c r="K409" s="137">
        <v>0</v>
      </c>
      <c r="L409" s="149">
        <f t="shared" si="66"/>
        <v>109.23331776576805</v>
      </c>
      <c r="M409" s="138">
        <f t="shared" si="67"/>
        <v>0</v>
      </c>
      <c r="N409" s="139">
        <f>INDEX('CHIRP Payment Calc'!AM:AM,MATCH(F:F,'CHIRP Payment Calc'!C:C,0))</f>
        <v>2.56</v>
      </c>
      <c r="O409" s="139">
        <f>INDEX('CHIRP Payment Calc'!AL:AL,MATCH(F:F,'CHIRP Payment Calc'!C:C,0))</f>
        <v>0.4</v>
      </c>
      <c r="P409" s="136">
        <f t="shared" si="68"/>
        <v>279.63729348036622</v>
      </c>
      <c r="Q409" s="149">
        <f t="shared" si="74"/>
        <v>0</v>
      </c>
      <c r="R409" s="149">
        <f t="shared" si="75"/>
        <v>17.849188945555294</v>
      </c>
      <c r="S409" s="137">
        <f t="shared" si="76"/>
        <v>17.849188945555294</v>
      </c>
      <c r="T409" s="137">
        <f t="shared" si="69"/>
        <v>0</v>
      </c>
      <c r="U409" s="137">
        <f t="shared" si="70"/>
        <v>297.48648242592157</v>
      </c>
      <c r="V409" s="137">
        <f t="shared" si="71"/>
        <v>0</v>
      </c>
      <c r="W409" s="137">
        <f t="shared" si="72"/>
        <v>0</v>
      </c>
      <c r="X409" s="138">
        <f t="shared" si="73"/>
        <v>297.48648242592157</v>
      </c>
    </row>
    <row r="410" spans="4:24">
      <c r="D410" s="9" t="s">
        <v>1202</v>
      </c>
      <c r="E410" s="9" t="s">
        <v>2283</v>
      </c>
      <c r="F410" s="4" t="s">
        <v>2739</v>
      </c>
      <c r="G410" s="9" t="s">
        <v>2546</v>
      </c>
      <c r="H410" s="141">
        <v>610.47244484006023</v>
      </c>
      <c r="I410" s="142">
        <v>0</v>
      </c>
      <c r="J410" s="142">
        <v>0</v>
      </c>
      <c r="K410" s="142">
        <v>0</v>
      </c>
      <c r="L410" s="142">
        <f t="shared" si="66"/>
        <v>610.47244484006023</v>
      </c>
      <c r="M410" s="148">
        <f t="shared" si="67"/>
        <v>0</v>
      </c>
      <c r="N410" s="139">
        <f>INDEX('CHIRP Payment Calc'!AM:AM,MATCH(F:F,'CHIRP Payment Calc'!C:C,0))</f>
        <v>1.79</v>
      </c>
      <c r="O410" s="139">
        <f>INDEX('CHIRP Payment Calc'!AL:AL,MATCH(F:F,'CHIRP Payment Calc'!C:C,0))</f>
        <v>0.4</v>
      </c>
      <c r="P410" s="141">
        <f t="shared" si="68"/>
        <v>1092.7456762637078</v>
      </c>
      <c r="Q410" s="142">
        <f t="shared" si="74"/>
        <v>66.666181841021967</v>
      </c>
      <c r="R410" s="142">
        <f t="shared" si="75"/>
        <v>0</v>
      </c>
      <c r="S410" s="142">
        <f t="shared" si="76"/>
        <v>66.666181841021967</v>
      </c>
      <c r="T410" s="142">
        <f t="shared" si="69"/>
        <v>1159.4118581047298</v>
      </c>
      <c r="U410" s="142">
        <f t="shared" si="70"/>
        <v>0</v>
      </c>
      <c r="V410" s="142">
        <f t="shared" si="71"/>
        <v>0</v>
      </c>
      <c r="W410" s="142">
        <f t="shared" si="72"/>
        <v>0</v>
      </c>
      <c r="X410" s="148">
        <f t="shared" si="73"/>
        <v>1159.4118581047298</v>
      </c>
    </row>
    <row r="411" spans="4:24">
      <c r="D411" s="1" t="s">
        <v>2390</v>
      </c>
      <c r="G411" s="9" t="s">
        <v>2708</v>
      </c>
      <c r="H411" s="143">
        <f>SUM(H5:H410)</f>
        <v>1630560194.992065</v>
      </c>
      <c r="I411" s="143">
        <f t="shared" ref="I411:K411" si="77">SUM(I5:I410)</f>
        <v>2479088145.0859642</v>
      </c>
      <c r="J411" s="143">
        <f t="shared" si="77"/>
        <v>337550675.03433704</v>
      </c>
      <c r="K411" s="143">
        <f t="shared" si="77"/>
        <v>637726460.98042536</v>
      </c>
      <c r="L411" s="150">
        <f t="shared" si="66"/>
        <v>1968110870.026402</v>
      </c>
      <c r="M411" s="150">
        <f t="shared" si="67"/>
        <v>3116814606.0663896</v>
      </c>
      <c r="N411" s="139"/>
      <c r="O411" s="144"/>
      <c r="P411" s="143">
        <f>SUM(P$5:P410)</f>
        <v>4935942667.1152916</v>
      </c>
      <c r="Q411" s="143">
        <f>SUM(Q$5:Q410)</f>
        <v>233654526.78117716</v>
      </c>
      <c r="R411" s="143">
        <f>SUM(R$5:R410)</f>
        <v>70598311.046663836</v>
      </c>
      <c r="S411" s="143">
        <f>SUM(S$5:S410)</f>
        <v>304252837.82784104</v>
      </c>
      <c r="T411" s="143">
        <f>SUM(T$5:T410)</f>
        <v>1005302500.0017201</v>
      </c>
      <c r="U411" s="143">
        <f>SUM(U$5:U410)</f>
        <v>282865682.12594593</v>
      </c>
      <c r="V411" s="143">
        <f>SUM(V$5:V410)</f>
        <v>3058254487.497015</v>
      </c>
      <c r="W411" s="143">
        <f>SUM(W$5:W410)</f>
        <v>893772835.31845248</v>
      </c>
      <c r="X411" s="143">
        <f>SUM(X$5:X410)</f>
        <v>5240195504.9431238</v>
      </c>
    </row>
  </sheetData>
  <mergeCells count="2">
    <mergeCell ref="L3:L4"/>
    <mergeCell ref="M3:M4"/>
  </mergeCells>
  <conditionalFormatting sqref="F1:F1048576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0016-DFFA-4688-83B8-DD56A059A96A}">
  <dimension ref="A1:Q156"/>
  <sheetViews>
    <sheetView workbookViewId="0">
      <selection activeCell="F28" sqref="F28"/>
    </sheetView>
  </sheetViews>
  <sheetFormatPr defaultColWidth="8.796875" defaultRowHeight="15"/>
  <cols>
    <col min="1" max="1" width="9.8984375" style="9" customWidth="1"/>
    <col min="2" max="2" width="16" style="9" customWidth="1"/>
    <col min="3" max="3" width="10" style="9" customWidth="1"/>
    <col min="4" max="4" width="12.3984375" style="9" customWidth="1"/>
    <col min="5" max="6" width="8.796875" style="9"/>
    <col min="7" max="7" width="15.296875" style="9" customWidth="1"/>
    <col min="8" max="8" width="43.59765625" style="9" bestFit="1" customWidth="1"/>
    <col min="9" max="9" width="14" style="9" customWidth="1"/>
    <col min="10" max="10" width="11.296875" style="9" customWidth="1"/>
    <col min="11" max="11" width="11.3984375" style="9" customWidth="1"/>
    <col min="12" max="12" width="19.69921875" style="9" customWidth="1"/>
    <col min="13" max="13" width="29.19921875" style="9" bestFit="1" customWidth="1"/>
    <col min="14" max="14" width="23.5" style="9" customWidth="1"/>
    <col min="15" max="15" width="16.5" style="9" customWidth="1"/>
    <col min="16" max="16384" width="8.796875" style="9"/>
  </cols>
  <sheetData>
    <row r="1" spans="1:17">
      <c r="A1" s="9" t="s">
        <v>2404</v>
      </c>
      <c r="B1" s="9" t="s">
        <v>3045</v>
      </c>
      <c r="C1" s="9" t="s">
        <v>3046</v>
      </c>
      <c r="D1" s="9" t="s">
        <v>3047</v>
      </c>
      <c r="E1" s="9" t="s">
        <v>1</v>
      </c>
      <c r="F1" s="9" t="s">
        <v>3</v>
      </c>
      <c r="G1" s="9" t="s">
        <v>2281</v>
      </c>
      <c r="H1" s="9" t="s">
        <v>3048</v>
      </c>
      <c r="I1" s="9" t="s">
        <v>3049</v>
      </c>
      <c r="J1" s="9" t="s">
        <v>3050</v>
      </c>
      <c r="K1" s="4" t="s">
        <v>3051</v>
      </c>
      <c r="L1" s="9" t="s">
        <v>3052</v>
      </c>
      <c r="M1" s="9" t="s">
        <v>3053</v>
      </c>
      <c r="N1" s="9" t="s">
        <v>3054</v>
      </c>
      <c r="O1" s="9" t="s">
        <v>3055</v>
      </c>
      <c r="P1" s="9" t="s">
        <v>3056</v>
      </c>
      <c r="Q1" s="9" t="s">
        <v>3057</v>
      </c>
    </row>
    <row r="2" spans="1:17">
      <c r="A2" s="9" t="s">
        <v>3058</v>
      </c>
      <c r="B2" s="9">
        <v>2</v>
      </c>
      <c r="C2" s="155">
        <v>44713</v>
      </c>
      <c r="D2" s="9">
        <v>0</v>
      </c>
      <c r="E2" s="9">
        <v>0</v>
      </c>
      <c r="F2" s="9" t="s">
        <v>1202</v>
      </c>
      <c r="G2" s="9" t="s">
        <v>2699</v>
      </c>
      <c r="H2" s="9" t="s">
        <v>2699</v>
      </c>
      <c r="I2" s="156">
        <v>79438.138624442334</v>
      </c>
      <c r="J2" s="9" t="s">
        <v>3059</v>
      </c>
      <c r="K2" s="9" t="s">
        <v>3059</v>
      </c>
      <c r="M2" s="156">
        <v>79438.138624442334</v>
      </c>
      <c r="N2" s="9" t="s">
        <v>3060</v>
      </c>
      <c r="O2" s="9" t="s">
        <v>3059</v>
      </c>
      <c r="P2" s="9">
        <v>2022</v>
      </c>
      <c r="Q2" s="9">
        <v>2022</v>
      </c>
    </row>
    <row r="3" spans="1:17">
      <c r="A3" s="9" t="s">
        <v>3058</v>
      </c>
      <c r="B3" s="9">
        <v>2</v>
      </c>
      <c r="C3" s="155">
        <v>44713</v>
      </c>
      <c r="D3" s="9">
        <v>0</v>
      </c>
      <c r="E3" s="9">
        <v>0</v>
      </c>
      <c r="F3" s="9" t="s">
        <v>1189</v>
      </c>
      <c r="G3" s="9" t="s">
        <v>2712</v>
      </c>
      <c r="H3" s="9" t="s">
        <v>2712</v>
      </c>
      <c r="I3" s="156">
        <v>12141.363118041738</v>
      </c>
      <c r="J3" s="9" t="s">
        <v>3059</v>
      </c>
      <c r="K3" s="9" t="s">
        <v>3059</v>
      </c>
      <c r="M3" s="156">
        <v>12141.363118041738</v>
      </c>
      <c r="N3" s="9" t="s">
        <v>3060</v>
      </c>
      <c r="O3" s="9" t="s">
        <v>3059</v>
      </c>
      <c r="P3" s="9">
        <v>2022</v>
      </c>
      <c r="Q3" s="9">
        <v>2022</v>
      </c>
    </row>
    <row r="4" spans="1:17">
      <c r="A4" s="9" t="s">
        <v>3058</v>
      </c>
      <c r="B4" s="9">
        <v>2</v>
      </c>
      <c r="C4" s="155">
        <v>44713</v>
      </c>
      <c r="D4" s="9">
        <v>0</v>
      </c>
      <c r="E4" s="9">
        <v>0</v>
      </c>
      <c r="F4" s="9" t="s">
        <v>227</v>
      </c>
      <c r="G4" s="9" t="s">
        <v>2892</v>
      </c>
      <c r="H4" s="9" t="s">
        <v>2892</v>
      </c>
      <c r="I4" s="156">
        <v>20872.984167018389</v>
      </c>
      <c r="J4" s="9" t="s">
        <v>3059</v>
      </c>
      <c r="K4" s="9" t="s">
        <v>3059</v>
      </c>
      <c r="M4" s="156">
        <v>20872.984167018389</v>
      </c>
      <c r="N4" s="9" t="s">
        <v>3060</v>
      </c>
      <c r="O4" s="9" t="s">
        <v>3059</v>
      </c>
      <c r="P4" s="9">
        <v>2022</v>
      </c>
      <c r="Q4" s="9">
        <v>2022</v>
      </c>
    </row>
    <row r="5" spans="1:17">
      <c r="A5" s="9" t="s">
        <v>3058</v>
      </c>
      <c r="B5" s="9">
        <v>2</v>
      </c>
      <c r="C5" s="155">
        <v>44713</v>
      </c>
      <c r="D5" s="9">
        <v>0</v>
      </c>
      <c r="E5" s="9">
        <v>0</v>
      </c>
      <c r="F5" s="9" t="s">
        <v>227</v>
      </c>
      <c r="G5" s="9" t="s">
        <v>2893</v>
      </c>
      <c r="H5" s="9" t="s">
        <v>2893</v>
      </c>
      <c r="I5" s="156">
        <v>77656.493735088894</v>
      </c>
      <c r="J5" s="9" t="s">
        <v>3059</v>
      </c>
      <c r="K5" s="9" t="s">
        <v>3059</v>
      </c>
      <c r="M5" s="156">
        <v>77656.493735088894</v>
      </c>
      <c r="N5" s="9" t="s">
        <v>3060</v>
      </c>
      <c r="O5" s="9" t="s">
        <v>3059</v>
      </c>
      <c r="P5" s="9">
        <v>2022</v>
      </c>
      <c r="Q5" s="9">
        <v>2022</v>
      </c>
    </row>
    <row r="6" spans="1:17">
      <c r="A6" s="9" t="s">
        <v>3058</v>
      </c>
      <c r="B6" s="9">
        <v>2</v>
      </c>
      <c r="C6" s="155">
        <v>44713</v>
      </c>
      <c r="D6" s="9">
        <v>0</v>
      </c>
      <c r="E6" s="9">
        <v>0</v>
      </c>
      <c r="F6" s="9" t="s">
        <v>1514</v>
      </c>
      <c r="G6" s="9" t="s">
        <v>2894</v>
      </c>
      <c r="H6" s="9" t="s">
        <v>2894</v>
      </c>
      <c r="I6" s="156">
        <v>310.63168953104548</v>
      </c>
      <c r="J6" s="9" t="s">
        <v>3059</v>
      </c>
      <c r="K6" s="9" t="s">
        <v>3059</v>
      </c>
      <c r="M6" s="156">
        <v>310.63168953104548</v>
      </c>
      <c r="N6" s="9" t="s">
        <v>3060</v>
      </c>
      <c r="O6" s="9" t="s">
        <v>3059</v>
      </c>
      <c r="P6" s="9">
        <v>2022</v>
      </c>
      <c r="Q6" s="9">
        <v>2022</v>
      </c>
    </row>
    <row r="7" spans="1:17">
      <c r="A7" s="9" t="s">
        <v>3058</v>
      </c>
      <c r="B7" s="9">
        <v>2</v>
      </c>
      <c r="C7" s="155">
        <v>44713</v>
      </c>
      <c r="D7" s="9">
        <v>0</v>
      </c>
      <c r="E7" s="9">
        <v>0</v>
      </c>
      <c r="F7" s="9" t="s">
        <v>487</v>
      </c>
      <c r="G7" s="9" t="s">
        <v>2715</v>
      </c>
      <c r="H7" s="9" t="s">
        <v>2715</v>
      </c>
      <c r="I7" s="156">
        <v>10599.975196394877</v>
      </c>
      <c r="J7" s="9" t="s">
        <v>3059</v>
      </c>
      <c r="K7" s="9" t="s">
        <v>3059</v>
      </c>
      <c r="M7" s="156">
        <v>10599.975196394877</v>
      </c>
      <c r="N7" s="9" t="s">
        <v>3060</v>
      </c>
      <c r="O7" s="9" t="s">
        <v>3059</v>
      </c>
      <c r="P7" s="9">
        <v>2022</v>
      </c>
      <c r="Q7" s="9">
        <v>2022</v>
      </c>
    </row>
    <row r="8" spans="1:17">
      <c r="A8" s="9" t="s">
        <v>3058</v>
      </c>
      <c r="B8" s="9">
        <v>2</v>
      </c>
      <c r="C8" s="155">
        <v>44713</v>
      </c>
      <c r="D8" s="9">
        <v>0</v>
      </c>
      <c r="E8" s="9">
        <v>0</v>
      </c>
      <c r="F8" s="9" t="s">
        <v>223</v>
      </c>
      <c r="G8" s="9" t="s">
        <v>2714</v>
      </c>
      <c r="H8" s="9" t="s">
        <v>2714</v>
      </c>
      <c r="I8" s="156">
        <v>295419.06898740475</v>
      </c>
      <c r="J8" s="9" t="s">
        <v>3059</v>
      </c>
      <c r="K8" s="9" t="s">
        <v>3059</v>
      </c>
      <c r="M8" s="156">
        <v>295419.06898740475</v>
      </c>
      <c r="N8" s="9" t="s">
        <v>3060</v>
      </c>
      <c r="O8" s="9" t="s">
        <v>3059</v>
      </c>
      <c r="P8" s="9">
        <v>2022</v>
      </c>
      <c r="Q8" s="9">
        <v>2022</v>
      </c>
    </row>
    <row r="9" spans="1:17">
      <c r="A9" s="9" t="s">
        <v>3058</v>
      </c>
      <c r="B9" s="9">
        <v>2</v>
      </c>
      <c r="C9" s="155">
        <v>44713</v>
      </c>
      <c r="D9" s="9">
        <v>0</v>
      </c>
      <c r="E9" s="9">
        <v>0</v>
      </c>
      <c r="F9" s="9" t="s">
        <v>1548</v>
      </c>
      <c r="G9" s="9" t="s">
        <v>3061</v>
      </c>
      <c r="H9" s="9" t="s">
        <v>3062</v>
      </c>
      <c r="I9" s="9">
        <v>39827931.420000002</v>
      </c>
      <c r="J9" s="9" t="s">
        <v>3063</v>
      </c>
      <c r="K9" s="4" t="s">
        <v>3064</v>
      </c>
      <c r="M9" s="9">
        <v>39827931.420000002</v>
      </c>
      <c r="N9" s="9" t="s">
        <v>3065</v>
      </c>
      <c r="O9" s="9">
        <v>20220616</v>
      </c>
      <c r="P9" s="9">
        <v>2022</v>
      </c>
      <c r="Q9" s="9">
        <v>2022</v>
      </c>
    </row>
    <row r="10" spans="1:17">
      <c r="A10" s="9" t="s">
        <v>3058</v>
      </c>
      <c r="B10" s="9">
        <v>2</v>
      </c>
      <c r="C10" s="155">
        <v>44713</v>
      </c>
      <c r="D10" s="9" t="s">
        <v>1558</v>
      </c>
      <c r="E10" s="9" t="s">
        <v>1641</v>
      </c>
      <c r="F10" s="9" t="s">
        <v>223</v>
      </c>
      <c r="G10" s="9" t="s">
        <v>2604</v>
      </c>
      <c r="H10" s="9" t="s">
        <v>3066</v>
      </c>
      <c r="I10" s="9">
        <v>25182810.789999999</v>
      </c>
      <c r="J10" s="9" t="s">
        <v>3063</v>
      </c>
      <c r="K10" s="4" t="s">
        <v>3067</v>
      </c>
      <c r="M10" s="9">
        <v>25182810.789999999</v>
      </c>
      <c r="N10" s="9" t="s">
        <v>3060</v>
      </c>
      <c r="O10" s="9">
        <v>20220616</v>
      </c>
      <c r="P10" s="9">
        <v>2022</v>
      </c>
      <c r="Q10" s="9">
        <v>2022</v>
      </c>
    </row>
    <row r="11" spans="1:17">
      <c r="A11" s="9" t="s">
        <v>3058</v>
      </c>
      <c r="B11" s="9">
        <v>2</v>
      </c>
      <c r="C11" s="155">
        <v>44713</v>
      </c>
      <c r="D11" s="9" t="s">
        <v>738</v>
      </c>
      <c r="E11" s="9" t="s">
        <v>739</v>
      </c>
      <c r="F11" s="9" t="s">
        <v>300</v>
      </c>
      <c r="G11" s="9" t="s">
        <v>3068</v>
      </c>
      <c r="H11" s="9" t="s">
        <v>3069</v>
      </c>
      <c r="I11" s="9">
        <v>9428009</v>
      </c>
      <c r="J11" s="9" t="s">
        <v>3063</v>
      </c>
      <c r="K11" s="4" t="s">
        <v>3070</v>
      </c>
      <c r="M11" s="9">
        <v>9428009</v>
      </c>
      <c r="N11" s="9" t="s">
        <v>3060</v>
      </c>
      <c r="O11" s="9">
        <v>20220616</v>
      </c>
      <c r="P11" s="9">
        <v>2022</v>
      </c>
      <c r="Q11" s="9">
        <v>2022</v>
      </c>
    </row>
    <row r="12" spans="1:17">
      <c r="A12" s="9" t="s">
        <v>3058</v>
      </c>
      <c r="B12" s="9">
        <v>2</v>
      </c>
      <c r="C12" s="155">
        <v>44713</v>
      </c>
      <c r="D12" s="9" t="s">
        <v>701</v>
      </c>
      <c r="E12" s="9" t="s">
        <v>702</v>
      </c>
      <c r="F12" s="9" t="s">
        <v>1189</v>
      </c>
      <c r="G12" s="9" t="s">
        <v>2937</v>
      </c>
      <c r="H12" s="9" t="s">
        <v>3071</v>
      </c>
      <c r="I12" s="9">
        <v>1307849</v>
      </c>
      <c r="J12" s="9" t="s">
        <v>3063</v>
      </c>
      <c r="K12" s="4" t="s">
        <v>3072</v>
      </c>
      <c r="M12" s="9">
        <v>1307849</v>
      </c>
      <c r="N12" s="9" t="s">
        <v>3060</v>
      </c>
      <c r="O12" s="9">
        <v>20220616</v>
      </c>
      <c r="P12" s="9">
        <v>2022</v>
      </c>
      <c r="Q12" s="9">
        <v>2022</v>
      </c>
    </row>
    <row r="13" spans="1:17">
      <c r="A13" s="9" t="s">
        <v>3058</v>
      </c>
      <c r="B13" s="9">
        <v>2</v>
      </c>
      <c r="C13" s="155">
        <v>44713</v>
      </c>
      <c r="D13" s="9" t="s">
        <v>1152</v>
      </c>
      <c r="E13" s="9" t="s">
        <v>1153</v>
      </c>
      <c r="F13" s="9" t="s">
        <v>1526</v>
      </c>
      <c r="G13" s="9" t="s">
        <v>3073</v>
      </c>
      <c r="H13" s="9" t="s">
        <v>3074</v>
      </c>
      <c r="I13" s="9">
        <v>5666467</v>
      </c>
      <c r="J13" s="9" t="s">
        <v>3063</v>
      </c>
      <c r="K13" s="4" t="s">
        <v>3075</v>
      </c>
      <c r="M13" s="9">
        <v>5666467</v>
      </c>
      <c r="N13" s="9" t="s">
        <v>3060</v>
      </c>
      <c r="O13" s="9">
        <v>20220616</v>
      </c>
      <c r="P13" s="9">
        <v>2022</v>
      </c>
      <c r="Q13" s="9">
        <v>2022</v>
      </c>
    </row>
    <row r="14" spans="1:17">
      <c r="A14" s="9" t="s">
        <v>3058</v>
      </c>
      <c r="B14" s="9">
        <v>2</v>
      </c>
      <c r="C14" s="155">
        <v>44713</v>
      </c>
      <c r="D14" s="9" t="s">
        <v>822</v>
      </c>
      <c r="E14" s="9" t="s">
        <v>823</v>
      </c>
      <c r="F14" s="9" t="s">
        <v>300</v>
      </c>
      <c r="G14" s="9" t="s">
        <v>2851</v>
      </c>
      <c r="H14" s="9" t="s">
        <v>3076</v>
      </c>
      <c r="I14" s="9">
        <v>181762</v>
      </c>
      <c r="J14" s="9" t="s">
        <v>3063</v>
      </c>
      <c r="K14" s="4" t="s">
        <v>3077</v>
      </c>
      <c r="M14" s="9">
        <v>181762</v>
      </c>
      <c r="N14" s="9" t="s">
        <v>3060</v>
      </c>
      <c r="O14" s="9">
        <v>20220616</v>
      </c>
      <c r="P14" s="9">
        <v>2022</v>
      </c>
      <c r="Q14" s="9">
        <v>2022</v>
      </c>
    </row>
    <row r="15" spans="1:17">
      <c r="A15" s="9" t="s">
        <v>3058</v>
      </c>
      <c r="B15" s="9">
        <v>2</v>
      </c>
      <c r="C15" s="155">
        <v>44713</v>
      </c>
      <c r="D15" s="9" t="s">
        <v>97</v>
      </c>
      <c r="E15" s="9" t="s">
        <v>98</v>
      </c>
      <c r="F15" s="9" t="s">
        <v>1486</v>
      </c>
      <c r="G15" s="9" t="s">
        <v>3078</v>
      </c>
      <c r="H15" s="9" t="s">
        <v>3079</v>
      </c>
      <c r="I15" s="9">
        <v>110583.52</v>
      </c>
      <c r="J15" s="9" t="s">
        <v>3063</v>
      </c>
      <c r="K15" s="4" t="s">
        <v>3080</v>
      </c>
      <c r="M15" s="9">
        <v>110583.52</v>
      </c>
      <c r="N15" s="9" t="s">
        <v>3060</v>
      </c>
      <c r="O15" s="9">
        <v>20220616</v>
      </c>
      <c r="P15" s="9">
        <v>2022</v>
      </c>
      <c r="Q15" s="9">
        <v>2022</v>
      </c>
    </row>
    <row r="16" spans="1:17">
      <c r="A16" s="9" t="s">
        <v>3058</v>
      </c>
      <c r="B16" s="9">
        <v>2</v>
      </c>
      <c r="C16" s="155">
        <v>44713</v>
      </c>
      <c r="D16" s="9" t="s">
        <v>762</v>
      </c>
      <c r="E16" s="9" t="s">
        <v>763</v>
      </c>
      <c r="F16" s="9" t="s">
        <v>223</v>
      </c>
      <c r="G16" s="9" t="s">
        <v>1740</v>
      </c>
      <c r="H16" s="9" t="s">
        <v>3081</v>
      </c>
      <c r="I16" s="9">
        <v>1582629</v>
      </c>
      <c r="J16" s="9" t="s">
        <v>3063</v>
      </c>
      <c r="K16" s="4" t="s">
        <v>3082</v>
      </c>
      <c r="M16" s="9">
        <v>1582629</v>
      </c>
      <c r="N16" s="9" t="s">
        <v>3060</v>
      </c>
      <c r="O16" s="9">
        <v>20220616</v>
      </c>
      <c r="P16" s="9">
        <v>2022</v>
      </c>
      <c r="Q16" s="9">
        <v>2022</v>
      </c>
    </row>
    <row r="17" spans="1:17">
      <c r="A17" s="9" t="s">
        <v>3058</v>
      </c>
      <c r="B17" s="9">
        <v>2</v>
      </c>
      <c r="C17" s="155">
        <v>44713</v>
      </c>
      <c r="D17" s="9" t="s">
        <v>611</v>
      </c>
      <c r="E17" s="9" t="s">
        <v>612</v>
      </c>
      <c r="F17" s="9" t="s">
        <v>1548</v>
      </c>
      <c r="G17" s="9" t="s">
        <v>2588</v>
      </c>
      <c r="H17" s="9" t="s">
        <v>3083</v>
      </c>
      <c r="I17" s="9">
        <v>993675</v>
      </c>
      <c r="J17" s="9" t="s">
        <v>3063</v>
      </c>
      <c r="K17" s="4" t="s">
        <v>3084</v>
      </c>
      <c r="M17" s="9">
        <v>993675</v>
      </c>
      <c r="N17" s="9" t="s">
        <v>3060</v>
      </c>
      <c r="O17" s="9">
        <v>20220616</v>
      </c>
      <c r="P17" s="9">
        <v>2022</v>
      </c>
      <c r="Q17" s="9">
        <v>2022</v>
      </c>
    </row>
    <row r="18" spans="1:17">
      <c r="A18" s="9" t="s">
        <v>3058</v>
      </c>
      <c r="B18" s="9">
        <v>2</v>
      </c>
      <c r="C18" s="155">
        <v>44713</v>
      </c>
      <c r="D18" s="9" t="s">
        <v>1288</v>
      </c>
      <c r="E18" s="9" t="s">
        <v>1289</v>
      </c>
      <c r="F18" s="9" t="s">
        <v>310</v>
      </c>
      <c r="G18" s="9" t="s">
        <v>2857</v>
      </c>
      <c r="H18" s="9" t="s">
        <v>3085</v>
      </c>
      <c r="I18" s="9">
        <v>523522</v>
      </c>
      <c r="J18" s="9" t="s">
        <v>3063</v>
      </c>
      <c r="K18" s="4" t="s">
        <v>3086</v>
      </c>
      <c r="M18" s="9">
        <v>523522</v>
      </c>
      <c r="N18" s="9" t="s">
        <v>3060</v>
      </c>
      <c r="O18" s="9">
        <v>20220616</v>
      </c>
      <c r="P18" s="9">
        <v>2022</v>
      </c>
      <c r="Q18" s="9">
        <v>2022</v>
      </c>
    </row>
    <row r="19" spans="1:17">
      <c r="A19" s="9" t="s">
        <v>3058</v>
      </c>
      <c r="B19" s="9">
        <v>2</v>
      </c>
      <c r="C19" s="155">
        <v>44713</v>
      </c>
      <c r="D19" s="9" t="s">
        <v>1078</v>
      </c>
      <c r="E19" s="9" t="s">
        <v>1079</v>
      </c>
      <c r="F19" s="9" t="s">
        <v>1365</v>
      </c>
      <c r="G19" s="9" t="s">
        <v>2795</v>
      </c>
      <c r="H19" s="9" t="s">
        <v>3087</v>
      </c>
      <c r="I19" s="9">
        <v>1224833.56</v>
      </c>
      <c r="J19" s="9" t="s">
        <v>3063</v>
      </c>
      <c r="K19" s="4" t="s">
        <v>3088</v>
      </c>
      <c r="M19" s="9">
        <v>1224833.56</v>
      </c>
      <c r="N19" s="9" t="s">
        <v>3060</v>
      </c>
      <c r="O19" s="9">
        <v>20220616</v>
      </c>
      <c r="P19" s="9">
        <v>2022</v>
      </c>
      <c r="Q19" s="9">
        <v>2022</v>
      </c>
    </row>
    <row r="20" spans="1:17">
      <c r="A20" s="9" t="s">
        <v>3058</v>
      </c>
      <c r="B20" s="9">
        <v>2</v>
      </c>
      <c r="C20" s="155">
        <v>44713</v>
      </c>
      <c r="D20" s="9" t="s">
        <v>152</v>
      </c>
      <c r="E20" s="9" t="s">
        <v>153</v>
      </c>
      <c r="F20" s="9" t="s">
        <v>310</v>
      </c>
      <c r="G20" s="9" t="s">
        <v>2572</v>
      </c>
      <c r="H20" s="9" t="s">
        <v>3089</v>
      </c>
      <c r="I20" s="9">
        <v>114731</v>
      </c>
      <c r="J20" s="9" t="s">
        <v>3063</v>
      </c>
      <c r="K20" s="4" t="s">
        <v>3090</v>
      </c>
      <c r="M20" s="9">
        <v>114731</v>
      </c>
      <c r="N20" s="9" t="s">
        <v>3060</v>
      </c>
      <c r="O20" s="9">
        <v>20220616</v>
      </c>
      <c r="P20" s="9">
        <v>2022</v>
      </c>
      <c r="Q20" s="9">
        <v>2022</v>
      </c>
    </row>
    <row r="21" spans="1:17" ht="30">
      <c r="A21" s="9" t="s">
        <v>3058</v>
      </c>
      <c r="B21" s="9">
        <v>2</v>
      </c>
      <c r="C21" s="155">
        <v>44713</v>
      </c>
      <c r="D21" s="9" t="s">
        <v>1279</v>
      </c>
      <c r="E21" s="9" t="s">
        <v>1280</v>
      </c>
      <c r="F21" s="9" t="s">
        <v>487</v>
      </c>
      <c r="G21" s="9" t="s">
        <v>2838</v>
      </c>
      <c r="H21" s="7" t="s">
        <v>3091</v>
      </c>
      <c r="I21" s="9">
        <v>816318.24</v>
      </c>
      <c r="J21" s="9" t="s">
        <v>3063</v>
      </c>
      <c r="K21" s="4" t="s">
        <v>3092</v>
      </c>
      <c r="M21" s="9">
        <v>816318.24</v>
      </c>
      <c r="N21" s="9" t="s">
        <v>3060</v>
      </c>
      <c r="O21" s="9">
        <v>20220616</v>
      </c>
      <c r="P21" s="9">
        <v>2022</v>
      </c>
      <c r="Q21" s="9">
        <v>2022</v>
      </c>
    </row>
    <row r="22" spans="1:17">
      <c r="A22" s="9" t="s">
        <v>3058</v>
      </c>
      <c r="B22" s="9">
        <v>2</v>
      </c>
      <c r="C22" s="155">
        <v>44713</v>
      </c>
      <c r="D22" s="9">
        <v>0</v>
      </c>
      <c r="E22" s="9">
        <v>0</v>
      </c>
      <c r="F22" s="9" t="s">
        <v>227</v>
      </c>
      <c r="G22" s="9" t="s">
        <v>3093</v>
      </c>
      <c r="H22" s="9" t="s">
        <v>3094</v>
      </c>
      <c r="I22" s="9">
        <v>1076786</v>
      </c>
      <c r="J22" s="9" t="s">
        <v>3063</v>
      </c>
      <c r="K22" s="4" t="s">
        <v>3095</v>
      </c>
      <c r="M22" s="9">
        <v>1076786</v>
      </c>
      <c r="N22" s="9" t="s">
        <v>3060</v>
      </c>
      <c r="O22" s="9">
        <v>20220616</v>
      </c>
      <c r="P22" s="9">
        <v>2022</v>
      </c>
      <c r="Q22" s="9">
        <v>2022</v>
      </c>
    </row>
    <row r="23" spans="1:17">
      <c r="A23" s="9" t="s">
        <v>3058</v>
      </c>
      <c r="B23" s="9">
        <v>2</v>
      </c>
      <c r="C23" s="155">
        <v>44713</v>
      </c>
      <c r="D23" s="9" t="s">
        <v>917</v>
      </c>
      <c r="E23" s="9" t="s">
        <v>918</v>
      </c>
      <c r="F23" s="9" t="s">
        <v>1365</v>
      </c>
      <c r="G23" s="9" t="s">
        <v>2829</v>
      </c>
      <c r="H23" s="9" t="s">
        <v>3096</v>
      </c>
      <c r="I23" s="9">
        <v>11720358.689999999</v>
      </c>
      <c r="J23" s="9" t="s">
        <v>3063</v>
      </c>
      <c r="K23" s="4" t="s">
        <v>3097</v>
      </c>
      <c r="M23" s="9">
        <v>11720358.689999999</v>
      </c>
      <c r="N23" s="9" t="s">
        <v>3060</v>
      </c>
      <c r="O23" s="9">
        <v>20220616</v>
      </c>
      <c r="P23" s="9">
        <v>2022</v>
      </c>
      <c r="Q23" s="9">
        <v>2022</v>
      </c>
    </row>
    <row r="24" spans="1:17" ht="60">
      <c r="A24" s="9" t="s">
        <v>3058</v>
      </c>
      <c r="B24" s="9">
        <v>2</v>
      </c>
      <c r="C24" s="155">
        <v>44713</v>
      </c>
      <c r="D24" s="9" t="s">
        <v>1053</v>
      </c>
      <c r="E24" s="9" t="s">
        <v>1054</v>
      </c>
      <c r="F24" s="9" t="s">
        <v>1514</v>
      </c>
      <c r="G24" s="7" t="s">
        <v>2908</v>
      </c>
      <c r="H24" s="7" t="s">
        <v>3098</v>
      </c>
      <c r="I24" s="9">
        <v>44814.09</v>
      </c>
      <c r="J24" s="9" t="s">
        <v>3063</v>
      </c>
      <c r="K24" s="4" t="s">
        <v>3099</v>
      </c>
      <c r="M24" s="9">
        <v>44814.09</v>
      </c>
      <c r="N24" s="9" t="s">
        <v>3060</v>
      </c>
      <c r="O24" s="9">
        <v>20220616</v>
      </c>
      <c r="P24" s="9">
        <v>2022</v>
      </c>
      <c r="Q24" s="9">
        <v>2022</v>
      </c>
    </row>
    <row r="25" spans="1:17">
      <c r="A25" s="9" t="s">
        <v>3058</v>
      </c>
      <c r="B25" s="9">
        <v>2</v>
      </c>
      <c r="C25" s="155">
        <v>44713</v>
      </c>
      <c r="D25" s="9" t="s">
        <v>1155</v>
      </c>
      <c r="E25" s="9" t="s">
        <v>1156</v>
      </c>
      <c r="F25" s="9" t="s">
        <v>227</v>
      </c>
      <c r="G25" s="9" t="s">
        <v>1752</v>
      </c>
      <c r="H25" s="9" t="s">
        <v>2939</v>
      </c>
      <c r="I25" s="9">
        <v>382345</v>
      </c>
      <c r="J25" s="9" t="s">
        <v>3100</v>
      </c>
      <c r="K25" s="4" t="s">
        <v>3101</v>
      </c>
      <c r="M25" s="9">
        <v>382345</v>
      </c>
      <c r="N25" s="9" t="s">
        <v>3060</v>
      </c>
      <c r="O25" s="9">
        <v>20220615</v>
      </c>
      <c r="P25" s="9">
        <v>2022</v>
      </c>
      <c r="Q25" s="9">
        <v>2022</v>
      </c>
    </row>
    <row r="26" spans="1:17">
      <c r="A26" s="9" t="s">
        <v>3058</v>
      </c>
      <c r="B26" s="9">
        <v>2</v>
      </c>
      <c r="C26" s="155">
        <v>44713</v>
      </c>
      <c r="D26" s="9">
        <v>0</v>
      </c>
      <c r="E26" s="9">
        <v>0</v>
      </c>
      <c r="F26" s="9" t="s">
        <v>1526</v>
      </c>
      <c r="G26" s="9" t="s">
        <v>3102</v>
      </c>
      <c r="H26" s="9" t="s">
        <v>3103</v>
      </c>
      <c r="I26" s="9">
        <v>466998</v>
      </c>
      <c r="J26" s="9" t="s">
        <v>3063</v>
      </c>
      <c r="K26" s="4" t="s">
        <v>3104</v>
      </c>
      <c r="M26" s="9">
        <v>466998</v>
      </c>
      <c r="N26" s="9" t="s">
        <v>3060</v>
      </c>
      <c r="O26" s="9">
        <v>20220616</v>
      </c>
      <c r="P26" s="9">
        <v>2022</v>
      </c>
      <c r="Q26" s="9">
        <v>2022</v>
      </c>
    </row>
    <row r="27" spans="1:17">
      <c r="A27" s="9" t="s">
        <v>3058</v>
      </c>
      <c r="B27" s="9">
        <v>2</v>
      </c>
      <c r="C27" s="155">
        <v>44713</v>
      </c>
      <c r="D27" s="9" t="s">
        <v>471</v>
      </c>
      <c r="E27" s="9" t="s">
        <v>472</v>
      </c>
      <c r="F27" s="9" t="s">
        <v>227</v>
      </c>
      <c r="G27" s="9" t="s">
        <v>2613</v>
      </c>
      <c r="H27" s="9" t="s">
        <v>2613</v>
      </c>
      <c r="I27" s="9">
        <v>382591</v>
      </c>
      <c r="J27" s="9" t="s">
        <v>3100</v>
      </c>
      <c r="K27" s="4" t="s">
        <v>3105</v>
      </c>
      <c r="M27" s="9">
        <v>382591</v>
      </c>
      <c r="N27" s="9" t="s">
        <v>3060</v>
      </c>
      <c r="O27" s="9">
        <v>20220615</v>
      </c>
      <c r="P27" s="9">
        <v>2022</v>
      </c>
      <c r="Q27" s="9">
        <v>2022</v>
      </c>
    </row>
    <row r="28" spans="1:17">
      <c r="A28" s="9" t="s">
        <v>3058</v>
      </c>
      <c r="B28" s="9">
        <v>2</v>
      </c>
      <c r="C28" s="155">
        <v>44713</v>
      </c>
      <c r="D28" s="9" t="s">
        <v>497</v>
      </c>
      <c r="E28" s="9" t="s">
        <v>498</v>
      </c>
      <c r="F28" s="9" t="s">
        <v>227</v>
      </c>
      <c r="G28" s="9" t="s">
        <v>2906</v>
      </c>
      <c r="H28" s="9" t="s">
        <v>3106</v>
      </c>
      <c r="I28" s="9">
        <v>50532</v>
      </c>
      <c r="J28" s="9" t="s">
        <v>3063</v>
      </c>
      <c r="K28" s="4" t="s">
        <v>3107</v>
      </c>
      <c r="M28" s="9">
        <v>50532</v>
      </c>
      <c r="N28" s="9" t="s">
        <v>3060</v>
      </c>
      <c r="O28" s="9">
        <v>20220616</v>
      </c>
      <c r="P28" s="9">
        <v>2022</v>
      </c>
      <c r="Q28" s="9">
        <v>2022</v>
      </c>
    </row>
    <row r="29" spans="1:17">
      <c r="A29" s="9" t="s">
        <v>3058</v>
      </c>
      <c r="B29" s="9">
        <v>2</v>
      </c>
      <c r="C29" s="155">
        <v>44713</v>
      </c>
      <c r="D29" s="9">
        <v>0</v>
      </c>
      <c r="E29" s="9">
        <v>0</v>
      </c>
      <c r="F29" s="9" t="s">
        <v>487</v>
      </c>
      <c r="G29" s="9" t="s">
        <v>3108</v>
      </c>
      <c r="H29" s="9" t="s">
        <v>3109</v>
      </c>
      <c r="I29" s="9">
        <v>77843571.019999996</v>
      </c>
      <c r="J29" s="9" t="s">
        <v>3063</v>
      </c>
      <c r="K29" s="4" t="s">
        <v>3110</v>
      </c>
      <c r="M29" s="9">
        <v>77843571.019999996</v>
      </c>
      <c r="N29" s="9" t="s">
        <v>3111</v>
      </c>
      <c r="O29" s="9">
        <v>20220616</v>
      </c>
      <c r="P29" s="9">
        <v>2022</v>
      </c>
      <c r="Q29" s="9">
        <v>2022</v>
      </c>
    </row>
    <row r="30" spans="1:17">
      <c r="A30" s="9" t="s">
        <v>3058</v>
      </c>
      <c r="B30" s="9">
        <v>2</v>
      </c>
      <c r="C30" s="155">
        <v>44713</v>
      </c>
      <c r="D30" s="9" t="s">
        <v>1183</v>
      </c>
      <c r="E30" s="9" t="s">
        <v>1184</v>
      </c>
      <c r="F30" s="9" t="s">
        <v>1486</v>
      </c>
      <c r="G30" s="9" t="s">
        <v>2348</v>
      </c>
      <c r="H30" s="9" t="s">
        <v>3112</v>
      </c>
      <c r="I30" s="9">
        <v>32118.080000000002</v>
      </c>
      <c r="J30" s="9" t="s">
        <v>3063</v>
      </c>
      <c r="K30" s="4" t="s">
        <v>3113</v>
      </c>
      <c r="M30" s="9">
        <v>32118.080000000002</v>
      </c>
      <c r="N30" s="9" t="s">
        <v>3060</v>
      </c>
      <c r="O30" s="9">
        <v>20220616</v>
      </c>
      <c r="P30" s="9">
        <v>2022</v>
      </c>
      <c r="Q30" s="9">
        <v>2022</v>
      </c>
    </row>
    <row r="31" spans="1:17" ht="30">
      <c r="A31" s="9" t="s">
        <v>3058</v>
      </c>
      <c r="B31" s="9">
        <v>2</v>
      </c>
      <c r="C31" s="155">
        <v>44713</v>
      </c>
      <c r="D31" s="9" t="s">
        <v>889</v>
      </c>
      <c r="E31" s="9" t="s">
        <v>890</v>
      </c>
      <c r="F31" s="9" t="s">
        <v>227</v>
      </c>
      <c r="G31" s="9" t="s">
        <v>2945</v>
      </c>
      <c r="H31" s="7" t="s">
        <v>3114</v>
      </c>
      <c r="I31" s="9">
        <v>7487109.9000000004</v>
      </c>
      <c r="J31" s="9" t="s">
        <v>3063</v>
      </c>
      <c r="K31" s="4" t="s">
        <v>3115</v>
      </c>
      <c r="M31" s="9">
        <v>7487109.9000000004</v>
      </c>
      <c r="N31" s="9" t="s">
        <v>3060</v>
      </c>
      <c r="O31" s="9">
        <v>20220616</v>
      </c>
      <c r="P31" s="9">
        <v>2022</v>
      </c>
      <c r="Q31" s="9">
        <v>2022</v>
      </c>
    </row>
    <row r="32" spans="1:17">
      <c r="A32" s="9" t="s">
        <v>3058</v>
      </c>
      <c r="B32" s="9">
        <v>2</v>
      </c>
      <c r="C32" s="155">
        <v>44713</v>
      </c>
      <c r="D32" s="9">
        <v>0</v>
      </c>
      <c r="E32" s="9">
        <v>0</v>
      </c>
      <c r="F32" s="9" t="s">
        <v>300</v>
      </c>
      <c r="G32" s="9" t="s">
        <v>3068</v>
      </c>
      <c r="H32" s="9" t="s">
        <v>3116</v>
      </c>
      <c r="I32" s="9">
        <v>99999999</v>
      </c>
      <c r="J32" s="9" t="s">
        <v>3063</v>
      </c>
      <c r="K32" s="4" t="s">
        <v>3117</v>
      </c>
      <c r="M32" s="9">
        <v>99999999</v>
      </c>
      <c r="N32" s="9" t="s">
        <v>3068</v>
      </c>
      <c r="O32" s="9">
        <v>20220616</v>
      </c>
      <c r="P32" s="9">
        <v>2022</v>
      </c>
      <c r="Q32" s="9">
        <v>2022</v>
      </c>
    </row>
    <row r="33" spans="1:17">
      <c r="A33" s="9" t="s">
        <v>3058</v>
      </c>
      <c r="B33" s="9">
        <v>2</v>
      </c>
      <c r="C33" s="155">
        <v>44713</v>
      </c>
      <c r="D33" s="9">
        <v>0</v>
      </c>
      <c r="E33" s="9">
        <v>0</v>
      </c>
      <c r="F33" s="9" t="s">
        <v>300</v>
      </c>
      <c r="G33" s="9" t="s">
        <v>3068</v>
      </c>
      <c r="H33" s="9" t="s">
        <v>3116</v>
      </c>
      <c r="I33" s="9">
        <v>99999999</v>
      </c>
      <c r="J33" s="9" t="s">
        <v>3063</v>
      </c>
      <c r="K33" s="4" t="s">
        <v>3117</v>
      </c>
      <c r="M33" s="9">
        <v>99999999</v>
      </c>
      <c r="N33" s="9" t="s">
        <v>3068</v>
      </c>
      <c r="O33" s="9">
        <v>20220616</v>
      </c>
      <c r="P33" s="9">
        <v>2022</v>
      </c>
      <c r="Q33" s="9">
        <v>2022</v>
      </c>
    </row>
    <row r="34" spans="1:17">
      <c r="A34" s="9" t="s">
        <v>3058</v>
      </c>
      <c r="B34" s="9">
        <v>2</v>
      </c>
      <c r="C34" s="155">
        <v>44713</v>
      </c>
      <c r="D34" s="9">
        <v>0</v>
      </c>
      <c r="E34" s="9">
        <v>0</v>
      </c>
      <c r="F34" s="9" t="s">
        <v>300</v>
      </c>
      <c r="G34" s="9" t="s">
        <v>3068</v>
      </c>
      <c r="H34" s="9" t="s">
        <v>3116</v>
      </c>
      <c r="I34" s="9">
        <v>99999999</v>
      </c>
      <c r="J34" s="9" t="s">
        <v>3063</v>
      </c>
      <c r="K34" s="4" t="s">
        <v>3117</v>
      </c>
      <c r="M34" s="9">
        <v>99999999</v>
      </c>
      <c r="N34" s="9" t="s">
        <v>3068</v>
      </c>
      <c r="O34" s="9">
        <v>20220616</v>
      </c>
      <c r="P34" s="9">
        <v>2022</v>
      </c>
      <c r="Q34" s="9">
        <v>2022</v>
      </c>
    </row>
    <row r="35" spans="1:17">
      <c r="A35" s="9" t="s">
        <v>3058</v>
      </c>
      <c r="B35" s="9">
        <v>2</v>
      </c>
      <c r="C35" s="155">
        <v>44713</v>
      </c>
      <c r="D35" s="9">
        <v>0</v>
      </c>
      <c r="E35" s="9">
        <v>0</v>
      </c>
      <c r="F35" s="9" t="s">
        <v>300</v>
      </c>
      <c r="G35" s="9" t="s">
        <v>3068</v>
      </c>
      <c r="H35" s="9" t="s">
        <v>3116</v>
      </c>
      <c r="I35" s="9">
        <v>12943193</v>
      </c>
      <c r="J35" s="9" t="s">
        <v>3063</v>
      </c>
      <c r="K35" s="4" t="s">
        <v>3117</v>
      </c>
      <c r="M35" s="9">
        <v>12943193</v>
      </c>
      <c r="N35" s="9" t="s">
        <v>3068</v>
      </c>
      <c r="O35" s="9">
        <v>20220616</v>
      </c>
      <c r="P35" s="9">
        <v>2022</v>
      </c>
      <c r="Q35" s="9">
        <v>2022</v>
      </c>
    </row>
    <row r="36" spans="1:17" ht="30">
      <c r="A36" s="9" t="s">
        <v>3058</v>
      </c>
      <c r="B36" s="9">
        <v>2</v>
      </c>
      <c r="C36" s="155">
        <v>44713</v>
      </c>
      <c r="D36" s="9" t="s">
        <v>106</v>
      </c>
      <c r="E36" s="9" t="s">
        <v>107</v>
      </c>
      <c r="F36" s="9" t="s">
        <v>227</v>
      </c>
      <c r="G36" s="9" t="s">
        <v>2606</v>
      </c>
      <c r="H36" s="7" t="s">
        <v>3118</v>
      </c>
      <c r="I36" s="9">
        <v>44449</v>
      </c>
      <c r="J36" s="9" t="s">
        <v>3063</v>
      </c>
      <c r="K36" s="4" t="s">
        <v>3119</v>
      </c>
      <c r="M36" s="9">
        <v>44449</v>
      </c>
      <c r="N36" s="9" t="s">
        <v>3060</v>
      </c>
      <c r="O36" s="9">
        <v>20220616</v>
      </c>
      <c r="P36" s="9">
        <v>2022</v>
      </c>
      <c r="Q36" s="9">
        <v>2022</v>
      </c>
    </row>
    <row r="37" spans="1:17">
      <c r="A37" s="9" t="s">
        <v>3058</v>
      </c>
      <c r="B37" s="9">
        <v>2</v>
      </c>
      <c r="C37" s="155">
        <v>44713</v>
      </c>
      <c r="D37" s="9">
        <v>0</v>
      </c>
      <c r="E37" s="9">
        <v>0</v>
      </c>
      <c r="F37" s="9" t="s">
        <v>1526</v>
      </c>
      <c r="G37" s="9" t="s">
        <v>3120</v>
      </c>
      <c r="H37" s="9" t="s">
        <v>3121</v>
      </c>
      <c r="I37" s="9">
        <v>24267</v>
      </c>
      <c r="J37" s="9" t="s">
        <v>3063</v>
      </c>
      <c r="K37" s="4" t="s">
        <v>3122</v>
      </c>
      <c r="M37" s="9">
        <v>24267</v>
      </c>
      <c r="N37" s="9" t="s">
        <v>3060</v>
      </c>
      <c r="O37" s="9">
        <v>20220616</v>
      </c>
      <c r="P37" s="9">
        <v>2022</v>
      </c>
      <c r="Q37" s="9">
        <v>2022</v>
      </c>
    </row>
    <row r="38" spans="1:17">
      <c r="A38" s="9" t="s">
        <v>3058</v>
      </c>
      <c r="B38" s="9">
        <v>2</v>
      </c>
      <c r="C38" s="155">
        <v>44713</v>
      </c>
      <c r="D38" s="9" t="s">
        <v>1016</v>
      </c>
      <c r="E38" s="9" t="s">
        <v>1017</v>
      </c>
      <c r="F38" s="9" t="s">
        <v>227</v>
      </c>
      <c r="G38" s="9" t="s">
        <v>2797</v>
      </c>
      <c r="H38" s="9" t="s">
        <v>3123</v>
      </c>
      <c r="I38" s="9">
        <v>63218</v>
      </c>
      <c r="J38" s="9" t="s">
        <v>3063</v>
      </c>
      <c r="K38" s="4" t="s">
        <v>3124</v>
      </c>
      <c r="M38" s="9">
        <v>63218</v>
      </c>
      <c r="N38" s="9" t="s">
        <v>3060</v>
      </c>
      <c r="O38" s="9">
        <v>20220616</v>
      </c>
      <c r="P38" s="9">
        <v>2022</v>
      </c>
      <c r="Q38" s="9">
        <v>2022</v>
      </c>
    </row>
    <row r="39" spans="1:17">
      <c r="A39" s="9" t="s">
        <v>3058</v>
      </c>
      <c r="B39" s="9">
        <v>2</v>
      </c>
      <c r="C39" s="155">
        <v>44713</v>
      </c>
      <c r="D39" s="9" t="s">
        <v>668</v>
      </c>
      <c r="E39" s="9" t="s">
        <v>669</v>
      </c>
      <c r="F39" s="9" t="s">
        <v>227</v>
      </c>
      <c r="G39" s="9" t="s">
        <v>2804</v>
      </c>
      <c r="H39" s="9" t="s">
        <v>3125</v>
      </c>
      <c r="I39" s="9">
        <v>37868</v>
      </c>
      <c r="J39" s="9" t="s">
        <v>3100</v>
      </c>
      <c r="K39" s="4" t="s">
        <v>3126</v>
      </c>
      <c r="M39" s="9">
        <v>37868</v>
      </c>
      <c r="N39" s="9" t="s">
        <v>3060</v>
      </c>
      <c r="O39" s="9">
        <v>20220615</v>
      </c>
      <c r="P39" s="9">
        <v>2022</v>
      </c>
      <c r="Q39" s="9">
        <v>2022</v>
      </c>
    </row>
    <row r="40" spans="1:17">
      <c r="A40" s="9" t="s">
        <v>3058</v>
      </c>
      <c r="B40" s="9">
        <v>2</v>
      </c>
      <c r="C40" s="155">
        <v>44713</v>
      </c>
      <c r="D40" s="9">
        <v>0</v>
      </c>
      <c r="E40" s="9">
        <v>0</v>
      </c>
      <c r="F40" s="9" t="s">
        <v>227</v>
      </c>
      <c r="G40" s="9" t="s">
        <v>3127</v>
      </c>
      <c r="H40" s="9" t="s">
        <v>3128</v>
      </c>
      <c r="I40" s="9">
        <v>361185</v>
      </c>
      <c r="J40" s="9" t="s">
        <v>3063</v>
      </c>
      <c r="K40" s="4" t="s">
        <v>3129</v>
      </c>
      <c r="M40" s="9">
        <v>361185</v>
      </c>
      <c r="N40" s="9" t="s">
        <v>3060</v>
      </c>
      <c r="O40" s="9">
        <v>20220616</v>
      </c>
      <c r="P40" s="9">
        <v>2022</v>
      </c>
      <c r="Q40" s="9">
        <v>2022</v>
      </c>
    </row>
    <row r="41" spans="1:17">
      <c r="A41" s="9" t="s">
        <v>3058</v>
      </c>
      <c r="B41" s="9">
        <v>2</v>
      </c>
      <c r="C41" s="155">
        <v>44713</v>
      </c>
      <c r="D41" s="9" t="s">
        <v>530</v>
      </c>
      <c r="E41" s="9" t="s">
        <v>531</v>
      </c>
      <c r="F41" s="9" t="s">
        <v>300</v>
      </c>
      <c r="G41" s="9" t="s">
        <v>2610</v>
      </c>
      <c r="H41" s="9" t="s">
        <v>3130</v>
      </c>
      <c r="I41" s="9">
        <v>23639</v>
      </c>
      <c r="J41" s="9" t="s">
        <v>3063</v>
      </c>
      <c r="K41" s="4" t="s">
        <v>3131</v>
      </c>
      <c r="M41" s="9">
        <v>23639</v>
      </c>
      <c r="N41" s="9" t="s">
        <v>3060</v>
      </c>
      <c r="O41" s="9">
        <v>20220616</v>
      </c>
      <c r="P41" s="9">
        <v>2022</v>
      </c>
      <c r="Q41" s="9">
        <v>2022</v>
      </c>
    </row>
    <row r="42" spans="1:17">
      <c r="A42" s="9" t="s">
        <v>3058</v>
      </c>
      <c r="B42" s="9">
        <v>2</v>
      </c>
      <c r="C42" s="155">
        <v>44713</v>
      </c>
      <c r="D42" s="9" t="s">
        <v>587</v>
      </c>
      <c r="E42" s="9" t="s">
        <v>588</v>
      </c>
      <c r="F42" s="9" t="s">
        <v>227</v>
      </c>
      <c r="G42" s="9" t="s">
        <v>3132</v>
      </c>
      <c r="H42" s="9" t="s">
        <v>3133</v>
      </c>
      <c r="I42" s="9">
        <v>53798</v>
      </c>
      <c r="J42" s="9" t="s">
        <v>3063</v>
      </c>
      <c r="K42" s="4" t="s">
        <v>3134</v>
      </c>
      <c r="M42" s="9">
        <v>53798</v>
      </c>
      <c r="N42" s="9" t="s">
        <v>3060</v>
      </c>
      <c r="O42" s="9">
        <v>20220616</v>
      </c>
      <c r="P42" s="9">
        <v>2022</v>
      </c>
      <c r="Q42" s="9">
        <v>2022</v>
      </c>
    </row>
    <row r="43" spans="1:17">
      <c r="A43" s="9" t="s">
        <v>3058</v>
      </c>
      <c r="B43" s="9">
        <v>2</v>
      </c>
      <c r="C43" s="155">
        <v>44713</v>
      </c>
      <c r="D43" s="9" t="s">
        <v>1075</v>
      </c>
      <c r="E43" s="9" t="s">
        <v>1076</v>
      </c>
      <c r="F43" s="9" t="s">
        <v>1526</v>
      </c>
      <c r="G43" s="9" t="s">
        <v>2654</v>
      </c>
      <c r="H43" s="9" t="s">
        <v>3135</v>
      </c>
      <c r="I43" s="9">
        <v>24034</v>
      </c>
      <c r="J43" s="9" t="s">
        <v>3063</v>
      </c>
      <c r="K43" s="4" t="s">
        <v>3136</v>
      </c>
      <c r="M43" s="9">
        <v>24034</v>
      </c>
      <c r="N43" s="9" t="s">
        <v>3060</v>
      </c>
      <c r="O43" s="9">
        <v>20220616</v>
      </c>
      <c r="P43" s="9">
        <v>2022</v>
      </c>
      <c r="Q43" s="9">
        <v>2022</v>
      </c>
    </row>
    <row r="44" spans="1:17">
      <c r="A44" s="9" t="s">
        <v>3058</v>
      </c>
      <c r="B44" s="9">
        <v>2</v>
      </c>
      <c r="C44" s="155">
        <v>44713</v>
      </c>
      <c r="D44" s="9" t="s">
        <v>692</v>
      </c>
      <c r="E44" s="9" t="s">
        <v>693</v>
      </c>
      <c r="F44" s="9" t="s">
        <v>227</v>
      </c>
      <c r="G44" s="9" t="s">
        <v>2459</v>
      </c>
      <c r="H44" s="9" t="s">
        <v>2459</v>
      </c>
      <c r="I44" s="9">
        <v>47525</v>
      </c>
      <c r="J44" s="9" t="s">
        <v>3100</v>
      </c>
      <c r="K44" s="4" t="s">
        <v>3137</v>
      </c>
      <c r="M44" s="9">
        <v>47525</v>
      </c>
      <c r="N44" s="9" t="s">
        <v>3060</v>
      </c>
      <c r="O44" s="9">
        <v>20220615</v>
      </c>
      <c r="P44" s="9">
        <v>2022</v>
      </c>
      <c r="Q44" s="9">
        <v>2022</v>
      </c>
    </row>
    <row r="45" spans="1:17">
      <c r="A45" s="9" t="s">
        <v>3058</v>
      </c>
      <c r="B45" s="9">
        <v>2</v>
      </c>
      <c r="C45" s="155">
        <v>44713</v>
      </c>
      <c r="D45" s="9" t="s">
        <v>992</v>
      </c>
      <c r="E45" s="9" t="s">
        <v>993</v>
      </c>
      <c r="F45" s="9" t="s">
        <v>227</v>
      </c>
      <c r="G45" s="9" t="s">
        <v>2880</v>
      </c>
      <c r="H45" s="9" t="s">
        <v>3138</v>
      </c>
      <c r="I45" s="9">
        <v>56836</v>
      </c>
      <c r="J45" s="9" t="s">
        <v>3063</v>
      </c>
      <c r="K45" s="4" t="s">
        <v>3139</v>
      </c>
      <c r="M45" s="9">
        <v>56836</v>
      </c>
      <c r="N45" s="9" t="s">
        <v>3060</v>
      </c>
      <c r="O45" s="9">
        <v>20220616</v>
      </c>
      <c r="P45" s="9">
        <v>2022</v>
      </c>
      <c r="Q45" s="9">
        <v>2022</v>
      </c>
    </row>
    <row r="46" spans="1:17">
      <c r="A46" s="9" t="s">
        <v>3058</v>
      </c>
      <c r="B46" s="9">
        <v>2</v>
      </c>
      <c r="C46" s="155">
        <v>44713</v>
      </c>
      <c r="D46" s="9" t="s">
        <v>545</v>
      </c>
      <c r="E46" s="9" t="s">
        <v>546</v>
      </c>
      <c r="F46" s="9" t="s">
        <v>1486</v>
      </c>
      <c r="G46" s="9" t="s">
        <v>2877</v>
      </c>
      <c r="H46" s="9" t="s">
        <v>3140</v>
      </c>
      <c r="I46" s="9">
        <v>7115</v>
      </c>
      <c r="J46" s="9" t="s">
        <v>3063</v>
      </c>
      <c r="K46" s="4" t="s">
        <v>3141</v>
      </c>
      <c r="M46" s="9">
        <v>7115</v>
      </c>
      <c r="N46" s="9" t="s">
        <v>3060</v>
      </c>
      <c r="O46" s="9">
        <v>20220616</v>
      </c>
      <c r="P46" s="9">
        <v>2022</v>
      </c>
      <c r="Q46" s="9">
        <v>2022</v>
      </c>
    </row>
    <row r="47" spans="1:17">
      <c r="A47" s="9" t="s">
        <v>3058</v>
      </c>
      <c r="B47" s="9">
        <v>2</v>
      </c>
      <c r="C47" s="155">
        <v>44713</v>
      </c>
      <c r="D47" s="9" t="s">
        <v>956</v>
      </c>
      <c r="E47" s="9" t="s">
        <v>957</v>
      </c>
      <c r="F47" s="9" t="s">
        <v>227</v>
      </c>
      <c r="G47" s="9" t="s">
        <v>2933</v>
      </c>
      <c r="H47" s="9" t="s">
        <v>1642</v>
      </c>
      <c r="I47" s="9">
        <v>77104</v>
      </c>
      <c r="J47" s="9" t="s">
        <v>3100</v>
      </c>
      <c r="K47" s="4" t="s">
        <v>3142</v>
      </c>
      <c r="M47" s="9">
        <v>77104</v>
      </c>
      <c r="N47" s="9" t="s">
        <v>3060</v>
      </c>
      <c r="O47" s="9">
        <v>20220615</v>
      </c>
      <c r="P47" s="9">
        <v>2022</v>
      </c>
      <c r="Q47" s="9">
        <v>2022</v>
      </c>
    </row>
    <row r="48" spans="1:17">
      <c r="A48" s="9" t="s">
        <v>3058</v>
      </c>
      <c r="B48" s="9">
        <v>2</v>
      </c>
      <c r="C48" s="155">
        <v>44713</v>
      </c>
      <c r="D48" s="9" t="s">
        <v>123</v>
      </c>
      <c r="E48" s="9" t="s">
        <v>124</v>
      </c>
      <c r="F48" s="9" t="s">
        <v>300</v>
      </c>
      <c r="G48" s="9" t="s">
        <v>3143</v>
      </c>
      <c r="H48" s="9" t="s">
        <v>3144</v>
      </c>
      <c r="I48" s="9">
        <v>61015.66</v>
      </c>
      <c r="J48" s="9" t="s">
        <v>3063</v>
      </c>
      <c r="K48" s="4" t="s">
        <v>3145</v>
      </c>
      <c r="M48" s="9">
        <v>61015.66</v>
      </c>
      <c r="N48" s="9" t="s">
        <v>3060</v>
      </c>
      <c r="O48" s="9">
        <v>20220616</v>
      </c>
      <c r="P48" s="9">
        <v>2022</v>
      </c>
      <c r="Q48" s="9">
        <v>2022</v>
      </c>
    </row>
    <row r="49" spans="1:17">
      <c r="A49" s="9" t="s">
        <v>3058</v>
      </c>
      <c r="B49" s="9">
        <v>2</v>
      </c>
      <c r="C49" s="155">
        <v>44713</v>
      </c>
      <c r="D49" s="9" t="s">
        <v>371</v>
      </c>
      <c r="E49" s="9" t="s">
        <v>372</v>
      </c>
      <c r="F49" s="9" t="s">
        <v>1486</v>
      </c>
      <c r="G49" s="9" t="s">
        <v>2736</v>
      </c>
      <c r="H49" s="9" t="s">
        <v>3144</v>
      </c>
      <c r="I49" s="9">
        <v>26027.23</v>
      </c>
      <c r="J49" s="9" t="s">
        <v>3063</v>
      </c>
      <c r="K49" s="4" t="s">
        <v>3145</v>
      </c>
      <c r="M49" s="9">
        <v>26027.23</v>
      </c>
      <c r="N49" s="9" t="s">
        <v>3060</v>
      </c>
      <c r="O49" s="9">
        <v>20220616</v>
      </c>
      <c r="P49" s="9">
        <v>2022</v>
      </c>
      <c r="Q49" s="9">
        <v>2022</v>
      </c>
    </row>
    <row r="50" spans="1:17">
      <c r="A50" s="9" t="s">
        <v>3058</v>
      </c>
      <c r="B50" s="9">
        <v>2</v>
      </c>
      <c r="C50" s="155">
        <v>44713</v>
      </c>
      <c r="D50" s="9" t="s">
        <v>953</v>
      </c>
      <c r="E50" s="9" t="s">
        <v>954</v>
      </c>
      <c r="F50" s="9" t="s">
        <v>300</v>
      </c>
      <c r="G50" s="9" t="s">
        <v>3146</v>
      </c>
      <c r="H50" s="9" t="s">
        <v>3144</v>
      </c>
      <c r="I50" s="9">
        <v>8628.6299999999992</v>
      </c>
      <c r="J50" s="9" t="s">
        <v>3063</v>
      </c>
      <c r="K50" s="4" t="s">
        <v>3145</v>
      </c>
      <c r="M50" s="9">
        <v>8628.6299999999992</v>
      </c>
      <c r="N50" s="9" t="s">
        <v>3060</v>
      </c>
      <c r="O50" s="9">
        <v>20220616</v>
      </c>
      <c r="P50" s="9">
        <v>2022</v>
      </c>
      <c r="Q50" s="9">
        <v>2022</v>
      </c>
    </row>
    <row r="51" spans="1:17">
      <c r="A51" s="9" t="s">
        <v>3058</v>
      </c>
      <c r="B51" s="9">
        <v>2</v>
      </c>
      <c r="C51" s="155">
        <v>44713</v>
      </c>
      <c r="D51" s="9" t="s">
        <v>350</v>
      </c>
      <c r="E51" s="9" t="s">
        <v>351</v>
      </c>
      <c r="F51" s="9" t="s">
        <v>227</v>
      </c>
      <c r="G51" s="9" t="s">
        <v>2607</v>
      </c>
      <c r="H51" s="9" t="s">
        <v>3147</v>
      </c>
      <c r="I51" s="9">
        <v>20799</v>
      </c>
      <c r="J51" s="9" t="s">
        <v>3063</v>
      </c>
      <c r="K51" s="4" t="s">
        <v>3148</v>
      </c>
      <c r="M51" s="9">
        <v>20799</v>
      </c>
      <c r="N51" s="9" t="s">
        <v>3060</v>
      </c>
      <c r="O51" s="9">
        <v>20220616</v>
      </c>
      <c r="P51" s="9">
        <v>2022</v>
      </c>
      <c r="Q51" s="9">
        <v>2022</v>
      </c>
    </row>
    <row r="52" spans="1:17">
      <c r="A52" s="9" t="s">
        <v>3058</v>
      </c>
      <c r="B52" s="9">
        <v>2</v>
      </c>
      <c r="C52" s="155">
        <v>44713</v>
      </c>
      <c r="D52" s="9" t="s">
        <v>135</v>
      </c>
      <c r="E52" s="9" t="s">
        <v>136</v>
      </c>
      <c r="F52" s="9" t="s">
        <v>1486</v>
      </c>
      <c r="G52" s="9" t="s">
        <v>2830</v>
      </c>
      <c r="H52" s="9" t="s">
        <v>3149</v>
      </c>
      <c r="I52" s="9">
        <v>25109.919999999998</v>
      </c>
      <c r="J52" s="9" t="s">
        <v>3063</v>
      </c>
      <c r="K52" s="4" t="s">
        <v>3150</v>
      </c>
      <c r="M52" s="9">
        <v>25109.919999999998</v>
      </c>
      <c r="N52" s="9" t="s">
        <v>3060</v>
      </c>
      <c r="O52" s="9">
        <v>20220616</v>
      </c>
      <c r="P52" s="9">
        <v>2022</v>
      </c>
      <c r="Q52" s="9">
        <v>2022</v>
      </c>
    </row>
    <row r="53" spans="1:17">
      <c r="A53" s="9" t="s">
        <v>3058</v>
      </c>
      <c r="B53" s="9">
        <v>2</v>
      </c>
      <c r="C53" s="155">
        <v>44713</v>
      </c>
      <c r="D53" s="9" t="s">
        <v>76</v>
      </c>
      <c r="E53" s="9" t="s">
        <v>77</v>
      </c>
      <c r="F53" s="9" t="s">
        <v>1486</v>
      </c>
      <c r="G53" s="9" t="s">
        <v>2339</v>
      </c>
      <c r="H53" s="9" t="s">
        <v>3151</v>
      </c>
      <c r="I53" s="9">
        <v>72888.36</v>
      </c>
      <c r="J53" s="9" t="s">
        <v>3063</v>
      </c>
      <c r="K53" s="4" t="s">
        <v>3152</v>
      </c>
      <c r="M53" s="9">
        <v>72888.36</v>
      </c>
      <c r="N53" s="9" t="s">
        <v>3060</v>
      </c>
      <c r="O53" s="9">
        <v>20220616</v>
      </c>
      <c r="P53" s="9">
        <v>2022</v>
      </c>
      <c r="Q53" s="9">
        <v>2022</v>
      </c>
    </row>
    <row r="54" spans="1:17">
      <c r="A54" s="9" t="s">
        <v>3058</v>
      </c>
      <c r="B54" s="9">
        <v>2</v>
      </c>
      <c r="C54" s="155">
        <v>44713</v>
      </c>
      <c r="D54" s="9" t="s">
        <v>895</v>
      </c>
      <c r="E54" s="9" t="s">
        <v>896</v>
      </c>
      <c r="F54" s="9" t="s">
        <v>227</v>
      </c>
      <c r="G54" s="9" t="s">
        <v>2472</v>
      </c>
      <c r="H54" s="9" t="s">
        <v>3153</v>
      </c>
      <c r="I54" s="9">
        <v>54636</v>
      </c>
      <c r="J54" s="9" t="s">
        <v>3100</v>
      </c>
      <c r="K54" s="4" t="s">
        <v>3154</v>
      </c>
      <c r="M54" s="9">
        <v>54636</v>
      </c>
      <c r="N54" s="9" t="s">
        <v>3060</v>
      </c>
      <c r="O54" s="9">
        <v>20220615</v>
      </c>
      <c r="P54" s="9">
        <v>2022</v>
      </c>
      <c r="Q54" s="9">
        <v>2022</v>
      </c>
    </row>
    <row r="55" spans="1:17">
      <c r="A55" s="9" t="s">
        <v>3058</v>
      </c>
      <c r="B55" s="9">
        <v>2</v>
      </c>
      <c r="C55" s="155">
        <v>44713</v>
      </c>
      <c r="D55" s="9" t="s">
        <v>314</v>
      </c>
      <c r="E55" s="9" t="s">
        <v>315</v>
      </c>
      <c r="F55" s="9" t="s">
        <v>227</v>
      </c>
      <c r="G55" s="9" t="s">
        <v>3155</v>
      </c>
      <c r="H55" s="9" t="s">
        <v>3156</v>
      </c>
      <c r="I55" s="9">
        <v>82508</v>
      </c>
      <c r="J55" s="9" t="s">
        <v>3063</v>
      </c>
      <c r="K55" s="4" t="s">
        <v>3157</v>
      </c>
      <c r="M55" s="9">
        <v>82508</v>
      </c>
      <c r="N55" s="9" t="s">
        <v>3060</v>
      </c>
      <c r="O55" s="9">
        <v>20220616</v>
      </c>
      <c r="P55" s="9">
        <v>2022</v>
      </c>
      <c r="Q55" s="9">
        <v>2022</v>
      </c>
    </row>
    <row r="56" spans="1:17">
      <c r="A56" s="9" t="s">
        <v>3058</v>
      </c>
      <c r="B56" s="9">
        <v>2</v>
      </c>
      <c r="C56" s="155">
        <v>44713</v>
      </c>
      <c r="D56" s="9">
        <v>0</v>
      </c>
      <c r="E56" s="9">
        <v>0</v>
      </c>
      <c r="F56" s="9" t="s">
        <v>1514</v>
      </c>
      <c r="G56" s="9" t="s">
        <v>3158</v>
      </c>
      <c r="H56" s="9" t="s">
        <v>3159</v>
      </c>
      <c r="I56" s="9">
        <v>20979309.960000001</v>
      </c>
      <c r="J56" s="9" t="s">
        <v>3063</v>
      </c>
      <c r="K56" s="4" t="s">
        <v>3160</v>
      </c>
      <c r="M56" s="9">
        <v>20979309.960000001</v>
      </c>
      <c r="N56" s="9" t="s">
        <v>3161</v>
      </c>
      <c r="O56" s="9">
        <v>20220616</v>
      </c>
      <c r="P56" s="9">
        <v>2022</v>
      </c>
      <c r="Q56" s="9">
        <v>2022</v>
      </c>
    </row>
    <row r="57" spans="1:17">
      <c r="A57" s="9" t="s">
        <v>3058</v>
      </c>
      <c r="B57" s="9">
        <v>2</v>
      </c>
      <c r="C57" s="155">
        <v>44713</v>
      </c>
      <c r="D57" s="9" t="s">
        <v>892</v>
      </c>
      <c r="E57" s="9" t="s">
        <v>893</v>
      </c>
      <c r="F57" s="9" t="s">
        <v>227</v>
      </c>
      <c r="G57" s="9" t="s">
        <v>2471</v>
      </c>
      <c r="H57" s="9" t="s">
        <v>3162</v>
      </c>
      <c r="I57" s="9">
        <v>5749</v>
      </c>
      <c r="J57" s="9" t="s">
        <v>3063</v>
      </c>
      <c r="K57" s="4" t="s">
        <v>3163</v>
      </c>
      <c r="M57" s="9">
        <v>5749</v>
      </c>
      <c r="N57" s="9" t="s">
        <v>3060</v>
      </c>
      <c r="O57" s="9">
        <v>20220616</v>
      </c>
      <c r="P57" s="9">
        <v>2022</v>
      </c>
      <c r="Q57" s="9">
        <v>2022</v>
      </c>
    </row>
    <row r="58" spans="1:17">
      <c r="A58" s="9" t="s">
        <v>3058</v>
      </c>
      <c r="B58" s="9">
        <v>2</v>
      </c>
      <c r="C58" s="155">
        <v>44713</v>
      </c>
      <c r="D58" s="9" t="s">
        <v>920</v>
      </c>
      <c r="E58" s="9" t="s">
        <v>921</v>
      </c>
      <c r="F58" s="9" t="s">
        <v>310</v>
      </c>
      <c r="G58" s="9" t="s">
        <v>3164</v>
      </c>
      <c r="H58" s="9" t="s">
        <v>3165</v>
      </c>
      <c r="I58" s="9">
        <v>12043</v>
      </c>
      <c r="J58" s="9" t="s">
        <v>3063</v>
      </c>
      <c r="K58" s="4" t="s">
        <v>3166</v>
      </c>
      <c r="M58" s="9">
        <v>12043</v>
      </c>
      <c r="N58" s="9" t="s">
        <v>3060</v>
      </c>
      <c r="O58" s="9">
        <v>20220616</v>
      </c>
      <c r="P58" s="9">
        <v>2022</v>
      </c>
      <c r="Q58" s="9">
        <v>2022</v>
      </c>
    </row>
    <row r="59" spans="1:17">
      <c r="A59" s="9" t="s">
        <v>3058</v>
      </c>
      <c r="B59" s="9">
        <v>2</v>
      </c>
      <c r="C59" s="155">
        <v>44713</v>
      </c>
      <c r="D59" s="9" t="s">
        <v>614</v>
      </c>
      <c r="E59" s="9" t="s">
        <v>615</v>
      </c>
      <c r="F59" s="9" t="s">
        <v>227</v>
      </c>
      <c r="G59" s="9" t="s">
        <v>3167</v>
      </c>
      <c r="H59" s="9" t="s">
        <v>3167</v>
      </c>
      <c r="I59" s="9">
        <v>19595</v>
      </c>
      <c r="J59" s="9" t="s">
        <v>3100</v>
      </c>
      <c r="K59" s="4" t="s">
        <v>3168</v>
      </c>
      <c r="M59" s="9">
        <v>19595</v>
      </c>
      <c r="N59" s="9" t="s">
        <v>3060</v>
      </c>
      <c r="O59" s="9">
        <v>20220615</v>
      </c>
      <c r="P59" s="9">
        <v>2022</v>
      </c>
      <c r="Q59" s="9">
        <v>2022</v>
      </c>
    </row>
    <row r="60" spans="1:17">
      <c r="A60" s="9" t="s">
        <v>3058</v>
      </c>
      <c r="B60" s="9">
        <v>2</v>
      </c>
      <c r="C60" s="155">
        <v>44713</v>
      </c>
      <c r="D60" s="9" t="s">
        <v>620</v>
      </c>
      <c r="E60" s="9" t="s">
        <v>621</v>
      </c>
      <c r="F60" s="9" t="s">
        <v>227</v>
      </c>
      <c r="G60" s="9" t="s">
        <v>2900</v>
      </c>
      <c r="H60" s="9" t="s">
        <v>3169</v>
      </c>
      <c r="I60" s="9">
        <v>25584</v>
      </c>
      <c r="J60" s="9" t="s">
        <v>3100</v>
      </c>
      <c r="K60" s="4" t="s">
        <v>3170</v>
      </c>
      <c r="M60" s="9">
        <v>25584</v>
      </c>
      <c r="N60" s="9" t="s">
        <v>3060</v>
      </c>
      <c r="O60" s="9">
        <v>20220615</v>
      </c>
      <c r="P60" s="9">
        <v>2022</v>
      </c>
      <c r="Q60" s="9">
        <v>2022</v>
      </c>
    </row>
    <row r="61" spans="1:17">
      <c r="A61" s="9" t="s">
        <v>3058</v>
      </c>
      <c r="B61" s="9">
        <v>2</v>
      </c>
      <c r="C61" s="155">
        <v>44713</v>
      </c>
      <c r="D61" s="9" t="s">
        <v>650</v>
      </c>
      <c r="E61" s="9" t="s">
        <v>651</v>
      </c>
      <c r="F61" s="9" t="s">
        <v>227</v>
      </c>
      <c r="G61" s="9" t="s">
        <v>2345</v>
      </c>
      <c r="H61" s="9" t="s">
        <v>3171</v>
      </c>
      <c r="I61" s="9">
        <v>5508</v>
      </c>
      <c r="J61" s="9" t="s">
        <v>3063</v>
      </c>
      <c r="K61" s="4" t="s">
        <v>3172</v>
      </c>
      <c r="M61" s="9">
        <v>5508</v>
      </c>
      <c r="N61" s="9" t="s">
        <v>3060</v>
      </c>
      <c r="O61" s="9">
        <v>20220616</v>
      </c>
      <c r="P61" s="9">
        <v>2022</v>
      </c>
      <c r="Q61" s="9">
        <v>2022</v>
      </c>
    </row>
    <row r="62" spans="1:17" ht="30">
      <c r="A62" s="9" t="s">
        <v>3058</v>
      </c>
      <c r="B62" s="9">
        <v>2</v>
      </c>
      <c r="C62" s="155">
        <v>44713</v>
      </c>
      <c r="D62" s="9" t="s">
        <v>548</v>
      </c>
      <c r="E62" s="9" t="s">
        <v>549</v>
      </c>
      <c r="F62" s="9" t="s">
        <v>227</v>
      </c>
      <c r="G62" s="9" t="s">
        <v>2858</v>
      </c>
      <c r="H62" s="7" t="s">
        <v>3173</v>
      </c>
      <c r="I62" s="9">
        <v>14682</v>
      </c>
      <c r="J62" s="9" t="s">
        <v>3063</v>
      </c>
      <c r="K62" s="4" t="s">
        <v>3174</v>
      </c>
      <c r="M62" s="9">
        <v>14682</v>
      </c>
      <c r="N62" s="9" t="s">
        <v>3060</v>
      </c>
      <c r="O62" s="9">
        <v>20220616</v>
      </c>
      <c r="P62" s="9">
        <v>2022</v>
      </c>
      <c r="Q62" s="9">
        <v>2022</v>
      </c>
    </row>
    <row r="63" spans="1:17">
      <c r="A63" s="9" t="s">
        <v>3058</v>
      </c>
      <c r="B63" s="9">
        <v>2</v>
      </c>
      <c r="C63" s="155">
        <v>44713</v>
      </c>
      <c r="D63" s="9" t="s">
        <v>500</v>
      </c>
      <c r="E63" s="9" t="s">
        <v>501</v>
      </c>
      <c r="F63" s="9" t="s">
        <v>227</v>
      </c>
      <c r="G63" s="9" t="s">
        <v>2704</v>
      </c>
      <c r="H63" s="9" t="s">
        <v>3175</v>
      </c>
      <c r="I63" s="9">
        <v>9028.06</v>
      </c>
      <c r="J63" s="9" t="s">
        <v>3063</v>
      </c>
      <c r="K63" s="4" t="s">
        <v>3176</v>
      </c>
      <c r="M63" s="9">
        <v>9028.06</v>
      </c>
      <c r="N63" s="9" t="s">
        <v>3060</v>
      </c>
      <c r="O63" s="9">
        <v>20220616</v>
      </c>
      <c r="P63" s="9">
        <v>2022</v>
      </c>
      <c r="Q63" s="9">
        <v>2022</v>
      </c>
    </row>
    <row r="64" spans="1:17">
      <c r="A64" s="9" t="s">
        <v>3058</v>
      </c>
      <c r="B64" s="9">
        <v>2</v>
      </c>
      <c r="C64" s="155">
        <v>44713</v>
      </c>
      <c r="D64" s="9" t="s">
        <v>729</v>
      </c>
      <c r="E64" s="9" t="s">
        <v>730</v>
      </c>
      <c r="F64" s="9" t="s">
        <v>227</v>
      </c>
      <c r="G64" s="9" t="s">
        <v>2334</v>
      </c>
      <c r="H64" s="9" t="s">
        <v>3177</v>
      </c>
      <c r="I64" s="9">
        <v>12531</v>
      </c>
      <c r="J64" s="9" t="s">
        <v>3063</v>
      </c>
      <c r="K64" s="4" t="s">
        <v>3178</v>
      </c>
      <c r="M64" s="9">
        <v>12531</v>
      </c>
      <c r="N64" s="9" t="s">
        <v>3060</v>
      </c>
      <c r="O64" s="9">
        <v>20220616</v>
      </c>
      <c r="P64" s="9">
        <v>2022</v>
      </c>
      <c r="Q64" s="9">
        <v>2022</v>
      </c>
    </row>
    <row r="65" spans="1:17">
      <c r="A65" s="9" t="s">
        <v>3058</v>
      </c>
      <c r="B65" s="9">
        <v>2</v>
      </c>
      <c r="C65" s="155">
        <v>44713</v>
      </c>
      <c r="D65" s="9" t="s">
        <v>1584</v>
      </c>
      <c r="E65" s="9" t="s">
        <v>1585</v>
      </c>
      <c r="F65" s="9" t="s">
        <v>300</v>
      </c>
      <c r="G65" s="9" t="s">
        <v>2801</v>
      </c>
      <c r="H65" s="9" t="s">
        <v>3179</v>
      </c>
      <c r="I65" s="9">
        <v>9508797.7400000002</v>
      </c>
      <c r="J65" s="9" t="s">
        <v>3063</v>
      </c>
      <c r="K65" s="4" t="s">
        <v>3180</v>
      </c>
      <c r="M65" s="9">
        <v>9508797.7400000002</v>
      </c>
      <c r="N65" s="9" t="s">
        <v>3060</v>
      </c>
      <c r="O65" s="9">
        <v>20220616</v>
      </c>
      <c r="P65" s="9">
        <v>2022</v>
      </c>
      <c r="Q65" s="9">
        <v>2022</v>
      </c>
    </row>
    <row r="66" spans="1:17">
      <c r="A66" s="9" t="s">
        <v>3058</v>
      </c>
      <c r="B66" s="9">
        <v>2</v>
      </c>
      <c r="C66" s="155">
        <v>44713</v>
      </c>
      <c r="D66" s="9" t="s">
        <v>155</v>
      </c>
      <c r="E66" s="9" t="s">
        <v>156</v>
      </c>
      <c r="F66" s="9" t="s">
        <v>227</v>
      </c>
      <c r="G66" s="9" t="s">
        <v>3181</v>
      </c>
      <c r="H66" s="9" t="s">
        <v>3182</v>
      </c>
      <c r="I66" s="9">
        <v>62374</v>
      </c>
      <c r="J66" s="9" t="s">
        <v>3183</v>
      </c>
      <c r="K66" s="4" t="s">
        <v>3184</v>
      </c>
      <c r="M66" s="9">
        <v>62374</v>
      </c>
      <c r="N66" s="9" t="s">
        <v>3060</v>
      </c>
      <c r="O66" s="9">
        <v>20220610</v>
      </c>
      <c r="P66" s="9">
        <v>2022</v>
      </c>
      <c r="Q66" s="9">
        <v>2022</v>
      </c>
    </row>
    <row r="67" spans="1:17">
      <c r="A67" s="9" t="s">
        <v>3058</v>
      </c>
      <c r="B67" s="9">
        <v>2</v>
      </c>
      <c r="C67" s="155">
        <v>44713</v>
      </c>
      <c r="D67" s="9" t="s">
        <v>1072</v>
      </c>
      <c r="E67" s="9" t="s">
        <v>1073</v>
      </c>
      <c r="F67" s="9" t="s">
        <v>300</v>
      </c>
      <c r="G67" s="9" t="s">
        <v>3185</v>
      </c>
      <c r="H67" s="9" t="s">
        <v>3186</v>
      </c>
      <c r="I67" s="9">
        <v>73982.23</v>
      </c>
      <c r="J67" s="9" t="s">
        <v>3063</v>
      </c>
      <c r="K67" s="4" t="s">
        <v>3187</v>
      </c>
      <c r="M67" s="9">
        <v>73982.23</v>
      </c>
      <c r="N67" s="9" t="s">
        <v>3060</v>
      </c>
      <c r="O67" s="9">
        <v>20220616</v>
      </c>
      <c r="P67" s="9">
        <v>2022</v>
      </c>
      <c r="Q67" s="9">
        <v>2022</v>
      </c>
    </row>
    <row r="68" spans="1:17" ht="30">
      <c r="A68" s="9" t="s">
        <v>3058</v>
      </c>
      <c r="B68" s="9">
        <v>2</v>
      </c>
      <c r="C68" s="155">
        <v>44713</v>
      </c>
      <c r="D68" s="9" t="s">
        <v>344</v>
      </c>
      <c r="E68" s="9" t="s">
        <v>345</v>
      </c>
      <c r="F68" s="9" t="s">
        <v>310</v>
      </c>
      <c r="G68" s="9" t="s">
        <v>2620</v>
      </c>
      <c r="H68" s="7" t="s">
        <v>3188</v>
      </c>
      <c r="I68" s="9">
        <v>29219</v>
      </c>
      <c r="J68" s="9" t="s">
        <v>3063</v>
      </c>
      <c r="K68" s="4" t="s">
        <v>3189</v>
      </c>
      <c r="M68" s="9">
        <v>29219</v>
      </c>
      <c r="N68" s="9" t="s">
        <v>3060</v>
      </c>
      <c r="O68" s="9">
        <v>20220616</v>
      </c>
      <c r="P68" s="9">
        <v>2022</v>
      </c>
      <c r="Q68" s="9">
        <v>2022</v>
      </c>
    </row>
    <row r="69" spans="1:17">
      <c r="A69" s="9" t="s">
        <v>3058</v>
      </c>
      <c r="B69" s="9">
        <v>2</v>
      </c>
      <c r="C69" s="155">
        <v>44713</v>
      </c>
      <c r="D69" s="9" t="s">
        <v>347</v>
      </c>
      <c r="E69" s="9" t="s">
        <v>348</v>
      </c>
      <c r="F69" s="9" t="s">
        <v>227</v>
      </c>
      <c r="G69" s="9" t="s">
        <v>2615</v>
      </c>
      <c r="H69" s="9" t="s">
        <v>3190</v>
      </c>
      <c r="I69" s="9">
        <v>9751</v>
      </c>
      <c r="J69" s="9" t="s">
        <v>3063</v>
      </c>
      <c r="K69" s="4" t="s">
        <v>3191</v>
      </c>
      <c r="M69" s="9">
        <v>9751</v>
      </c>
      <c r="N69" s="9" t="s">
        <v>3060</v>
      </c>
      <c r="O69" s="9">
        <v>20220616</v>
      </c>
      <c r="P69" s="9">
        <v>2022</v>
      </c>
      <c r="Q69" s="9">
        <v>2022</v>
      </c>
    </row>
    <row r="70" spans="1:17">
      <c r="A70" s="9" t="s">
        <v>3058</v>
      </c>
      <c r="B70" s="9">
        <v>2</v>
      </c>
      <c r="C70" s="155">
        <v>44713</v>
      </c>
      <c r="D70" s="9" t="s">
        <v>512</v>
      </c>
      <c r="E70" s="9" t="s">
        <v>513</v>
      </c>
      <c r="F70" s="9" t="s">
        <v>227</v>
      </c>
      <c r="G70" s="9" t="s">
        <v>2698</v>
      </c>
      <c r="H70" s="9" t="s">
        <v>3192</v>
      </c>
      <c r="I70" s="9">
        <v>13513</v>
      </c>
      <c r="J70" s="9" t="s">
        <v>3063</v>
      </c>
      <c r="K70" s="4" t="s">
        <v>3193</v>
      </c>
      <c r="M70" s="9">
        <v>13513</v>
      </c>
      <c r="N70" s="9" t="s">
        <v>3060</v>
      </c>
      <c r="O70" s="9">
        <v>20220616</v>
      </c>
      <c r="P70" s="9">
        <v>2022</v>
      </c>
      <c r="Q70" s="9">
        <v>2022</v>
      </c>
    </row>
    <row r="71" spans="1:17">
      <c r="A71" s="9" t="s">
        <v>3058</v>
      </c>
      <c r="B71" s="9">
        <v>2</v>
      </c>
      <c r="C71" s="155">
        <v>44713</v>
      </c>
      <c r="D71" s="9" t="s">
        <v>710</v>
      </c>
      <c r="E71" s="9" t="s">
        <v>711</v>
      </c>
      <c r="F71" s="9" t="s">
        <v>227</v>
      </c>
      <c r="G71" s="9" t="s">
        <v>2602</v>
      </c>
      <c r="H71" s="9" t="s">
        <v>2602</v>
      </c>
      <c r="I71" s="9">
        <v>9512</v>
      </c>
      <c r="J71" s="9" t="s">
        <v>3100</v>
      </c>
      <c r="K71" s="4" t="s">
        <v>3194</v>
      </c>
      <c r="M71" s="9">
        <v>9512</v>
      </c>
      <c r="N71" s="9" t="s">
        <v>3060</v>
      </c>
      <c r="O71" s="9">
        <v>20220615</v>
      </c>
      <c r="P71" s="9">
        <v>2022</v>
      </c>
      <c r="Q71" s="9">
        <v>2022</v>
      </c>
    </row>
    <row r="72" spans="1:17">
      <c r="A72" s="9" t="s">
        <v>3058</v>
      </c>
      <c r="B72" s="9">
        <v>2</v>
      </c>
      <c r="C72" s="155">
        <v>44713</v>
      </c>
      <c r="D72" s="9" t="s">
        <v>831</v>
      </c>
      <c r="E72" s="9" t="s">
        <v>832</v>
      </c>
      <c r="F72" s="9" t="s">
        <v>487</v>
      </c>
      <c r="G72" s="9" t="s">
        <v>2707</v>
      </c>
      <c r="H72" s="9" t="s">
        <v>3195</v>
      </c>
      <c r="I72" s="9">
        <v>136582.65</v>
      </c>
      <c r="J72" s="9" t="s">
        <v>3063</v>
      </c>
      <c r="K72" s="4" t="s">
        <v>3196</v>
      </c>
      <c r="M72" s="9">
        <v>136582.65</v>
      </c>
      <c r="N72" s="9" t="s">
        <v>3060</v>
      </c>
      <c r="O72" s="9">
        <v>20220616</v>
      </c>
      <c r="P72" s="9">
        <v>2022</v>
      </c>
      <c r="Q72" s="9">
        <v>2022</v>
      </c>
    </row>
    <row r="73" spans="1:17">
      <c r="A73" s="9" t="s">
        <v>3058</v>
      </c>
      <c r="B73" s="9">
        <v>2</v>
      </c>
      <c r="C73" s="155">
        <v>44713</v>
      </c>
      <c r="D73" s="9" t="s">
        <v>713</v>
      </c>
      <c r="E73" s="9" t="s">
        <v>714</v>
      </c>
      <c r="F73" s="9" t="s">
        <v>227</v>
      </c>
      <c r="G73" s="9" t="s">
        <v>2794</v>
      </c>
      <c r="H73" s="9" t="s">
        <v>3197</v>
      </c>
      <c r="I73" s="9">
        <v>57371</v>
      </c>
      <c r="J73" s="9" t="s">
        <v>3100</v>
      </c>
      <c r="K73" s="4" t="s">
        <v>3198</v>
      </c>
      <c r="M73" s="9">
        <v>57371</v>
      </c>
      <c r="N73" s="9" t="s">
        <v>3060</v>
      </c>
      <c r="O73" s="9">
        <v>20220615</v>
      </c>
      <c r="P73" s="9">
        <v>2022</v>
      </c>
      <c r="Q73" s="9">
        <v>2022</v>
      </c>
    </row>
    <row r="74" spans="1:17">
      <c r="A74" s="9" t="s">
        <v>3058</v>
      </c>
      <c r="B74" s="9">
        <v>2</v>
      </c>
      <c r="C74" s="155">
        <v>44713</v>
      </c>
      <c r="D74" s="9" t="s">
        <v>713</v>
      </c>
      <c r="E74" s="9" t="s">
        <v>714</v>
      </c>
      <c r="F74" s="9" t="s">
        <v>227</v>
      </c>
      <c r="G74" s="9" t="s">
        <v>2794</v>
      </c>
      <c r="H74" s="9" t="s">
        <v>3199</v>
      </c>
      <c r="I74" s="9">
        <v>57371</v>
      </c>
      <c r="J74" s="9" t="s">
        <v>3063</v>
      </c>
      <c r="K74" s="4" t="s">
        <v>3198</v>
      </c>
      <c r="L74" s="9">
        <v>57371</v>
      </c>
      <c r="M74" s="9">
        <v>0</v>
      </c>
      <c r="N74" s="9" t="s">
        <v>3060</v>
      </c>
      <c r="O74" s="9">
        <v>20220616</v>
      </c>
      <c r="P74" s="9">
        <v>2022</v>
      </c>
      <c r="Q74" s="9">
        <v>2022</v>
      </c>
    </row>
    <row r="75" spans="1:17">
      <c r="A75" s="9" t="s">
        <v>3058</v>
      </c>
      <c r="B75" s="9">
        <v>2</v>
      </c>
      <c r="C75" s="155">
        <v>44713</v>
      </c>
      <c r="D75" s="9" t="s">
        <v>698</v>
      </c>
      <c r="E75" s="9" t="s">
        <v>699</v>
      </c>
      <c r="F75" s="9" t="s">
        <v>227</v>
      </c>
      <c r="G75" s="9" t="s">
        <v>1737</v>
      </c>
      <c r="H75" s="9" t="s">
        <v>3200</v>
      </c>
      <c r="I75" s="9">
        <v>17727</v>
      </c>
      <c r="J75" s="9" t="s">
        <v>3063</v>
      </c>
      <c r="K75" s="4" t="s">
        <v>3201</v>
      </c>
      <c r="M75" s="9">
        <v>17727</v>
      </c>
      <c r="N75" s="9" t="s">
        <v>3060</v>
      </c>
      <c r="O75" s="9">
        <v>20220616</v>
      </c>
      <c r="P75" s="9">
        <v>2022</v>
      </c>
      <c r="Q75" s="9">
        <v>2022</v>
      </c>
    </row>
    <row r="76" spans="1:17">
      <c r="A76" s="9" t="s">
        <v>3058</v>
      </c>
      <c r="B76" s="9">
        <v>2</v>
      </c>
      <c r="C76" s="155">
        <v>44713</v>
      </c>
      <c r="D76" s="9" t="s">
        <v>1047</v>
      </c>
      <c r="E76" s="9" t="s">
        <v>1048</v>
      </c>
      <c r="F76" s="9" t="s">
        <v>300</v>
      </c>
      <c r="G76" s="9" t="s">
        <v>2685</v>
      </c>
      <c r="H76" s="9" t="s">
        <v>3202</v>
      </c>
      <c r="I76" s="9">
        <v>1446367</v>
      </c>
      <c r="J76" s="9" t="s">
        <v>3063</v>
      </c>
      <c r="K76" s="4" t="s">
        <v>3203</v>
      </c>
      <c r="M76" s="9">
        <v>1446367</v>
      </c>
      <c r="N76" s="9" t="s">
        <v>3060</v>
      </c>
      <c r="O76" s="9">
        <v>20220616</v>
      </c>
      <c r="P76" s="9">
        <v>2022</v>
      </c>
      <c r="Q76" s="9">
        <v>2022</v>
      </c>
    </row>
    <row r="77" spans="1:17">
      <c r="A77" s="9" t="s">
        <v>3058</v>
      </c>
      <c r="B77" s="9">
        <v>2</v>
      </c>
      <c r="C77" s="155">
        <v>44713</v>
      </c>
      <c r="D77" s="9" t="s">
        <v>813</v>
      </c>
      <c r="E77" s="9" t="s">
        <v>814</v>
      </c>
      <c r="F77" s="9" t="s">
        <v>1526</v>
      </c>
      <c r="G77" s="9" t="s">
        <v>2343</v>
      </c>
      <c r="H77" s="9" t="s">
        <v>2343</v>
      </c>
      <c r="I77" s="9">
        <v>25185</v>
      </c>
      <c r="J77" s="9" t="s">
        <v>3100</v>
      </c>
      <c r="K77" s="4" t="s">
        <v>3204</v>
      </c>
      <c r="M77" s="9">
        <v>25185</v>
      </c>
      <c r="N77" s="9" t="s">
        <v>3060</v>
      </c>
      <c r="O77" s="9">
        <v>20220615</v>
      </c>
      <c r="P77" s="9">
        <v>2022</v>
      </c>
      <c r="Q77" s="9">
        <v>2022</v>
      </c>
    </row>
    <row r="78" spans="1:17">
      <c r="A78" s="9" t="s">
        <v>3058</v>
      </c>
      <c r="B78" s="9">
        <v>2</v>
      </c>
      <c r="C78" s="155">
        <v>44713</v>
      </c>
      <c r="D78" s="9" t="s">
        <v>1086</v>
      </c>
      <c r="E78" s="9" t="s">
        <v>1087</v>
      </c>
      <c r="F78" s="9" t="s">
        <v>1526</v>
      </c>
      <c r="G78" s="9" t="s">
        <v>2827</v>
      </c>
      <c r="H78" s="9" t="s">
        <v>3205</v>
      </c>
      <c r="I78" s="9">
        <v>110300</v>
      </c>
      <c r="J78" s="9" t="s">
        <v>3100</v>
      </c>
      <c r="K78" s="4" t="s">
        <v>3206</v>
      </c>
      <c r="M78" s="9">
        <v>110300</v>
      </c>
      <c r="N78" s="9" t="s">
        <v>3060</v>
      </c>
      <c r="O78" s="9">
        <v>20220615</v>
      </c>
      <c r="P78" s="9">
        <v>2022</v>
      </c>
      <c r="Q78" s="9">
        <v>2022</v>
      </c>
    </row>
    <row r="79" spans="1:17">
      <c r="A79" s="9" t="s">
        <v>3058</v>
      </c>
      <c r="B79" s="9">
        <v>2</v>
      </c>
      <c r="C79" s="155">
        <v>44713</v>
      </c>
      <c r="D79" s="9">
        <v>0</v>
      </c>
      <c r="E79" s="9">
        <v>0</v>
      </c>
      <c r="F79" s="9" t="s">
        <v>1526</v>
      </c>
      <c r="G79" s="9" t="s">
        <v>3207</v>
      </c>
      <c r="H79" s="9" t="s">
        <v>3205</v>
      </c>
      <c r="I79" s="9">
        <v>14769</v>
      </c>
      <c r="J79" s="9" t="s">
        <v>3100</v>
      </c>
      <c r="K79" s="4" t="s">
        <v>3206</v>
      </c>
      <c r="M79" s="9">
        <v>14769</v>
      </c>
      <c r="N79" s="9" t="s">
        <v>3060</v>
      </c>
      <c r="O79" s="9">
        <v>20220615</v>
      </c>
      <c r="P79" s="9">
        <v>2022</v>
      </c>
      <c r="Q79" s="9">
        <v>2022</v>
      </c>
    </row>
    <row r="80" spans="1:17">
      <c r="A80" s="9" t="s">
        <v>3058</v>
      </c>
      <c r="B80" s="9">
        <v>2</v>
      </c>
      <c r="C80" s="155">
        <v>44713</v>
      </c>
      <c r="D80" s="9" t="s">
        <v>765</v>
      </c>
      <c r="E80" s="9" t="s">
        <v>766</v>
      </c>
      <c r="F80" s="9" t="s">
        <v>227</v>
      </c>
      <c r="G80" s="9" t="s">
        <v>2563</v>
      </c>
      <c r="H80" s="9" t="s">
        <v>3208</v>
      </c>
      <c r="I80" s="9">
        <v>31015</v>
      </c>
      <c r="J80" s="9" t="s">
        <v>3100</v>
      </c>
      <c r="K80" s="4" t="s">
        <v>3209</v>
      </c>
      <c r="M80" s="9">
        <v>31015</v>
      </c>
      <c r="N80" s="9" t="s">
        <v>3060</v>
      </c>
      <c r="O80" s="9">
        <v>20220615</v>
      </c>
      <c r="P80" s="9">
        <v>2022</v>
      </c>
      <c r="Q80" s="9">
        <v>2022</v>
      </c>
    </row>
    <row r="81" spans="1:17">
      <c r="A81" s="9" t="s">
        <v>3058</v>
      </c>
      <c r="B81" s="9">
        <v>2</v>
      </c>
      <c r="C81" s="155">
        <v>44713</v>
      </c>
      <c r="D81" s="9" t="s">
        <v>88</v>
      </c>
      <c r="E81" s="9" t="s">
        <v>89</v>
      </c>
      <c r="F81" s="9" t="s">
        <v>1486</v>
      </c>
      <c r="G81" s="9" t="s">
        <v>1701</v>
      </c>
      <c r="H81" s="9" t="s">
        <v>3210</v>
      </c>
      <c r="I81" s="9">
        <v>25936.32</v>
      </c>
      <c r="J81" s="9" t="s">
        <v>3063</v>
      </c>
      <c r="K81" s="4" t="s">
        <v>3211</v>
      </c>
      <c r="M81" s="9">
        <v>25936.32</v>
      </c>
      <c r="N81" s="9" t="s">
        <v>3060</v>
      </c>
      <c r="O81" s="9">
        <v>20220616</v>
      </c>
      <c r="P81" s="9">
        <v>2022</v>
      </c>
      <c r="Q81" s="9">
        <v>2022</v>
      </c>
    </row>
    <row r="82" spans="1:17">
      <c r="A82" s="9" t="s">
        <v>3058</v>
      </c>
      <c r="B82" s="9">
        <v>2</v>
      </c>
      <c r="C82" s="155">
        <v>44713</v>
      </c>
      <c r="D82" s="9" t="s">
        <v>850</v>
      </c>
      <c r="E82" s="9" t="s">
        <v>851</v>
      </c>
      <c r="F82" s="9" t="s">
        <v>1548</v>
      </c>
      <c r="G82" s="9" t="s">
        <v>2338</v>
      </c>
      <c r="H82" s="9" t="s">
        <v>3212</v>
      </c>
      <c r="I82" s="9">
        <v>84097</v>
      </c>
      <c r="J82" s="9" t="s">
        <v>3063</v>
      </c>
      <c r="K82" s="4" t="s">
        <v>3213</v>
      </c>
      <c r="M82" s="9">
        <v>84097</v>
      </c>
      <c r="N82" s="9" t="s">
        <v>3060</v>
      </c>
      <c r="O82" s="9">
        <v>20220616</v>
      </c>
      <c r="P82" s="9">
        <v>2022</v>
      </c>
      <c r="Q82" s="9">
        <v>2022</v>
      </c>
    </row>
    <row r="83" spans="1:17" ht="150">
      <c r="A83" s="9" t="s">
        <v>3058</v>
      </c>
      <c r="B83" s="9">
        <v>2</v>
      </c>
      <c r="C83" s="155">
        <v>44713</v>
      </c>
      <c r="D83" s="9" t="s">
        <v>158</v>
      </c>
      <c r="E83" s="9" t="s">
        <v>160</v>
      </c>
      <c r="F83" s="9" t="s">
        <v>1486</v>
      </c>
      <c r="G83" s="7" t="s">
        <v>2959</v>
      </c>
      <c r="H83" s="9" t="s">
        <v>3214</v>
      </c>
      <c r="I83" s="9">
        <v>34333.94</v>
      </c>
      <c r="J83" s="9" t="s">
        <v>3215</v>
      </c>
      <c r="K83" s="4" t="s">
        <v>3216</v>
      </c>
      <c r="M83" s="9">
        <v>34333.94</v>
      </c>
      <c r="N83" s="9" t="s">
        <v>3060</v>
      </c>
      <c r="O83" s="9">
        <v>20220614</v>
      </c>
      <c r="P83" s="9">
        <v>2022</v>
      </c>
      <c r="Q83" s="9">
        <v>2022</v>
      </c>
    </row>
    <row r="84" spans="1:17">
      <c r="A84" s="9" t="s">
        <v>3058</v>
      </c>
      <c r="B84" s="9">
        <v>2</v>
      </c>
      <c r="C84" s="155">
        <v>44713</v>
      </c>
      <c r="D84" s="9" t="s">
        <v>683</v>
      </c>
      <c r="E84" s="9" t="s">
        <v>684</v>
      </c>
      <c r="F84" s="9" t="s">
        <v>1526</v>
      </c>
      <c r="G84" s="9" t="s">
        <v>2886</v>
      </c>
      <c r="H84" s="9" t="s">
        <v>3217</v>
      </c>
      <c r="I84" s="9">
        <v>282416</v>
      </c>
      <c r="J84" s="9" t="s">
        <v>3100</v>
      </c>
      <c r="K84" s="4" t="s">
        <v>3218</v>
      </c>
      <c r="M84" s="9">
        <v>282416</v>
      </c>
      <c r="N84" s="9" t="s">
        <v>3060</v>
      </c>
      <c r="O84" s="9">
        <v>20220615</v>
      </c>
      <c r="P84" s="9">
        <v>2022</v>
      </c>
      <c r="Q84" s="9">
        <v>2022</v>
      </c>
    </row>
    <row r="85" spans="1:17">
      <c r="A85" s="9" t="s">
        <v>3058</v>
      </c>
      <c r="B85" s="9">
        <v>2</v>
      </c>
      <c r="C85" s="155">
        <v>44713</v>
      </c>
      <c r="D85" s="9" t="s">
        <v>786</v>
      </c>
      <c r="E85" s="9" t="s">
        <v>787</v>
      </c>
      <c r="F85" s="9" t="s">
        <v>1526</v>
      </c>
      <c r="G85" s="9" t="s">
        <v>1672</v>
      </c>
      <c r="H85" s="9" t="s">
        <v>2807</v>
      </c>
      <c r="I85" s="9">
        <v>100312</v>
      </c>
      <c r="J85" s="9" t="s">
        <v>3100</v>
      </c>
      <c r="K85" s="4" t="s">
        <v>3219</v>
      </c>
      <c r="M85" s="9">
        <v>100312</v>
      </c>
      <c r="N85" s="9" t="s">
        <v>3060</v>
      </c>
      <c r="O85" s="9">
        <v>20220615</v>
      </c>
      <c r="P85" s="9">
        <v>2022</v>
      </c>
      <c r="Q85" s="9">
        <v>2022</v>
      </c>
    </row>
    <row r="86" spans="1:17">
      <c r="A86" s="9" t="s">
        <v>3058</v>
      </c>
      <c r="B86" s="9">
        <v>2</v>
      </c>
      <c r="C86" s="155">
        <v>44713</v>
      </c>
      <c r="D86" s="9" t="s">
        <v>741</v>
      </c>
      <c r="E86" s="9" t="s">
        <v>742</v>
      </c>
      <c r="F86" s="9" t="s">
        <v>227</v>
      </c>
      <c r="G86" s="9" t="s">
        <v>2700</v>
      </c>
      <c r="H86" s="9" t="s">
        <v>1738</v>
      </c>
      <c r="I86" s="9">
        <v>562</v>
      </c>
      <c r="J86" s="9" t="s">
        <v>3100</v>
      </c>
      <c r="K86" s="4" t="s">
        <v>3220</v>
      </c>
      <c r="M86" s="9">
        <v>562</v>
      </c>
      <c r="N86" s="9" t="s">
        <v>3060</v>
      </c>
      <c r="O86" s="9">
        <v>20220615</v>
      </c>
      <c r="P86" s="9">
        <v>2022</v>
      </c>
      <c r="Q86" s="9">
        <v>2022</v>
      </c>
    </row>
    <row r="87" spans="1:17">
      <c r="A87" s="9" t="s">
        <v>3058</v>
      </c>
      <c r="B87" s="9">
        <v>2</v>
      </c>
      <c r="C87" s="155">
        <v>44713</v>
      </c>
      <c r="D87" s="9" t="s">
        <v>1171</v>
      </c>
      <c r="E87" s="9" t="s">
        <v>1172</v>
      </c>
      <c r="F87" s="9" t="s">
        <v>487</v>
      </c>
      <c r="G87" s="9" t="s">
        <v>2666</v>
      </c>
      <c r="H87" s="9" t="s">
        <v>3221</v>
      </c>
      <c r="I87" s="9">
        <v>135909</v>
      </c>
      <c r="J87" s="9" t="s">
        <v>3063</v>
      </c>
      <c r="K87" s="4" t="s">
        <v>3222</v>
      </c>
      <c r="M87" s="9">
        <v>135909</v>
      </c>
      <c r="N87" s="9" t="s">
        <v>3060</v>
      </c>
      <c r="O87" s="9">
        <v>20220616</v>
      </c>
      <c r="P87" s="9">
        <v>2022</v>
      </c>
      <c r="Q87" s="9">
        <v>2022</v>
      </c>
    </row>
    <row r="88" spans="1:17">
      <c r="A88" s="9" t="s">
        <v>3058</v>
      </c>
      <c r="B88" s="9">
        <v>2</v>
      </c>
      <c r="C88" s="155">
        <v>44713</v>
      </c>
      <c r="D88" s="9" t="s">
        <v>986</v>
      </c>
      <c r="E88" s="9" t="s">
        <v>987</v>
      </c>
      <c r="F88" s="9" t="s">
        <v>227</v>
      </c>
      <c r="G88" s="9" t="s">
        <v>3223</v>
      </c>
      <c r="H88" s="9" t="s">
        <v>3224</v>
      </c>
      <c r="I88" s="9">
        <v>5318</v>
      </c>
      <c r="J88" s="9" t="s">
        <v>3063</v>
      </c>
      <c r="K88" s="4" t="s">
        <v>3225</v>
      </c>
      <c r="M88" s="9">
        <v>5318</v>
      </c>
      <c r="N88" s="9" t="s">
        <v>3060</v>
      </c>
      <c r="O88" s="9">
        <v>20220616</v>
      </c>
      <c r="P88" s="9">
        <v>2022</v>
      </c>
      <c r="Q88" s="9">
        <v>2022</v>
      </c>
    </row>
    <row r="89" spans="1:17">
      <c r="A89" s="9" t="s">
        <v>3058</v>
      </c>
      <c r="B89" s="9">
        <v>2</v>
      </c>
      <c r="C89" s="155">
        <v>44713</v>
      </c>
      <c r="D89" s="9" t="s">
        <v>735</v>
      </c>
      <c r="E89" s="9" t="s">
        <v>736</v>
      </c>
      <c r="F89" s="9" t="s">
        <v>227</v>
      </c>
      <c r="G89" s="9" t="s">
        <v>2605</v>
      </c>
      <c r="H89" s="9" t="s">
        <v>3226</v>
      </c>
      <c r="I89" s="9">
        <v>19930</v>
      </c>
      <c r="J89" s="9" t="s">
        <v>3100</v>
      </c>
      <c r="K89" s="4" t="s">
        <v>3227</v>
      </c>
      <c r="M89" s="9">
        <v>19930</v>
      </c>
      <c r="N89" s="9" t="s">
        <v>3060</v>
      </c>
      <c r="O89" s="9">
        <v>20220615</v>
      </c>
      <c r="P89" s="9">
        <v>2022</v>
      </c>
      <c r="Q89" s="9">
        <v>2022</v>
      </c>
    </row>
    <row r="90" spans="1:17">
      <c r="A90" s="9" t="s">
        <v>3058</v>
      </c>
      <c r="B90" s="9">
        <v>2</v>
      </c>
      <c r="C90" s="155">
        <v>44713</v>
      </c>
      <c r="D90" s="9" t="s">
        <v>338</v>
      </c>
      <c r="E90" s="9" t="s">
        <v>339</v>
      </c>
      <c r="F90" s="9" t="s">
        <v>227</v>
      </c>
      <c r="G90" s="9" t="s">
        <v>2682</v>
      </c>
      <c r="H90" s="9" t="s">
        <v>3228</v>
      </c>
      <c r="I90" s="9">
        <v>13162</v>
      </c>
      <c r="J90" s="9" t="s">
        <v>3063</v>
      </c>
      <c r="K90" s="4" t="s">
        <v>3229</v>
      </c>
      <c r="M90" s="9">
        <v>13162</v>
      </c>
      <c r="N90" s="9" t="s">
        <v>3060</v>
      </c>
      <c r="O90" s="9">
        <v>20220616</v>
      </c>
      <c r="P90" s="9">
        <v>2022</v>
      </c>
      <c r="Q90" s="9">
        <v>2022</v>
      </c>
    </row>
    <row r="91" spans="1:17">
      <c r="A91" s="9" t="s">
        <v>3058</v>
      </c>
      <c r="B91" s="9">
        <v>2</v>
      </c>
      <c r="C91" s="155">
        <v>44713</v>
      </c>
      <c r="D91" s="9" t="s">
        <v>656</v>
      </c>
      <c r="E91" s="9" t="s">
        <v>657</v>
      </c>
      <c r="F91" s="9" t="s">
        <v>227</v>
      </c>
      <c r="G91" s="9" t="s">
        <v>2816</v>
      </c>
      <c r="H91" s="9" t="s">
        <v>3230</v>
      </c>
      <c r="I91" s="9">
        <v>26159</v>
      </c>
      <c r="J91" s="9" t="s">
        <v>3100</v>
      </c>
      <c r="K91" s="4" t="s">
        <v>3231</v>
      </c>
      <c r="M91" s="9">
        <v>26159</v>
      </c>
      <c r="N91" s="9" t="s">
        <v>3060</v>
      </c>
      <c r="O91" s="9">
        <v>20220615</v>
      </c>
      <c r="P91" s="9">
        <v>2022</v>
      </c>
      <c r="Q91" s="9">
        <v>2022</v>
      </c>
    </row>
    <row r="92" spans="1:17">
      <c r="A92" s="9" t="s">
        <v>3058</v>
      </c>
      <c r="B92" s="9">
        <v>2</v>
      </c>
      <c r="C92" s="155">
        <v>44713</v>
      </c>
      <c r="D92" s="9" t="s">
        <v>989</v>
      </c>
      <c r="E92" s="9" t="s">
        <v>990</v>
      </c>
      <c r="F92" s="9" t="s">
        <v>1548</v>
      </c>
      <c r="G92" s="9" t="s">
        <v>2658</v>
      </c>
      <c r="H92" s="9" t="s">
        <v>3232</v>
      </c>
      <c r="I92" s="9">
        <v>18462</v>
      </c>
      <c r="J92" s="9" t="s">
        <v>3100</v>
      </c>
      <c r="K92" s="4" t="s">
        <v>3233</v>
      </c>
      <c r="M92" s="9">
        <v>18462</v>
      </c>
      <c r="N92" s="9" t="s">
        <v>3060</v>
      </c>
      <c r="O92" s="9">
        <v>20220615</v>
      </c>
      <c r="P92" s="9">
        <v>2022</v>
      </c>
      <c r="Q92" s="9">
        <v>2022</v>
      </c>
    </row>
    <row r="93" spans="1:17">
      <c r="A93" s="9" t="s">
        <v>3058</v>
      </c>
      <c r="B93" s="9">
        <v>2</v>
      </c>
      <c r="C93" s="155">
        <v>44713</v>
      </c>
      <c r="D93" s="9" t="s">
        <v>804</v>
      </c>
      <c r="E93" s="9" t="s">
        <v>805</v>
      </c>
      <c r="F93" s="9" t="s">
        <v>1486</v>
      </c>
      <c r="G93" s="9" t="s">
        <v>1670</v>
      </c>
      <c r="H93" s="9" t="s">
        <v>3234</v>
      </c>
      <c r="I93" s="9">
        <v>21640.76</v>
      </c>
      <c r="J93" s="9" t="s">
        <v>3063</v>
      </c>
      <c r="K93" s="4" t="s">
        <v>3235</v>
      </c>
      <c r="M93" s="9">
        <v>21640.76</v>
      </c>
      <c r="N93" s="9" t="s">
        <v>3060</v>
      </c>
      <c r="O93" s="9">
        <v>20220616</v>
      </c>
      <c r="P93" s="9">
        <v>2022</v>
      </c>
      <c r="Q93" s="9">
        <v>2022</v>
      </c>
    </row>
    <row r="94" spans="1:17" ht="30">
      <c r="A94" s="9" t="s">
        <v>3058</v>
      </c>
      <c r="B94" s="9">
        <v>2</v>
      </c>
      <c r="C94" s="155">
        <v>44713</v>
      </c>
      <c r="D94" s="9" t="s">
        <v>359</v>
      </c>
      <c r="E94" s="9" t="s">
        <v>360</v>
      </c>
      <c r="F94" s="9" t="s">
        <v>227</v>
      </c>
      <c r="G94" s="9" t="s">
        <v>2703</v>
      </c>
      <c r="H94" s="7" t="s">
        <v>3236</v>
      </c>
      <c r="I94" s="9">
        <v>26820</v>
      </c>
      <c r="J94" s="9" t="s">
        <v>3063</v>
      </c>
      <c r="K94" s="4" t="s">
        <v>3237</v>
      </c>
      <c r="M94" s="9">
        <v>26820</v>
      </c>
      <c r="N94" s="9" t="s">
        <v>3060</v>
      </c>
      <c r="O94" s="9">
        <v>20220616</v>
      </c>
      <c r="P94" s="9">
        <v>2022</v>
      </c>
      <c r="Q94" s="9">
        <v>2022</v>
      </c>
    </row>
    <row r="95" spans="1:17">
      <c r="A95" s="9" t="s">
        <v>3058</v>
      </c>
      <c r="B95" s="9">
        <v>2</v>
      </c>
      <c r="C95" s="155">
        <v>44713</v>
      </c>
      <c r="D95" s="9" t="s">
        <v>744</v>
      </c>
      <c r="E95" s="9" t="s">
        <v>745</v>
      </c>
      <c r="F95" s="9" t="s">
        <v>227</v>
      </c>
      <c r="G95" s="9" t="s">
        <v>2344</v>
      </c>
      <c r="H95" s="9" t="s">
        <v>3238</v>
      </c>
      <c r="I95" s="9">
        <v>8618</v>
      </c>
      <c r="J95" s="9" t="s">
        <v>3063</v>
      </c>
      <c r="K95" s="4" t="s">
        <v>3239</v>
      </c>
      <c r="M95" s="9">
        <v>8618</v>
      </c>
      <c r="N95" s="9" t="s">
        <v>3060</v>
      </c>
      <c r="O95" s="9">
        <v>20220616</v>
      </c>
      <c r="P95" s="9">
        <v>2022</v>
      </c>
      <c r="Q95" s="9">
        <v>2022</v>
      </c>
    </row>
    <row r="96" spans="1:17">
      <c r="A96" s="9" t="s">
        <v>3058</v>
      </c>
      <c r="B96" s="9">
        <v>2</v>
      </c>
      <c r="C96" s="155">
        <v>44713</v>
      </c>
      <c r="D96" s="9" t="s">
        <v>926</v>
      </c>
      <c r="E96" s="9" t="s">
        <v>927</v>
      </c>
      <c r="F96" s="9" t="s">
        <v>227</v>
      </c>
      <c r="G96" s="9" t="s">
        <v>2876</v>
      </c>
      <c r="H96" s="9" t="s">
        <v>3240</v>
      </c>
      <c r="I96" s="9">
        <v>3269</v>
      </c>
      <c r="J96" s="9" t="s">
        <v>3063</v>
      </c>
      <c r="K96" s="4" t="s">
        <v>3241</v>
      </c>
      <c r="M96" s="9">
        <v>3269</v>
      </c>
      <c r="N96" s="9" t="s">
        <v>3060</v>
      </c>
      <c r="O96" s="9">
        <v>20220616</v>
      </c>
      <c r="P96" s="9">
        <v>2022</v>
      </c>
      <c r="Q96" s="9">
        <v>2022</v>
      </c>
    </row>
    <row r="97" spans="1:17">
      <c r="A97" s="9" t="s">
        <v>3058</v>
      </c>
      <c r="B97" s="9">
        <v>2</v>
      </c>
      <c r="C97" s="155">
        <v>44713</v>
      </c>
      <c r="D97" s="9">
        <v>0</v>
      </c>
      <c r="E97" s="9">
        <v>0</v>
      </c>
      <c r="F97" s="9" t="s">
        <v>227</v>
      </c>
      <c r="G97" s="9" t="s">
        <v>3242</v>
      </c>
      <c r="H97" s="9" t="s">
        <v>3243</v>
      </c>
      <c r="I97" s="9">
        <v>19400</v>
      </c>
      <c r="J97" s="9" t="s">
        <v>3063</v>
      </c>
      <c r="K97" s="4" t="s">
        <v>3244</v>
      </c>
      <c r="M97" s="9">
        <v>19400</v>
      </c>
      <c r="N97" s="9" t="s">
        <v>3060</v>
      </c>
      <c r="O97" s="9">
        <v>20220616</v>
      </c>
      <c r="P97" s="9">
        <v>2022</v>
      </c>
      <c r="Q97" s="9">
        <v>2022</v>
      </c>
    </row>
    <row r="98" spans="1:17">
      <c r="A98" s="9" t="s">
        <v>3058</v>
      </c>
      <c r="B98" s="9">
        <v>2</v>
      </c>
      <c r="C98" s="155">
        <v>44713</v>
      </c>
      <c r="D98" s="9" t="s">
        <v>2293</v>
      </c>
      <c r="E98" s="9" t="s">
        <v>696</v>
      </c>
      <c r="F98" s="9" t="s">
        <v>227</v>
      </c>
      <c r="G98" s="9" t="s">
        <v>3245</v>
      </c>
      <c r="H98" s="9" t="s">
        <v>3245</v>
      </c>
      <c r="I98" s="9">
        <v>7273</v>
      </c>
      <c r="J98" s="9" t="s">
        <v>3100</v>
      </c>
      <c r="K98" s="4" t="s">
        <v>3246</v>
      </c>
      <c r="M98" s="9">
        <v>7273</v>
      </c>
      <c r="N98" s="9" t="s">
        <v>3060</v>
      </c>
      <c r="O98" s="9">
        <v>20220615</v>
      </c>
      <c r="P98" s="9">
        <v>2022</v>
      </c>
      <c r="Q98" s="9">
        <v>2022</v>
      </c>
    </row>
    <row r="99" spans="1:17">
      <c r="A99" s="9" t="s">
        <v>3058</v>
      </c>
      <c r="B99" s="9">
        <v>2</v>
      </c>
      <c r="C99" s="155">
        <v>44713</v>
      </c>
      <c r="D99" s="9" t="s">
        <v>904</v>
      </c>
      <c r="E99" s="9" t="s">
        <v>905</v>
      </c>
      <c r="F99" s="9" t="s">
        <v>310</v>
      </c>
      <c r="G99" s="9" t="s">
        <v>1743</v>
      </c>
      <c r="H99" s="9" t="s">
        <v>3247</v>
      </c>
      <c r="I99" s="9">
        <v>3666</v>
      </c>
      <c r="J99" s="9" t="s">
        <v>3063</v>
      </c>
      <c r="K99" s="4" t="s">
        <v>3248</v>
      </c>
      <c r="M99" s="9">
        <v>3666</v>
      </c>
      <c r="N99" s="9" t="s">
        <v>3060</v>
      </c>
      <c r="O99" s="9">
        <v>20220616</v>
      </c>
      <c r="P99" s="9">
        <v>2022</v>
      </c>
      <c r="Q99" s="9">
        <v>2022</v>
      </c>
    </row>
    <row r="100" spans="1:17">
      <c r="A100" s="9" t="s">
        <v>3058</v>
      </c>
      <c r="B100" s="9">
        <v>2</v>
      </c>
      <c r="C100" s="155">
        <v>44713</v>
      </c>
      <c r="D100" s="9" t="s">
        <v>1706</v>
      </c>
      <c r="E100" s="9" t="s">
        <v>1707</v>
      </c>
      <c r="F100" s="9" t="s">
        <v>1486</v>
      </c>
      <c r="G100" s="9" t="s">
        <v>3249</v>
      </c>
      <c r="H100" s="9" t="s">
        <v>2618</v>
      </c>
      <c r="I100" s="9">
        <v>31116.959999999999</v>
      </c>
      <c r="J100" s="9" t="s">
        <v>3100</v>
      </c>
      <c r="K100" s="4" t="s">
        <v>3250</v>
      </c>
      <c r="M100" s="9">
        <v>31116.959999999999</v>
      </c>
      <c r="N100" s="9" t="s">
        <v>3060</v>
      </c>
      <c r="O100" s="9">
        <v>20220615</v>
      </c>
      <c r="P100" s="9">
        <v>2022</v>
      </c>
      <c r="Q100" s="9">
        <v>2022</v>
      </c>
    </row>
    <row r="101" spans="1:17">
      <c r="A101" s="9" t="s">
        <v>3058</v>
      </c>
      <c r="B101" s="9">
        <v>2</v>
      </c>
      <c r="C101" s="155">
        <v>44713</v>
      </c>
      <c r="D101" s="9" t="s">
        <v>732</v>
      </c>
      <c r="E101" s="9" t="s">
        <v>733</v>
      </c>
      <c r="F101" s="9" t="s">
        <v>227</v>
      </c>
      <c r="G101" s="9" t="s">
        <v>2393</v>
      </c>
      <c r="H101" s="9" t="s">
        <v>3251</v>
      </c>
      <c r="I101" s="9">
        <v>10013</v>
      </c>
      <c r="J101" s="9" t="s">
        <v>3063</v>
      </c>
      <c r="K101" s="4" t="s">
        <v>3252</v>
      </c>
      <c r="M101" s="9">
        <v>10013</v>
      </c>
      <c r="N101" s="9" t="s">
        <v>3060</v>
      </c>
      <c r="O101" s="9">
        <v>20220616</v>
      </c>
      <c r="P101" s="9">
        <v>2022</v>
      </c>
      <c r="Q101" s="9">
        <v>2022</v>
      </c>
    </row>
    <row r="102" spans="1:17">
      <c r="A102" s="9" t="s">
        <v>3058</v>
      </c>
      <c r="B102" s="9">
        <v>2</v>
      </c>
      <c r="C102" s="155">
        <v>44713</v>
      </c>
      <c r="D102" s="9" t="s">
        <v>195</v>
      </c>
      <c r="E102" s="9" t="s">
        <v>196</v>
      </c>
      <c r="F102" s="9" t="s">
        <v>1548</v>
      </c>
      <c r="G102" s="9" t="s">
        <v>2911</v>
      </c>
      <c r="H102" s="9" t="s">
        <v>3253</v>
      </c>
      <c r="I102" s="9">
        <v>32228.12</v>
      </c>
      <c r="J102" s="9" t="s">
        <v>3063</v>
      </c>
      <c r="K102" s="4" t="s">
        <v>3254</v>
      </c>
      <c r="M102" s="9">
        <v>32228.12</v>
      </c>
      <c r="N102" s="9" t="s">
        <v>3060</v>
      </c>
      <c r="O102" s="9">
        <v>20220616</v>
      </c>
      <c r="P102" s="9">
        <v>2022</v>
      </c>
      <c r="Q102" s="9">
        <v>2022</v>
      </c>
    </row>
    <row r="103" spans="1:17">
      <c r="A103" s="9" t="s">
        <v>3058</v>
      </c>
      <c r="B103" s="9">
        <v>2</v>
      </c>
      <c r="C103" s="155">
        <v>44713</v>
      </c>
      <c r="D103" s="9" t="s">
        <v>819</v>
      </c>
      <c r="E103" s="9" t="s">
        <v>820</v>
      </c>
      <c r="F103" s="9" t="s">
        <v>227</v>
      </c>
      <c r="G103" s="9" t="s">
        <v>2609</v>
      </c>
      <c r="H103" s="9" t="s">
        <v>2609</v>
      </c>
      <c r="I103" s="9">
        <v>37922</v>
      </c>
      <c r="J103" s="9" t="s">
        <v>3215</v>
      </c>
      <c r="K103" s="4" t="s">
        <v>3255</v>
      </c>
      <c r="M103" s="9">
        <v>37922</v>
      </c>
      <c r="N103" s="9" t="s">
        <v>3060</v>
      </c>
      <c r="O103" s="9">
        <v>20220614</v>
      </c>
      <c r="P103" s="9">
        <v>2022</v>
      </c>
      <c r="Q103" s="9">
        <v>2022</v>
      </c>
    </row>
    <row r="104" spans="1:17">
      <c r="A104" s="9" t="s">
        <v>3058</v>
      </c>
      <c r="B104" s="9">
        <v>2</v>
      </c>
      <c r="C104" s="155">
        <v>44713</v>
      </c>
      <c r="D104" s="9" t="s">
        <v>674</v>
      </c>
      <c r="E104" s="9" t="s">
        <v>675</v>
      </c>
      <c r="F104" s="9" t="s">
        <v>227</v>
      </c>
      <c r="G104" s="9" t="s">
        <v>2938</v>
      </c>
      <c r="H104" s="9" t="s">
        <v>3256</v>
      </c>
      <c r="I104" s="9">
        <v>11947</v>
      </c>
      <c r="J104" s="9" t="s">
        <v>3100</v>
      </c>
      <c r="K104" s="4" t="s">
        <v>3257</v>
      </c>
      <c r="M104" s="9">
        <v>11947</v>
      </c>
      <c r="N104" s="9" t="s">
        <v>3060</v>
      </c>
      <c r="O104" s="9">
        <v>20220615</v>
      </c>
      <c r="P104" s="9">
        <v>2022</v>
      </c>
      <c r="Q104" s="9">
        <v>2022</v>
      </c>
    </row>
    <row r="105" spans="1:17" ht="30">
      <c r="A105" s="9" t="s">
        <v>3058</v>
      </c>
      <c r="B105" s="9">
        <v>2</v>
      </c>
      <c r="C105" s="155">
        <v>44713</v>
      </c>
      <c r="D105" s="9" t="s">
        <v>716</v>
      </c>
      <c r="E105" s="9" t="s">
        <v>717</v>
      </c>
      <c r="F105" s="9" t="s">
        <v>227</v>
      </c>
      <c r="G105" s="9" t="s">
        <v>3258</v>
      </c>
      <c r="H105" s="7" t="s">
        <v>3259</v>
      </c>
      <c r="I105" s="9">
        <v>3745</v>
      </c>
      <c r="J105" s="9" t="s">
        <v>3063</v>
      </c>
      <c r="K105" s="4" t="s">
        <v>3260</v>
      </c>
      <c r="M105" s="9">
        <v>3745</v>
      </c>
      <c r="N105" s="9" t="s">
        <v>3060</v>
      </c>
      <c r="O105" s="9">
        <v>20220616</v>
      </c>
      <c r="P105" s="9">
        <v>2022</v>
      </c>
      <c r="Q105" s="9">
        <v>2022</v>
      </c>
    </row>
    <row r="106" spans="1:17">
      <c r="A106" s="9" t="s">
        <v>3058</v>
      </c>
      <c r="B106" s="9">
        <v>2</v>
      </c>
      <c r="C106" s="155">
        <v>44713</v>
      </c>
      <c r="D106" s="9" t="s">
        <v>941</v>
      </c>
      <c r="E106" s="9" t="s">
        <v>942</v>
      </c>
      <c r="F106" s="9" t="s">
        <v>227</v>
      </c>
      <c r="G106" s="9" t="s">
        <v>2697</v>
      </c>
      <c r="H106" s="9" t="s">
        <v>3261</v>
      </c>
      <c r="I106" s="9">
        <v>16532</v>
      </c>
      <c r="J106" s="9" t="s">
        <v>3063</v>
      </c>
      <c r="K106" s="4" t="s">
        <v>3262</v>
      </c>
      <c r="M106" s="9">
        <v>16532</v>
      </c>
      <c r="N106" s="9" t="s">
        <v>3060</v>
      </c>
      <c r="O106" s="9">
        <v>20220616</v>
      </c>
      <c r="P106" s="9">
        <v>2022</v>
      </c>
      <c r="Q106" s="9">
        <v>2022</v>
      </c>
    </row>
    <row r="107" spans="1:17">
      <c r="A107" s="9" t="s">
        <v>3058</v>
      </c>
      <c r="B107" s="9">
        <v>2</v>
      </c>
      <c r="C107" s="155">
        <v>44713</v>
      </c>
      <c r="D107" s="9" t="s">
        <v>844</v>
      </c>
      <c r="E107" s="9" t="s">
        <v>845</v>
      </c>
      <c r="F107" s="9" t="s">
        <v>227</v>
      </c>
      <c r="G107" s="9" t="s">
        <v>2882</v>
      </c>
      <c r="H107" s="9" t="s">
        <v>3263</v>
      </c>
      <c r="I107" s="9">
        <v>65638</v>
      </c>
      <c r="J107" s="9" t="s">
        <v>3100</v>
      </c>
      <c r="K107" s="4" t="s">
        <v>3264</v>
      </c>
      <c r="M107" s="9">
        <v>65638</v>
      </c>
      <c r="N107" s="9" t="s">
        <v>3060</v>
      </c>
      <c r="O107" s="9">
        <v>20220615</v>
      </c>
      <c r="P107" s="9">
        <v>2022</v>
      </c>
      <c r="Q107" s="9">
        <v>2022</v>
      </c>
    </row>
    <row r="108" spans="1:17">
      <c r="A108" s="9" t="s">
        <v>3058</v>
      </c>
      <c r="B108" s="9">
        <v>2</v>
      </c>
      <c r="C108" s="155">
        <v>44713</v>
      </c>
      <c r="D108" s="9" t="s">
        <v>932</v>
      </c>
      <c r="E108" s="9" t="s">
        <v>933</v>
      </c>
      <c r="F108" s="9" t="s">
        <v>227</v>
      </c>
      <c r="G108" s="9" t="s">
        <v>3265</v>
      </c>
      <c r="H108" s="9" t="s">
        <v>3266</v>
      </c>
      <c r="I108" s="9">
        <v>4824</v>
      </c>
      <c r="J108" s="9" t="s">
        <v>3100</v>
      </c>
      <c r="K108" s="4" t="s">
        <v>3267</v>
      </c>
      <c r="M108" s="9">
        <v>4824</v>
      </c>
      <c r="N108" s="9" t="s">
        <v>3060</v>
      </c>
      <c r="O108" s="9">
        <v>20220615</v>
      </c>
      <c r="P108" s="9">
        <v>2022</v>
      </c>
      <c r="Q108" s="9">
        <v>2022</v>
      </c>
    </row>
    <row r="109" spans="1:17">
      <c r="A109" s="9" t="s">
        <v>3058</v>
      </c>
      <c r="B109" s="9">
        <v>2</v>
      </c>
      <c r="C109" s="155">
        <v>44713</v>
      </c>
      <c r="D109" s="9" t="s">
        <v>665</v>
      </c>
      <c r="E109" s="9" t="s">
        <v>666</v>
      </c>
      <c r="F109" s="9" t="s">
        <v>227</v>
      </c>
      <c r="G109" s="9" t="s">
        <v>3268</v>
      </c>
      <c r="H109" s="9" t="s">
        <v>2910</v>
      </c>
      <c r="I109" s="9">
        <v>27880</v>
      </c>
      <c r="J109" s="9" t="s">
        <v>3100</v>
      </c>
      <c r="K109" s="4" t="s">
        <v>3269</v>
      </c>
      <c r="M109" s="9">
        <v>27880</v>
      </c>
      <c r="N109" s="9" t="s">
        <v>3060</v>
      </c>
      <c r="O109" s="9">
        <v>20220615</v>
      </c>
      <c r="P109" s="9">
        <v>2022</v>
      </c>
      <c r="Q109" s="9">
        <v>2022</v>
      </c>
    </row>
    <row r="110" spans="1:17">
      <c r="A110" s="9" t="s">
        <v>3058</v>
      </c>
      <c r="B110" s="9">
        <v>2</v>
      </c>
      <c r="C110" s="155">
        <v>44713</v>
      </c>
      <c r="D110" s="9" t="s">
        <v>825</v>
      </c>
      <c r="E110" s="9" t="s">
        <v>826</v>
      </c>
      <c r="F110" s="9" t="s">
        <v>227</v>
      </c>
      <c r="G110" s="9" t="s">
        <v>2705</v>
      </c>
      <c r="H110" s="9" t="s">
        <v>3270</v>
      </c>
      <c r="I110" s="9">
        <v>6828</v>
      </c>
      <c r="J110" s="9" t="s">
        <v>3063</v>
      </c>
      <c r="K110" s="4" t="s">
        <v>3271</v>
      </c>
      <c r="M110" s="9">
        <v>6828</v>
      </c>
      <c r="N110" s="9" t="s">
        <v>3060</v>
      </c>
      <c r="O110" s="9">
        <v>20220616</v>
      </c>
      <c r="P110" s="9">
        <v>2022</v>
      </c>
      <c r="Q110" s="9">
        <v>2022</v>
      </c>
    </row>
    <row r="111" spans="1:17" ht="60">
      <c r="A111" s="9" t="s">
        <v>3058</v>
      </c>
      <c r="B111" s="9">
        <v>2</v>
      </c>
      <c r="C111" s="155">
        <v>44713</v>
      </c>
      <c r="D111" s="9" t="s">
        <v>753</v>
      </c>
      <c r="E111" s="9" t="s">
        <v>754</v>
      </c>
      <c r="F111" s="9" t="s">
        <v>1486</v>
      </c>
      <c r="G111" s="7" t="s">
        <v>2935</v>
      </c>
      <c r="H111" s="9" t="s">
        <v>3272</v>
      </c>
      <c r="I111" s="9">
        <v>248673.43</v>
      </c>
      <c r="J111" s="9" t="s">
        <v>3063</v>
      </c>
      <c r="K111" s="4" t="s">
        <v>3273</v>
      </c>
      <c r="M111" s="9">
        <v>248673.43</v>
      </c>
      <c r="N111" s="9" t="s">
        <v>3060</v>
      </c>
      <c r="O111" s="9">
        <v>20220616</v>
      </c>
      <c r="P111" s="9">
        <v>2022</v>
      </c>
      <c r="Q111" s="9">
        <v>2022</v>
      </c>
    </row>
    <row r="112" spans="1:17">
      <c r="A112" s="9" t="s">
        <v>3058</v>
      </c>
      <c r="B112" s="9">
        <v>2</v>
      </c>
      <c r="C112" s="155">
        <v>44713</v>
      </c>
      <c r="D112" s="9" t="s">
        <v>707</v>
      </c>
      <c r="E112" s="9" t="s">
        <v>708</v>
      </c>
      <c r="F112" s="9" t="s">
        <v>1486</v>
      </c>
      <c r="G112" s="9" t="s">
        <v>2619</v>
      </c>
      <c r="H112" s="9" t="s">
        <v>3274</v>
      </c>
      <c r="I112" s="9">
        <v>37410.78</v>
      </c>
      <c r="J112" s="9" t="s">
        <v>3063</v>
      </c>
      <c r="K112" s="4" t="s">
        <v>3275</v>
      </c>
      <c r="M112" s="9">
        <v>37410.78</v>
      </c>
      <c r="N112" s="9" t="s">
        <v>3060</v>
      </c>
      <c r="O112" s="9">
        <v>20220616</v>
      </c>
      <c r="P112" s="9">
        <v>2022</v>
      </c>
      <c r="Q112" s="9">
        <v>2022</v>
      </c>
    </row>
    <row r="113" spans="1:17" ht="60">
      <c r="A113" s="9" t="s">
        <v>3058</v>
      </c>
      <c r="B113" s="9">
        <v>2</v>
      </c>
      <c r="C113" s="155">
        <v>44713</v>
      </c>
      <c r="D113" s="9" t="s">
        <v>137</v>
      </c>
      <c r="E113" s="9" t="s">
        <v>138</v>
      </c>
      <c r="F113" s="9" t="s">
        <v>310</v>
      </c>
      <c r="G113" s="7" t="s">
        <v>2579</v>
      </c>
      <c r="H113" s="9" t="s">
        <v>3276</v>
      </c>
      <c r="I113" s="9">
        <v>54666.31</v>
      </c>
      <c r="J113" s="9" t="s">
        <v>3100</v>
      </c>
      <c r="K113" s="4" t="s">
        <v>3277</v>
      </c>
      <c r="M113" s="9">
        <v>54666.31</v>
      </c>
      <c r="N113" s="9" t="s">
        <v>3060</v>
      </c>
      <c r="O113" s="9">
        <v>20220615</v>
      </c>
      <c r="P113" s="9">
        <v>2022</v>
      </c>
      <c r="Q113" s="9">
        <v>2022</v>
      </c>
    </row>
    <row r="114" spans="1:17">
      <c r="A114" s="9" t="s">
        <v>3058</v>
      </c>
      <c r="B114" s="9">
        <v>2</v>
      </c>
      <c r="C114" s="155">
        <v>44713</v>
      </c>
      <c r="D114" s="9" t="s">
        <v>465</v>
      </c>
      <c r="E114" s="9" t="s">
        <v>466</v>
      </c>
      <c r="F114" s="9" t="s">
        <v>223</v>
      </c>
      <c r="G114" s="9" t="s">
        <v>2689</v>
      </c>
      <c r="H114" s="9" t="s">
        <v>3278</v>
      </c>
      <c r="I114" s="9">
        <v>7663374.1200000001</v>
      </c>
      <c r="J114" s="9" t="s">
        <v>3063</v>
      </c>
      <c r="K114" s="4" t="s">
        <v>3279</v>
      </c>
      <c r="M114" s="9">
        <v>7663374.1200000001</v>
      </c>
      <c r="N114" s="9" t="s">
        <v>3060</v>
      </c>
      <c r="O114" s="9">
        <v>20220616</v>
      </c>
      <c r="P114" s="9">
        <v>2022</v>
      </c>
      <c r="Q114" s="9">
        <v>2022</v>
      </c>
    </row>
    <row r="115" spans="1:17">
      <c r="A115" s="9" t="s">
        <v>3058</v>
      </c>
      <c r="B115" s="9">
        <v>2</v>
      </c>
      <c r="C115" s="155">
        <v>44713</v>
      </c>
      <c r="D115" s="9" t="s">
        <v>1586</v>
      </c>
      <c r="E115" s="9" t="s">
        <v>1587</v>
      </c>
      <c r="F115" s="9" t="s">
        <v>310</v>
      </c>
      <c r="G115" s="9" t="s">
        <v>3280</v>
      </c>
      <c r="H115" s="9" t="s">
        <v>3281</v>
      </c>
      <c r="I115" s="9">
        <v>429542</v>
      </c>
      <c r="J115" s="9" t="s">
        <v>3063</v>
      </c>
      <c r="K115" s="4" t="s">
        <v>3282</v>
      </c>
      <c r="M115" s="9">
        <v>429542</v>
      </c>
      <c r="N115" s="9" t="s">
        <v>3060</v>
      </c>
      <c r="O115" s="9">
        <v>20220616</v>
      </c>
      <c r="P115" s="9">
        <v>2022</v>
      </c>
      <c r="Q115" s="9">
        <v>2022</v>
      </c>
    </row>
    <row r="116" spans="1:17">
      <c r="A116" s="9" t="s">
        <v>3058</v>
      </c>
      <c r="B116" s="9">
        <v>2</v>
      </c>
      <c r="C116" s="155">
        <v>44713</v>
      </c>
      <c r="D116" s="9" t="s">
        <v>1069</v>
      </c>
      <c r="E116" s="9" t="s">
        <v>1070</v>
      </c>
      <c r="F116" s="9" t="s">
        <v>227</v>
      </c>
      <c r="G116" s="9" t="s">
        <v>2942</v>
      </c>
      <c r="H116" s="9" t="s">
        <v>2942</v>
      </c>
      <c r="I116" s="9">
        <v>5598</v>
      </c>
      <c r="J116" s="9" t="s">
        <v>3100</v>
      </c>
      <c r="K116" s="4" t="s">
        <v>3283</v>
      </c>
      <c r="M116" s="9">
        <v>5598</v>
      </c>
      <c r="N116" s="9" t="s">
        <v>3060</v>
      </c>
      <c r="O116" s="9">
        <v>20220615</v>
      </c>
      <c r="P116" s="9">
        <v>2022</v>
      </c>
      <c r="Q116" s="9">
        <v>2022</v>
      </c>
    </row>
    <row r="117" spans="1:17">
      <c r="A117" s="9" t="s">
        <v>3058</v>
      </c>
      <c r="B117" s="9">
        <v>2</v>
      </c>
      <c r="C117" s="155">
        <v>44713</v>
      </c>
      <c r="D117" s="9" t="s">
        <v>1140</v>
      </c>
      <c r="E117" s="9" t="s">
        <v>1141</v>
      </c>
      <c r="F117" s="9" t="s">
        <v>227</v>
      </c>
      <c r="G117" s="9" t="s">
        <v>2888</v>
      </c>
      <c r="H117" s="9" t="s">
        <v>3284</v>
      </c>
      <c r="I117" s="9">
        <v>2877.69</v>
      </c>
      <c r="J117" s="9" t="s">
        <v>3063</v>
      </c>
      <c r="K117" s="4" t="s">
        <v>3285</v>
      </c>
      <c r="M117" s="9">
        <v>2877.69</v>
      </c>
      <c r="N117" s="9" t="s">
        <v>3060</v>
      </c>
      <c r="O117" s="9">
        <v>20220616</v>
      </c>
      <c r="P117" s="9">
        <v>2022</v>
      </c>
      <c r="Q117" s="9">
        <v>2022</v>
      </c>
    </row>
    <row r="118" spans="1:17">
      <c r="A118" s="9" t="s">
        <v>3058</v>
      </c>
      <c r="B118" s="9">
        <v>2</v>
      </c>
      <c r="C118" s="155">
        <v>44713</v>
      </c>
      <c r="D118" s="9" t="s">
        <v>1603</v>
      </c>
      <c r="E118" s="9" t="s">
        <v>1604</v>
      </c>
      <c r="F118" s="9" t="s">
        <v>227</v>
      </c>
      <c r="G118" s="9" t="s">
        <v>2799</v>
      </c>
      <c r="H118" s="9" t="s">
        <v>3286</v>
      </c>
      <c r="I118" s="9">
        <v>18123</v>
      </c>
      <c r="J118" s="9" t="s">
        <v>3100</v>
      </c>
      <c r="K118" s="4" t="s">
        <v>3287</v>
      </c>
      <c r="M118" s="9">
        <v>18123</v>
      </c>
      <c r="N118" s="9" t="s">
        <v>3060</v>
      </c>
      <c r="O118" s="9">
        <v>20220615</v>
      </c>
      <c r="P118" s="9">
        <v>2022</v>
      </c>
      <c r="Q118" s="9">
        <v>2022</v>
      </c>
    </row>
    <row r="119" spans="1:17">
      <c r="A119" s="9" t="s">
        <v>3058</v>
      </c>
      <c r="B119" s="9">
        <v>2</v>
      </c>
      <c r="C119" s="155">
        <v>44713</v>
      </c>
      <c r="D119" s="9" t="s">
        <v>111</v>
      </c>
      <c r="E119" s="9" t="s">
        <v>112</v>
      </c>
      <c r="F119" s="9" t="s">
        <v>227</v>
      </c>
      <c r="G119" s="9" t="s">
        <v>2428</v>
      </c>
      <c r="H119" s="9" t="s">
        <v>3288</v>
      </c>
      <c r="I119" s="9">
        <v>151608</v>
      </c>
      <c r="J119" s="9" t="s">
        <v>3063</v>
      </c>
      <c r="K119" s="4" t="s">
        <v>3289</v>
      </c>
      <c r="M119" s="9">
        <v>151608</v>
      </c>
      <c r="N119" s="9" t="s">
        <v>3060</v>
      </c>
      <c r="O119" s="9">
        <v>20220616</v>
      </c>
      <c r="P119" s="9">
        <v>2022</v>
      </c>
      <c r="Q119" s="9">
        <v>2022</v>
      </c>
    </row>
    <row r="120" spans="1:17">
      <c r="A120" s="9" t="s">
        <v>3058</v>
      </c>
      <c r="B120" s="9">
        <v>2</v>
      </c>
      <c r="C120" s="155">
        <v>44713</v>
      </c>
      <c r="D120" s="9" t="s">
        <v>1050</v>
      </c>
      <c r="E120" s="9" t="s">
        <v>1051</v>
      </c>
      <c r="F120" s="9" t="s">
        <v>1486</v>
      </c>
      <c r="G120" s="9" t="s">
        <v>2612</v>
      </c>
      <c r="H120" s="9" t="s">
        <v>3290</v>
      </c>
      <c r="I120" s="9">
        <v>22994.47</v>
      </c>
      <c r="J120" s="9" t="s">
        <v>3063</v>
      </c>
      <c r="K120" s="4" t="s">
        <v>3291</v>
      </c>
      <c r="M120" s="9">
        <v>22994.47</v>
      </c>
      <c r="N120" s="9" t="s">
        <v>3060</v>
      </c>
      <c r="O120" s="9">
        <v>20220616</v>
      </c>
      <c r="P120" s="9">
        <v>2022</v>
      </c>
      <c r="Q120" s="9">
        <v>2022</v>
      </c>
    </row>
    <row r="121" spans="1:17">
      <c r="A121" s="9" t="s">
        <v>3058</v>
      </c>
      <c r="B121" s="9">
        <v>2</v>
      </c>
      <c r="C121" s="155">
        <v>44713</v>
      </c>
      <c r="D121" s="9">
        <v>0</v>
      </c>
      <c r="E121" s="9">
        <v>0</v>
      </c>
      <c r="F121" s="9" t="s">
        <v>227</v>
      </c>
      <c r="G121" s="9" t="s">
        <v>3292</v>
      </c>
      <c r="H121" s="9" t="s">
        <v>3293</v>
      </c>
      <c r="I121" s="9">
        <v>3532167</v>
      </c>
      <c r="J121" s="9" t="s">
        <v>3063</v>
      </c>
      <c r="K121" s="4" t="s">
        <v>3294</v>
      </c>
      <c r="M121" s="9">
        <v>3532167</v>
      </c>
      <c r="N121" s="9" t="s">
        <v>3292</v>
      </c>
      <c r="O121" s="9">
        <v>20220616</v>
      </c>
      <c r="P121" s="9">
        <v>2022</v>
      </c>
      <c r="Q121" s="9">
        <v>2022</v>
      </c>
    </row>
    <row r="122" spans="1:17">
      <c r="A122" s="9" t="s">
        <v>3058</v>
      </c>
      <c r="B122" s="9">
        <v>2</v>
      </c>
      <c r="C122" s="155">
        <v>44713</v>
      </c>
      <c r="D122" s="9" t="s">
        <v>1034</v>
      </c>
      <c r="E122" s="9" t="s">
        <v>1035</v>
      </c>
      <c r="F122" s="9" t="s">
        <v>1202</v>
      </c>
      <c r="G122" s="9" t="s">
        <v>3295</v>
      </c>
      <c r="H122" s="9" t="s">
        <v>3296</v>
      </c>
      <c r="I122" s="9">
        <v>5321040.5599999996</v>
      </c>
      <c r="J122" s="9" t="s">
        <v>3063</v>
      </c>
      <c r="K122" s="4" t="s">
        <v>3297</v>
      </c>
      <c r="M122" s="9">
        <v>5321040.5599999996</v>
      </c>
      <c r="N122" s="9" t="s">
        <v>3295</v>
      </c>
      <c r="O122" s="9">
        <v>20220616</v>
      </c>
      <c r="P122" s="9">
        <v>2022</v>
      </c>
      <c r="Q122" s="9">
        <v>2022</v>
      </c>
    </row>
    <row r="123" spans="1:17" ht="30">
      <c r="A123" s="9" t="s">
        <v>3058</v>
      </c>
      <c r="B123" s="9">
        <v>2</v>
      </c>
      <c r="C123" s="155">
        <v>44713</v>
      </c>
      <c r="D123" s="9">
        <v>0</v>
      </c>
      <c r="E123" s="9">
        <v>0</v>
      </c>
      <c r="F123" s="9" t="s">
        <v>310</v>
      </c>
      <c r="G123" s="9" t="s">
        <v>3298</v>
      </c>
      <c r="H123" s="7" t="s">
        <v>3299</v>
      </c>
      <c r="I123" s="9">
        <v>18380458.370000001</v>
      </c>
      <c r="J123" s="9" t="s">
        <v>3063</v>
      </c>
      <c r="K123" s="4" t="s">
        <v>3300</v>
      </c>
      <c r="M123" s="9">
        <v>18380458.370000001</v>
      </c>
      <c r="N123" s="9" t="s">
        <v>3298</v>
      </c>
      <c r="O123" s="9">
        <v>20220616</v>
      </c>
      <c r="P123" s="9">
        <v>2022</v>
      </c>
      <c r="Q123" s="9">
        <v>2022</v>
      </c>
    </row>
    <row r="124" spans="1:17" ht="30">
      <c r="A124" s="9" t="s">
        <v>3058</v>
      </c>
      <c r="B124" s="9">
        <v>2</v>
      </c>
      <c r="C124" s="155">
        <v>44713</v>
      </c>
      <c r="D124" s="9">
        <v>0</v>
      </c>
      <c r="E124" s="9">
        <v>0</v>
      </c>
      <c r="F124" s="9" t="s">
        <v>1486</v>
      </c>
      <c r="G124" s="9" t="s">
        <v>3301</v>
      </c>
      <c r="H124" s="7" t="s">
        <v>3302</v>
      </c>
      <c r="I124" s="9">
        <v>22084833.690000001</v>
      </c>
      <c r="J124" s="9" t="s">
        <v>3063</v>
      </c>
      <c r="K124" s="4" t="s">
        <v>3303</v>
      </c>
      <c r="M124" s="9">
        <v>22084833.690000001</v>
      </c>
      <c r="N124" s="9" t="s">
        <v>3304</v>
      </c>
      <c r="O124" s="9">
        <v>20220616</v>
      </c>
      <c r="P124" s="9">
        <v>2022</v>
      </c>
      <c r="Q124" s="9">
        <v>2022</v>
      </c>
    </row>
    <row r="125" spans="1:17">
      <c r="A125" s="9" t="s">
        <v>3058</v>
      </c>
      <c r="B125" s="9">
        <v>2</v>
      </c>
      <c r="C125" s="155">
        <v>44713</v>
      </c>
      <c r="D125" s="9">
        <v>0</v>
      </c>
      <c r="E125" s="9">
        <v>0</v>
      </c>
      <c r="F125" s="9" t="s">
        <v>310</v>
      </c>
      <c r="G125" s="9" t="s">
        <v>3305</v>
      </c>
      <c r="H125" s="9" t="s">
        <v>3306</v>
      </c>
      <c r="I125" s="9">
        <v>3206625</v>
      </c>
      <c r="J125" s="9" t="s">
        <v>3063</v>
      </c>
      <c r="K125" s="4" t="s">
        <v>3307</v>
      </c>
      <c r="M125" s="9">
        <v>3206625</v>
      </c>
      <c r="N125" s="9" t="s">
        <v>3308</v>
      </c>
      <c r="O125" s="9">
        <v>20220616</v>
      </c>
      <c r="P125" s="9">
        <v>2022</v>
      </c>
      <c r="Q125" s="9">
        <v>2022</v>
      </c>
    </row>
    <row r="126" spans="1:17">
      <c r="A126" s="9" t="s">
        <v>3058</v>
      </c>
      <c r="B126" s="9">
        <v>2</v>
      </c>
      <c r="C126" s="155">
        <v>44713</v>
      </c>
      <c r="D126" s="9">
        <v>0</v>
      </c>
      <c r="E126" s="9">
        <v>0</v>
      </c>
      <c r="F126" s="9" t="s">
        <v>1550</v>
      </c>
      <c r="G126" s="9" t="s">
        <v>3305</v>
      </c>
      <c r="H126" s="9" t="s">
        <v>3306</v>
      </c>
      <c r="I126" s="9">
        <v>2209801</v>
      </c>
      <c r="J126" s="9" t="s">
        <v>3063</v>
      </c>
      <c r="K126" s="4" t="s">
        <v>3307</v>
      </c>
      <c r="M126" s="9">
        <v>2209801</v>
      </c>
      <c r="N126" s="9" t="s">
        <v>3308</v>
      </c>
      <c r="O126" s="9">
        <v>20220616</v>
      </c>
      <c r="P126" s="9">
        <v>2022</v>
      </c>
      <c r="Q126" s="9">
        <v>2022</v>
      </c>
    </row>
    <row r="127" spans="1:17">
      <c r="A127" s="9" t="s">
        <v>3058</v>
      </c>
      <c r="B127" s="9">
        <v>2</v>
      </c>
      <c r="C127" s="155">
        <v>44713</v>
      </c>
      <c r="D127" s="9">
        <v>0</v>
      </c>
      <c r="E127" s="9">
        <v>0</v>
      </c>
      <c r="F127" s="9" t="s">
        <v>1486</v>
      </c>
      <c r="G127" s="9" t="s">
        <v>3309</v>
      </c>
      <c r="H127" s="9" t="s">
        <v>3310</v>
      </c>
      <c r="I127" s="9">
        <v>7559322.2699999996</v>
      </c>
      <c r="J127" s="9" t="s">
        <v>3063</v>
      </c>
      <c r="K127" s="4" t="s">
        <v>3311</v>
      </c>
      <c r="M127" s="9">
        <v>7559322.2699999996</v>
      </c>
      <c r="N127" s="9" t="s">
        <v>3309</v>
      </c>
      <c r="O127" s="9">
        <v>20220616</v>
      </c>
      <c r="P127" s="9">
        <v>2022</v>
      </c>
      <c r="Q127" s="9">
        <v>2022</v>
      </c>
    </row>
    <row r="128" spans="1:17">
      <c r="A128" s="9" t="s">
        <v>3058</v>
      </c>
      <c r="B128" s="9">
        <v>2</v>
      </c>
      <c r="C128" s="155">
        <v>44713</v>
      </c>
      <c r="D128" s="9">
        <v>0</v>
      </c>
      <c r="E128" s="9">
        <v>0</v>
      </c>
      <c r="F128" s="9" t="s">
        <v>310</v>
      </c>
      <c r="G128" s="9" t="s">
        <v>3312</v>
      </c>
      <c r="H128" s="9" t="s">
        <v>3313</v>
      </c>
      <c r="I128" s="9">
        <v>12062058.890000001</v>
      </c>
      <c r="J128" s="9" t="s">
        <v>3063</v>
      </c>
      <c r="K128" s="4" t="s">
        <v>3314</v>
      </c>
      <c r="M128" s="9">
        <v>12062058.890000001</v>
      </c>
      <c r="N128" s="9" t="s">
        <v>3312</v>
      </c>
      <c r="O128" s="9">
        <v>20220616</v>
      </c>
      <c r="P128" s="9">
        <v>2022</v>
      </c>
      <c r="Q128" s="9">
        <v>2022</v>
      </c>
    </row>
    <row r="129" spans="1:17">
      <c r="A129" s="9" t="s">
        <v>3058</v>
      </c>
      <c r="B129" s="9">
        <v>2</v>
      </c>
      <c r="C129" s="155">
        <v>44713</v>
      </c>
      <c r="D129" s="9">
        <v>0</v>
      </c>
      <c r="E129" s="9">
        <v>0</v>
      </c>
      <c r="F129" s="9" t="s">
        <v>1548</v>
      </c>
      <c r="G129" s="9" t="s">
        <v>3312</v>
      </c>
      <c r="H129" s="9" t="s">
        <v>3313</v>
      </c>
      <c r="I129" s="9">
        <v>3202956.07</v>
      </c>
      <c r="J129" s="9" t="s">
        <v>3063</v>
      </c>
      <c r="K129" s="4" t="s">
        <v>3314</v>
      </c>
      <c r="M129" s="9">
        <v>3202956.07</v>
      </c>
      <c r="N129" s="9" t="s">
        <v>3312</v>
      </c>
      <c r="O129" s="9">
        <v>20220616</v>
      </c>
      <c r="P129" s="9">
        <v>2022</v>
      </c>
      <c r="Q129" s="9">
        <v>2022</v>
      </c>
    </row>
    <row r="130" spans="1:17">
      <c r="A130" s="9" t="s">
        <v>3058</v>
      </c>
      <c r="B130" s="9">
        <v>2</v>
      </c>
      <c r="C130" s="155">
        <v>44713</v>
      </c>
      <c r="D130" s="9">
        <v>0</v>
      </c>
      <c r="E130" s="9">
        <v>0</v>
      </c>
      <c r="F130" s="9" t="s">
        <v>1550</v>
      </c>
      <c r="G130" s="9" t="s">
        <v>3315</v>
      </c>
      <c r="H130" s="9" t="s">
        <v>3316</v>
      </c>
      <c r="I130" s="9">
        <v>15182995.49</v>
      </c>
      <c r="J130" s="9" t="s">
        <v>3063</v>
      </c>
      <c r="K130" s="4" t="s">
        <v>3317</v>
      </c>
      <c r="M130" s="9">
        <v>15182995.49</v>
      </c>
      <c r="N130" s="9" t="s">
        <v>3318</v>
      </c>
      <c r="O130" s="9">
        <v>20220616</v>
      </c>
      <c r="P130" s="9">
        <v>2022</v>
      </c>
      <c r="Q130" s="9">
        <v>2022</v>
      </c>
    </row>
    <row r="131" spans="1:17">
      <c r="A131" s="9" t="s">
        <v>3058</v>
      </c>
      <c r="B131" s="9">
        <v>2</v>
      </c>
      <c r="C131" s="155">
        <v>44713</v>
      </c>
      <c r="D131" s="9">
        <v>0</v>
      </c>
      <c r="E131" s="9">
        <v>0</v>
      </c>
      <c r="F131" s="9" t="s">
        <v>1486</v>
      </c>
      <c r="G131" s="9" t="s">
        <v>3319</v>
      </c>
      <c r="H131" s="9" t="s">
        <v>3320</v>
      </c>
      <c r="I131" s="9">
        <v>5171472.24</v>
      </c>
      <c r="J131" s="9" t="s">
        <v>3063</v>
      </c>
      <c r="K131" s="4" t="s">
        <v>3321</v>
      </c>
      <c r="M131" s="9">
        <v>5171472.24</v>
      </c>
      <c r="N131" s="9" t="s">
        <v>3322</v>
      </c>
      <c r="O131" s="9">
        <v>20220616</v>
      </c>
      <c r="P131" s="9">
        <v>2022</v>
      </c>
      <c r="Q131" s="9">
        <v>2022</v>
      </c>
    </row>
    <row r="132" spans="1:17">
      <c r="A132" s="9" t="s">
        <v>3058</v>
      </c>
      <c r="B132" s="9">
        <v>2</v>
      </c>
      <c r="C132" s="155">
        <v>44713</v>
      </c>
      <c r="D132" s="9" t="s">
        <v>1031</v>
      </c>
      <c r="E132" s="9" t="s">
        <v>1032</v>
      </c>
      <c r="F132" s="9" t="s">
        <v>1202</v>
      </c>
      <c r="G132" s="9" t="s">
        <v>3323</v>
      </c>
      <c r="H132" s="9" t="s">
        <v>3324</v>
      </c>
      <c r="I132" s="9">
        <v>620346.28</v>
      </c>
      <c r="J132" s="9" t="s">
        <v>3063</v>
      </c>
      <c r="K132" s="4" t="s">
        <v>3325</v>
      </c>
      <c r="M132" s="9">
        <v>620346.28</v>
      </c>
      <c r="N132" s="9" t="s">
        <v>3326</v>
      </c>
      <c r="O132" s="9">
        <v>20220616</v>
      </c>
      <c r="P132" s="9">
        <v>2022</v>
      </c>
      <c r="Q132" s="9">
        <v>2022</v>
      </c>
    </row>
    <row r="133" spans="1:17">
      <c r="A133" s="9" t="s">
        <v>3058</v>
      </c>
      <c r="B133" s="9">
        <v>2</v>
      </c>
      <c r="C133" s="155">
        <v>44713</v>
      </c>
      <c r="D133" s="9">
        <v>0</v>
      </c>
      <c r="E133" s="9">
        <v>0</v>
      </c>
      <c r="F133" s="9" t="s">
        <v>1514</v>
      </c>
      <c r="G133" s="9" t="s">
        <v>3327</v>
      </c>
      <c r="H133" s="9" t="s">
        <v>3328</v>
      </c>
      <c r="I133" s="9">
        <v>27358367.579999998</v>
      </c>
      <c r="J133" s="9" t="s">
        <v>3063</v>
      </c>
      <c r="K133" s="4" t="s">
        <v>3329</v>
      </c>
      <c r="M133" s="9">
        <v>27358367.579999998</v>
      </c>
      <c r="N133" s="9" t="s">
        <v>3327</v>
      </c>
      <c r="O133" s="9">
        <v>20220616</v>
      </c>
      <c r="P133" s="9">
        <v>2022</v>
      </c>
      <c r="Q133" s="9">
        <v>2022</v>
      </c>
    </row>
    <row r="134" spans="1:17">
      <c r="A134" s="9" t="s">
        <v>3058</v>
      </c>
      <c r="B134" s="9">
        <v>2</v>
      </c>
      <c r="C134" s="155">
        <v>44713</v>
      </c>
      <c r="D134" s="9">
        <v>0</v>
      </c>
      <c r="E134" s="9">
        <v>0</v>
      </c>
      <c r="F134" s="9" t="s">
        <v>1189</v>
      </c>
      <c r="G134" s="9" t="s">
        <v>3330</v>
      </c>
      <c r="H134" s="9" t="s">
        <v>3331</v>
      </c>
      <c r="I134" s="9">
        <v>33731407</v>
      </c>
      <c r="J134" s="9" t="s">
        <v>3063</v>
      </c>
      <c r="K134" s="4" t="s">
        <v>3332</v>
      </c>
      <c r="M134" s="9">
        <v>33731407</v>
      </c>
      <c r="N134" s="9" t="s">
        <v>3330</v>
      </c>
      <c r="O134" s="9">
        <v>20220616</v>
      </c>
      <c r="P134" s="9">
        <v>2022</v>
      </c>
      <c r="Q134" s="9">
        <v>2022</v>
      </c>
    </row>
    <row r="135" spans="1:17">
      <c r="A135" s="9" t="s">
        <v>3058</v>
      </c>
      <c r="B135" s="9">
        <v>2</v>
      </c>
      <c r="C135" s="155">
        <v>44713</v>
      </c>
      <c r="D135" s="9">
        <v>0</v>
      </c>
      <c r="E135" s="9">
        <v>0</v>
      </c>
      <c r="F135" s="9" t="s">
        <v>1526</v>
      </c>
      <c r="G135" s="9" t="s">
        <v>3073</v>
      </c>
      <c r="H135" s="9" t="s">
        <v>3333</v>
      </c>
      <c r="I135" s="9">
        <v>12676756</v>
      </c>
      <c r="J135" s="9" t="s">
        <v>3063</v>
      </c>
      <c r="K135" s="4" t="s">
        <v>3334</v>
      </c>
      <c r="M135" s="9">
        <v>12676756</v>
      </c>
      <c r="N135" s="9" t="s">
        <v>3073</v>
      </c>
      <c r="O135" s="9">
        <v>20220616</v>
      </c>
      <c r="P135" s="9">
        <v>2022</v>
      </c>
      <c r="Q135" s="9">
        <v>2022</v>
      </c>
    </row>
    <row r="136" spans="1:17">
      <c r="A136" s="9" t="s">
        <v>3058</v>
      </c>
      <c r="B136" s="9">
        <v>2</v>
      </c>
      <c r="C136" s="155">
        <v>44713</v>
      </c>
      <c r="D136" s="9">
        <v>0</v>
      </c>
      <c r="E136" s="9">
        <v>0</v>
      </c>
      <c r="F136" s="9" t="s">
        <v>1202</v>
      </c>
      <c r="G136" s="9" t="s">
        <v>3335</v>
      </c>
      <c r="H136" s="9" t="s">
        <v>3335</v>
      </c>
      <c r="I136" s="9">
        <v>64219302.219999999</v>
      </c>
      <c r="J136" s="9" t="s">
        <v>3063</v>
      </c>
      <c r="K136" s="4" t="s">
        <v>3336</v>
      </c>
      <c r="M136" s="9">
        <v>64219302.219999999</v>
      </c>
      <c r="N136" s="9" t="s">
        <v>3335</v>
      </c>
      <c r="O136" s="9">
        <v>20220616</v>
      </c>
      <c r="P136" s="9">
        <v>2022</v>
      </c>
      <c r="Q136" s="9">
        <v>2022</v>
      </c>
    </row>
    <row r="137" spans="1:17">
      <c r="A137" s="9" t="s">
        <v>3058</v>
      </c>
      <c r="B137" s="9">
        <v>2</v>
      </c>
      <c r="C137" s="155">
        <v>44713</v>
      </c>
      <c r="D137" s="9" t="s">
        <v>10</v>
      </c>
      <c r="E137" s="9" t="s">
        <v>11</v>
      </c>
      <c r="F137" s="9" t="s">
        <v>227</v>
      </c>
      <c r="G137" s="9" t="s">
        <v>2884</v>
      </c>
      <c r="H137" s="9" t="s">
        <v>3337</v>
      </c>
      <c r="I137" s="9">
        <v>6112.24</v>
      </c>
      <c r="J137" s="9" t="s">
        <v>3063</v>
      </c>
      <c r="K137" s="4" t="s">
        <v>3338</v>
      </c>
      <c r="M137" s="9">
        <v>6112.24</v>
      </c>
      <c r="N137" s="9" t="s">
        <v>3060</v>
      </c>
      <c r="O137" s="9">
        <v>20220616</v>
      </c>
      <c r="P137" s="9">
        <v>2022</v>
      </c>
      <c r="Q137" s="9">
        <v>2022</v>
      </c>
    </row>
    <row r="138" spans="1:17">
      <c r="A138" s="9" t="s">
        <v>3058</v>
      </c>
      <c r="B138" s="9">
        <v>2</v>
      </c>
      <c r="C138" s="155">
        <v>44713</v>
      </c>
      <c r="D138" s="9">
        <v>0</v>
      </c>
      <c r="E138" s="9">
        <v>0</v>
      </c>
      <c r="F138" s="9" t="s">
        <v>1514</v>
      </c>
      <c r="G138" s="9" t="s">
        <v>3339</v>
      </c>
      <c r="H138" s="9" t="s">
        <v>3340</v>
      </c>
      <c r="I138" s="9">
        <v>11950098.65</v>
      </c>
      <c r="J138" s="9" t="s">
        <v>3063</v>
      </c>
      <c r="K138" s="4" t="s">
        <v>3341</v>
      </c>
      <c r="M138" s="9">
        <v>11950098.65</v>
      </c>
      <c r="N138" s="9" t="s">
        <v>3342</v>
      </c>
      <c r="O138" s="9">
        <v>20220616</v>
      </c>
      <c r="P138" s="9">
        <v>2022</v>
      </c>
      <c r="Q138" s="9">
        <v>2022</v>
      </c>
    </row>
    <row r="139" spans="1:17">
      <c r="A139" s="9" t="s">
        <v>3058</v>
      </c>
      <c r="B139" s="9">
        <v>2</v>
      </c>
      <c r="C139" s="155">
        <v>44713</v>
      </c>
      <c r="D139" s="9">
        <v>0</v>
      </c>
      <c r="E139" s="9">
        <v>0</v>
      </c>
      <c r="F139" s="9" t="s">
        <v>1365</v>
      </c>
      <c r="G139" s="9" t="s">
        <v>3339</v>
      </c>
      <c r="H139" s="9" t="s">
        <v>3340</v>
      </c>
      <c r="I139" s="9">
        <v>1901021.32</v>
      </c>
      <c r="J139" s="9" t="s">
        <v>3063</v>
      </c>
      <c r="K139" s="4" t="s">
        <v>3341</v>
      </c>
      <c r="M139" s="9">
        <v>1901021.32</v>
      </c>
      <c r="N139" s="9" t="s">
        <v>3342</v>
      </c>
      <c r="O139" s="9">
        <v>20220616</v>
      </c>
      <c r="P139" s="9">
        <v>2022</v>
      </c>
      <c r="Q139" s="9">
        <v>2022</v>
      </c>
    </row>
    <row r="140" spans="1:17">
      <c r="A140" s="9" t="s">
        <v>3058</v>
      </c>
      <c r="B140" s="9">
        <v>2</v>
      </c>
      <c r="C140" s="155">
        <v>44713</v>
      </c>
      <c r="D140" s="9">
        <v>0</v>
      </c>
      <c r="E140" s="9">
        <v>0</v>
      </c>
      <c r="F140" s="9" t="s">
        <v>223</v>
      </c>
      <c r="G140" s="9" t="s">
        <v>3339</v>
      </c>
      <c r="H140" s="9" t="s">
        <v>3340</v>
      </c>
      <c r="I140" s="9">
        <v>1625126.38</v>
      </c>
      <c r="J140" s="9" t="s">
        <v>3063</v>
      </c>
      <c r="K140" s="4" t="s">
        <v>3341</v>
      </c>
      <c r="M140" s="9">
        <v>1625126.38</v>
      </c>
      <c r="N140" s="9" t="s">
        <v>3342</v>
      </c>
      <c r="O140" s="9">
        <v>20220616</v>
      </c>
      <c r="P140" s="9">
        <v>2022</v>
      </c>
      <c r="Q140" s="9">
        <v>2022</v>
      </c>
    </row>
    <row r="141" spans="1:17">
      <c r="A141" s="9" t="s">
        <v>3058</v>
      </c>
      <c r="B141" s="9">
        <v>2</v>
      </c>
      <c r="C141" s="155">
        <v>44713</v>
      </c>
      <c r="D141" s="9">
        <v>0</v>
      </c>
      <c r="E141" s="9">
        <v>0</v>
      </c>
      <c r="F141" s="9" t="s">
        <v>310</v>
      </c>
      <c r="G141" s="9" t="s">
        <v>3343</v>
      </c>
      <c r="H141" s="9" t="s">
        <v>3344</v>
      </c>
      <c r="I141" s="9">
        <v>4909532.79</v>
      </c>
      <c r="J141" s="9" t="s">
        <v>3063</v>
      </c>
      <c r="K141" s="4" t="s">
        <v>3345</v>
      </c>
      <c r="M141" s="9">
        <v>4909532.79</v>
      </c>
      <c r="N141" s="9" t="s">
        <v>3343</v>
      </c>
      <c r="O141" s="9">
        <v>20220616</v>
      </c>
      <c r="P141" s="9">
        <v>2022</v>
      </c>
      <c r="Q141" s="9">
        <v>2022</v>
      </c>
    </row>
    <row r="142" spans="1:17">
      <c r="A142" s="9" t="s">
        <v>3058</v>
      </c>
      <c r="B142" s="9">
        <v>2</v>
      </c>
      <c r="C142" s="155">
        <v>44713</v>
      </c>
      <c r="D142" s="9">
        <v>0</v>
      </c>
      <c r="E142" s="9">
        <v>0</v>
      </c>
      <c r="F142" s="9" t="s">
        <v>223</v>
      </c>
      <c r="G142" s="9" t="s">
        <v>3346</v>
      </c>
      <c r="H142" s="9" t="s">
        <v>3347</v>
      </c>
      <c r="I142" s="9">
        <v>43781914.990000002</v>
      </c>
      <c r="J142" s="9" t="s">
        <v>3063</v>
      </c>
      <c r="K142" s="4" t="s">
        <v>3348</v>
      </c>
      <c r="M142" s="9">
        <v>43781914.990000002</v>
      </c>
      <c r="N142" s="9" t="s">
        <v>3346</v>
      </c>
      <c r="O142" s="9">
        <v>20220616</v>
      </c>
      <c r="P142" s="9">
        <v>2022</v>
      </c>
      <c r="Q142" s="9">
        <v>2022</v>
      </c>
    </row>
    <row r="143" spans="1:17">
      <c r="A143" s="9" t="s">
        <v>3058</v>
      </c>
      <c r="B143" s="9">
        <v>2</v>
      </c>
      <c r="C143" s="155">
        <v>44713</v>
      </c>
      <c r="D143" s="9">
        <v>0</v>
      </c>
      <c r="E143" s="9">
        <v>0</v>
      </c>
      <c r="F143" s="9" t="s">
        <v>223</v>
      </c>
      <c r="G143" s="9" t="s">
        <v>3346</v>
      </c>
      <c r="H143" s="9" t="s">
        <v>3349</v>
      </c>
      <c r="I143" s="9">
        <v>99999999.989999995</v>
      </c>
      <c r="J143" s="9" t="s">
        <v>3063</v>
      </c>
      <c r="K143" s="4" t="s">
        <v>3348</v>
      </c>
      <c r="M143" s="9">
        <v>99999999.989999995</v>
      </c>
      <c r="N143" s="9" t="s">
        <v>3346</v>
      </c>
      <c r="O143" s="9">
        <v>20220616</v>
      </c>
      <c r="P143" s="9">
        <v>2022</v>
      </c>
      <c r="Q143" s="9">
        <v>2022</v>
      </c>
    </row>
    <row r="144" spans="1:17" ht="30">
      <c r="A144" s="9" t="s">
        <v>3058</v>
      </c>
      <c r="B144" s="9">
        <v>2</v>
      </c>
      <c r="C144" s="155">
        <v>44713</v>
      </c>
      <c r="D144" s="9">
        <v>0</v>
      </c>
      <c r="E144" s="9">
        <v>0</v>
      </c>
      <c r="F144" s="9" t="s">
        <v>1365</v>
      </c>
      <c r="G144" s="9" t="s">
        <v>3350</v>
      </c>
      <c r="H144" s="7" t="s">
        <v>3351</v>
      </c>
      <c r="I144" s="9">
        <v>90000000</v>
      </c>
      <c r="J144" s="9" t="s">
        <v>3063</v>
      </c>
      <c r="K144" s="4" t="s">
        <v>3352</v>
      </c>
      <c r="M144" s="9">
        <v>90000000</v>
      </c>
      <c r="N144" s="9" t="s">
        <v>3350</v>
      </c>
      <c r="O144" s="9">
        <v>20220616</v>
      </c>
      <c r="P144" s="9">
        <v>2022</v>
      </c>
      <c r="Q144" s="9">
        <v>2022</v>
      </c>
    </row>
    <row r="145" spans="1:17" ht="30">
      <c r="A145" s="9" t="s">
        <v>3058</v>
      </c>
      <c r="B145" s="9">
        <v>2</v>
      </c>
      <c r="C145" s="155">
        <v>44713</v>
      </c>
      <c r="D145" s="9">
        <v>0</v>
      </c>
      <c r="E145" s="9">
        <v>0</v>
      </c>
      <c r="F145" s="9" t="s">
        <v>1365</v>
      </c>
      <c r="G145" s="9" t="s">
        <v>3350</v>
      </c>
      <c r="H145" s="7" t="s">
        <v>3351</v>
      </c>
      <c r="I145" s="9">
        <v>36737242.630000003</v>
      </c>
      <c r="J145" s="9" t="s">
        <v>3063</v>
      </c>
      <c r="K145" s="4" t="s">
        <v>3352</v>
      </c>
      <c r="M145" s="9">
        <v>36737242.630000003</v>
      </c>
      <c r="N145" s="9" t="s">
        <v>3350</v>
      </c>
      <c r="O145" s="9">
        <v>20220616</v>
      </c>
      <c r="P145" s="9">
        <v>2022</v>
      </c>
      <c r="Q145" s="9">
        <v>2022</v>
      </c>
    </row>
    <row r="146" spans="1:17" ht="30">
      <c r="A146" s="9" t="s">
        <v>3058</v>
      </c>
      <c r="B146" s="9">
        <v>2</v>
      </c>
      <c r="C146" s="155">
        <v>44713</v>
      </c>
      <c r="D146" s="9">
        <v>0</v>
      </c>
      <c r="E146" s="9">
        <v>0</v>
      </c>
      <c r="F146" s="9" t="s">
        <v>1486</v>
      </c>
      <c r="G146" s="9" t="s">
        <v>3350</v>
      </c>
      <c r="H146" s="7" t="s">
        <v>3351</v>
      </c>
      <c r="I146" s="9">
        <v>301407.15000000002</v>
      </c>
      <c r="J146" s="9" t="s">
        <v>3063</v>
      </c>
      <c r="K146" s="4" t="s">
        <v>3352</v>
      </c>
      <c r="M146" s="9">
        <v>301407.15000000002</v>
      </c>
      <c r="N146" s="9" t="s">
        <v>3350</v>
      </c>
      <c r="O146" s="9">
        <v>20220616</v>
      </c>
      <c r="P146" s="9">
        <v>2022</v>
      </c>
      <c r="Q146" s="9">
        <v>2022</v>
      </c>
    </row>
    <row r="147" spans="1:17" ht="30">
      <c r="A147" s="9" t="s">
        <v>3058</v>
      </c>
      <c r="B147" s="9">
        <v>2</v>
      </c>
      <c r="C147" s="155">
        <v>44713</v>
      </c>
      <c r="D147" s="9">
        <v>0</v>
      </c>
      <c r="E147" s="9">
        <v>0</v>
      </c>
      <c r="F147" s="9" t="s">
        <v>1526</v>
      </c>
      <c r="G147" s="9" t="s">
        <v>3353</v>
      </c>
      <c r="H147" s="7" t="s">
        <v>3354</v>
      </c>
      <c r="I147" s="9">
        <v>1979298.39</v>
      </c>
      <c r="J147" s="9" t="s">
        <v>3063</v>
      </c>
      <c r="K147" s="4" t="s">
        <v>3355</v>
      </c>
      <c r="M147" s="9">
        <v>1979298.39</v>
      </c>
      <c r="N147" s="9" t="s">
        <v>3353</v>
      </c>
      <c r="O147" s="9">
        <v>20220616</v>
      </c>
      <c r="P147" s="9">
        <v>2022</v>
      </c>
      <c r="Q147" s="9">
        <v>2022</v>
      </c>
    </row>
    <row r="148" spans="1:17" ht="30">
      <c r="A148" s="9" t="s">
        <v>3058</v>
      </c>
      <c r="B148" s="9">
        <v>2</v>
      </c>
      <c r="C148" s="155">
        <v>44713</v>
      </c>
      <c r="D148" s="9">
        <v>0</v>
      </c>
      <c r="E148" s="9">
        <v>0</v>
      </c>
      <c r="F148" s="9" t="s">
        <v>1514</v>
      </c>
      <c r="G148" s="9" t="s">
        <v>3353</v>
      </c>
      <c r="H148" s="7" t="s">
        <v>3356</v>
      </c>
      <c r="I148" s="9">
        <v>14698163.039999999</v>
      </c>
      <c r="J148" s="9" t="s">
        <v>3063</v>
      </c>
      <c r="K148" s="4" t="s">
        <v>3355</v>
      </c>
      <c r="M148" s="9">
        <v>14698163.039999999</v>
      </c>
      <c r="N148" s="9" t="s">
        <v>3353</v>
      </c>
      <c r="O148" s="9">
        <v>20220616</v>
      </c>
      <c r="P148" s="9">
        <v>2022</v>
      </c>
      <c r="Q148" s="9">
        <v>2022</v>
      </c>
    </row>
    <row r="149" spans="1:17">
      <c r="A149" s="9" t="s">
        <v>3058</v>
      </c>
      <c r="B149" s="9">
        <v>2</v>
      </c>
      <c r="C149" s="155">
        <v>44713</v>
      </c>
      <c r="D149" s="9">
        <v>0</v>
      </c>
      <c r="E149" s="9">
        <v>0</v>
      </c>
      <c r="F149" s="9" t="s">
        <v>310</v>
      </c>
      <c r="G149" s="9" t="s">
        <v>3357</v>
      </c>
      <c r="H149" s="9" t="s">
        <v>3357</v>
      </c>
      <c r="I149" s="9">
        <v>1459089.95</v>
      </c>
      <c r="J149" s="9" t="s">
        <v>3215</v>
      </c>
      <c r="K149" s="4" t="s">
        <v>3358</v>
      </c>
      <c r="M149" s="9">
        <v>1459089.95</v>
      </c>
      <c r="N149" s="9" t="s">
        <v>3357</v>
      </c>
      <c r="O149" s="9">
        <v>20220614</v>
      </c>
      <c r="P149" s="9">
        <v>2022</v>
      </c>
      <c r="Q149" s="9">
        <v>2022</v>
      </c>
    </row>
    <row r="150" spans="1:17" ht="60">
      <c r="A150" s="9" t="s">
        <v>3058</v>
      </c>
      <c r="B150" s="9">
        <v>2</v>
      </c>
      <c r="C150" s="155">
        <v>44713</v>
      </c>
      <c r="D150" s="9" t="s">
        <v>847</v>
      </c>
      <c r="E150" s="9" t="s">
        <v>848</v>
      </c>
      <c r="F150" s="9" t="s">
        <v>1550</v>
      </c>
      <c r="G150" s="7" t="s">
        <v>2854</v>
      </c>
      <c r="H150" s="9" t="s">
        <v>3357</v>
      </c>
      <c r="I150" s="9">
        <v>503818.64</v>
      </c>
      <c r="J150" s="9" t="s">
        <v>3215</v>
      </c>
      <c r="K150" s="4" t="s">
        <v>3358</v>
      </c>
      <c r="M150" s="9">
        <v>503818.64</v>
      </c>
      <c r="N150" s="9" t="s">
        <v>3357</v>
      </c>
      <c r="O150" s="9">
        <v>20220614</v>
      </c>
      <c r="P150" s="9">
        <v>2022</v>
      </c>
      <c r="Q150" s="9">
        <v>2022</v>
      </c>
    </row>
    <row r="151" spans="1:17">
      <c r="A151" s="9" t="s">
        <v>3058</v>
      </c>
      <c r="B151" s="9">
        <v>2</v>
      </c>
      <c r="C151" s="155">
        <v>44713</v>
      </c>
      <c r="D151" s="9">
        <v>0</v>
      </c>
      <c r="E151" s="9">
        <v>0</v>
      </c>
      <c r="F151" s="9" t="s">
        <v>310</v>
      </c>
      <c r="G151" s="9" t="s">
        <v>3359</v>
      </c>
      <c r="H151" s="9" t="s">
        <v>3360</v>
      </c>
      <c r="I151" s="9">
        <v>1372071.21</v>
      </c>
      <c r="J151" s="9" t="s">
        <v>3063</v>
      </c>
      <c r="K151" s="4" t="s">
        <v>3361</v>
      </c>
      <c r="M151" s="9">
        <v>1372071.21</v>
      </c>
      <c r="N151" s="9" t="s">
        <v>3362</v>
      </c>
      <c r="O151" s="9">
        <v>20220616</v>
      </c>
      <c r="P151" s="9">
        <v>2022</v>
      </c>
      <c r="Q151" s="9">
        <v>2022</v>
      </c>
    </row>
    <row r="152" spans="1:17">
      <c r="A152" s="9" t="s">
        <v>3058</v>
      </c>
      <c r="B152" s="9">
        <v>2</v>
      </c>
      <c r="C152" s="155">
        <v>44713</v>
      </c>
      <c r="D152" s="9">
        <v>0</v>
      </c>
      <c r="E152" s="9">
        <v>0</v>
      </c>
      <c r="F152" s="9" t="s">
        <v>223</v>
      </c>
      <c r="G152" s="9" t="s">
        <v>3359</v>
      </c>
      <c r="H152" s="9" t="s">
        <v>3360</v>
      </c>
      <c r="I152" s="9">
        <v>1296847.18</v>
      </c>
      <c r="J152" s="9" t="s">
        <v>3063</v>
      </c>
      <c r="K152" s="4" t="s">
        <v>3361</v>
      </c>
      <c r="M152" s="9">
        <v>1296847.18</v>
      </c>
      <c r="N152" s="9" t="s">
        <v>3362</v>
      </c>
      <c r="O152" s="9">
        <v>20220616</v>
      </c>
      <c r="P152" s="9">
        <v>2022</v>
      </c>
      <c r="Q152" s="9">
        <v>2022</v>
      </c>
    </row>
    <row r="153" spans="1:17">
      <c r="A153" s="9" t="s">
        <v>3058</v>
      </c>
      <c r="B153" s="9">
        <v>2</v>
      </c>
      <c r="C153" s="155">
        <v>44713</v>
      </c>
      <c r="D153" s="9">
        <v>0</v>
      </c>
      <c r="E153" s="9">
        <v>0</v>
      </c>
      <c r="F153" s="9" t="s">
        <v>1486</v>
      </c>
      <c r="G153" s="9" t="s">
        <v>3359</v>
      </c>
      <c r="H153" s="9" t="s">
        <v>3360</v>
      </c>
      <c r="I153" s="9">
        <v>299739.89</v>
      </c>
      <c r="J153" s="9" t="s">
        <v>3063</v>
      </c>
      <c r="K153" s="4" t="s">
        <v>3361</v>
      </c>
      <c r="M153" s="9">
        <v>299739.89</v>
      </c>
      <c r="N153" s="9" t="s">
        <v>3362</v>
      </c>
      <c r="O153" s="9">
        <v>20220616</v>
      </c>
      <c r="P153" s="9">
        <v>2022</v>
      </c>
      <c r="Q153" s="9">
        <v>2022</v>
      </c>
    </row>
    <row r="154" spans="1:17">
      <c r="A154" s="9" t="s">
        <v>3058</v>
      </c>
      <c r="B154" s="9">
        <v>2</v>
      </c>
      <c r="C154" s="155">
        <v>44713</v>
      </c>
      <c r="D154" s="9">
        <v>0</v>
      </c>
      <c r="E154" s="9">
        <v>0</v>
      </c>
      <c r="F154" s="9" t="s">
        <v>227</v>
      </c>
      <c r="G154" s="9" t="s">
        <v>3363</v>
      </c>
      <c r="H154" s="9" t="s">
        <v>3364</v>
      </c>
      <c r="I154" s="9">
        <v>6373505</v>
      </c>
      <c r="J154" s="9" t="s">
        <v>3063</v>
      </c>
      <c r="K154" s="4" t="s">
        <v>3365</v>
      </c>
      <c r="M154" s="9">
        <v>6373505</v>
      </c>
      <c r="N154" s="9" t="s">
        <v>3363</v>
      </c>
      <c r="O154" s="9">
        <v>20220616</v>
      </c>
      <c r="P154" s="9">
        <v>2022</v>
      </c>
      <c r="Q154" s="9">
        <v>2022</v>
      </c>
    </row>
    <row r="155" spans="1:17">
      <c r="A155" s="9" t="s">
        <v>3058</v>
      </c>
      <c r="B155" s="9">
        <v>2</v>
      </c>
      <c r="C155" s="155">
        <v>44713</v>
      </c>
      <c r="D155" s="9">
        <v>0</v>
      </c>
      <c r="E155" s="9">
        <v>0</v>
      </c>
      <c r="F155" s="9" t="s">
        <v>227</v>
      </c>
      <c r="G155" s="9" t="s">
        <v>3366</v>
      </c>
      <c r="H155" s="9" t="s">
        <v>3367</v>
      </c>
      <c r="I155" s="9">
        <v>6264305</v>
      </c>
      <c r="J155" s="9" t="s">
        <v>3063</v>
      </c>
      <c r="K155" s="4" t="s">
        <v>3368</v>
      </c>
      <c r="M155" s="9">
        <v>6264305</v>
      </c>
      <c r="N155" s="9" t="s">
        <v>3366</v>
      </c>
      <c r="O155" s="9">
        <v>20220616</v>
      </c>
      <c r="P155" s="9">
        <v>2022</v>
      </c>
      <c r="Q155" s="9">
        <v>2022</v>
      </c>
    </row>
    <row r="156" spans="1:17" ht="30">
      <c r="A156" s="9" t="s">
        <v>3058</v>
      </c>
      <c r="B156" s="9">
        <v>2</v>
      </c>
      <c r="C156" s="155">
        <v>44713</v>
      </c>
      <c r="D156" s="9" t="s">
        <v>1203</v>
      </c>
      <c r="E156" s="9" t="s">
        <v>1204</v>
      </c>
      <c r="F156" s="9" t="s">
        <v>487</v>
      </c>
      <c r="G156" s="9" t="s">
        <v>2822</v>
      </c>
      <c r="H156" s="7" t="s">
        <v>3369</v>
      </c>
      <c r="I156" s="9">
        <v>10209958.02</v>
      </c>
      <c r="J156" s="9" t="s">
        <v>3063</v>
      </c>
      <c r="K156" s="4" t="s">
        <v>3370</v>
      </c>
      <c r="M156" s="9">
        <v>10209958.02</v>
      </c>
      <c r="N156" s="9" t="s">
        <v>3060</v>
      </c>
      <c r="O156" s="9">
        <v>20220616</v>
      </c>
      <c r="P156" s="9">
        <v>2022</v>
      </c>
      <c r="Q156" s="9">
        <v>2022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8A33-699F-4601-83DF-4D98681588EC}">
  <dimension ref="A1:M584"/>
  <sheetViews>
    <sheetView workbookViewId="0"/>
  </sheetViews>
  <sheetFormatPr defaultColWidth="8.796875" defaultRowHeight="15"/>
  <cols>
    <col min="1" max="1" width="11.59765625" style="9" customWidth="1"/>
    <col min="2" max="2" width="13.69921875" style="9" bestFit="1" customWidth="1"/>
    <col min="3" max="3" width="24.296875" style="9" bestFit="1" customWidth="1"/>
    <col min="4" max="4" width="10.69921875" style="9" bestFit="1" customWidth="1"/>
    <col min="5" max="5" width="10.69921875" style="14" customWidth="1"/>
    <col min="6" max="6" width="13" style="14" customWidth="1"/>
    <col min="7" max="7" width="10.69921875" style="9" customWidth="1"/>
    <col min="8" max="8" width="66.09765625" style="9" customWidth="1"/>
    <col min="9" max="9" width="10.69921875" style="9" bestFit="1" customWidth="1"/>
    <col min="10" max="10" width="11.59765625" style="9" bestFit="1" customWidth="1"/>
    <col min="11" max="11" width="13.5" style="9" bestFit="1" customWidth="1"/>
    <col min="12" max="13" width="13.5" style="9" customWidth="1"/>
    <col min="14" max="16384" width="8.796875" style="9"/>
  </cols>
  <sheetData>
    <row r="1" spans="1:13" ht="30">
      <c r="A1" s="16" t="s">
        <v>2354</v>
      </c>
      <c r="B1" s="1" t="s">
        <v>3</v>
      </c>
      <c r="C1" s="1" t="s">
        <v>2282</v>
      </c>
      <c r="D1" s="5" t="s">
        <v>1</v>
      </c>
      <c r="E1" s="12" t="s">
        <v>1760</v>
      </c>
      <c r="F1" s="12"/>
      <c r="G1" s="5" t="s">
        <v>0</v>
      </c>
      <c r="H1" s="1" t="s">
        <v>2281</v>
      </c>
      <c r="I1" s="13" t="s">
        <v>2399</v>
      </c>
      <c r="J1" s="13" t="s">
        <v>2400</v>
      </c>
      <c r="K1" s="13" t="s">
        <v>2401</v>
      </c>
      <c r="L1" s="17" t="s">
        <v>2402</v>
      </c>
      <c r="M1" s="17" t="s">
        <v>2403</v>
      </c>
    </row>
    <row r="2" spans="1:13">
      <c r="A2" s="9" t="s">
        <v>70</v>
      </c>
      <c r="B2" s="9" t="s">
        <v>487</v>
      </c>
      <c r="C2" s="9" t="s">
        <v>1594</v>
      </c>
      <c r="D2" s="4" t="s">
        <v>71</v>
      </c>
      <c r="E2" s="14" t="s">
        <v>71</v>
      </c>
      <c r="F2" s="14" t="s">
        <v>72</v>
      </c>
      <c r="G2" s="14" t="s">
        <v>70</v>
      </c>
      <c r="H2" s="9" t="s">
        <v>2277</v>
      </c>
      <c r="I2" s="3">
        <v>76988806.57060647</v>
      </c>
      <c r="J2" s="3">
        <v>241830.0694236063</v>
      </c>
      <c r="K2" s="3">
        <f>I2+J2</f>
        <v>77230636.640030071</v>
      </c>
      <c r="L2" s="3">
        <f>IFERROR(INDEX('CHIRP Payment Calc'!K:K,MATCH(A:A,'CHIRP Payment Calc'!A:A,0)),0)</f>
        <v>96716477.257278591</v>
      </c>
      <c r="M2" s="3">
        <f>K2-L2</f>
        <v>-19485840.61724852</v>
      </c>
    </row>
    <row r="3" spans="1:13">
      <c r="A3" s="9" t="s">
        <v>1339</v>
      </c>
      <c r="B3" s="9" t="s">
        <v>487</v>
      </c>
      <c r="C3" s="9" t="s">
        <v>1801</v>
      </c>
      <c r="D3" s="4" t="s">
        <v>1340</v>
      </c>
      <c r="E3" s="14" t="s">
        <v>1340</v>
      </c>
      <c r="F3" s="14" t="s">
        <v>1341</v>
      </c>
      <c r="G3" s="14" t="s">
        <v>1339</v>
      </c>
      <c r="H3" s="9" t="s">
        <v>2276</v>
      </c>
      <c r="I3" s="3">
        <v>3570795.3953771899</v>
      </c>
      <c r="J3" s="3">
        <v>0</v>
      </c>
      <c r="K3" s="3">
        <f t="shared" ref="K3:K7" si="0">I3+J3</f>
        <v>3570795.3953771899</v>
      </c>
      <c r="L3" s="3">
        <f>IFERROR(INDEX('CHIRP Payment Calc'!K:K,MATCH(A:A,'CHIRP Payment Calc'!A:A,0)),0)</f>
        <v>4458940.906364847</v>
      </c>
      <c r="M3" s="3">
        <f t="shared" ref="M3:M7" si="1">K3-L3</f>
        <v>-888145.51098765712</v>
      </c>
    </row>
    <row r="4" spans="1:13">
      <c r="A4" s="9" t="s">
        <v>1306</v>
      </c>
      <c r="B4" s="9" t="s">
        <v>487</v>
      </c>
      <c r="C4" s="9" t="s">
        <v>1801</v>
      </c>
      <c r="D4" s="4" t="s">
        <v>1307</v>
      </c>
      <c r="E4" s="14" t="s">
        <v>1307</v>
      </c>
      <c r="F4" s="14" t="s">
        <v>1308</v>
      </c>
      <c r="G4" s="14" t="s">
        <v>1306</v>
      </c>
      <c r="H4" s="9" t="s">
        <v>2275</v>
      </c>
      <c r="I4" s="3">
        <v>3799315.0749900136</v>
      </c>
      <c r="J4" s="3">
        <v>0</v>
      </c>
      <c r="K4" s="3">
        <f t="shared" si="0"/>
        <v>3799315.0749900136</v>
      </c>
      <c r="L4" s="3">
        <f>IFERROR(INDEX('CHIRP Payment Calc'!K:K,MATCH(A:A,'CHIRP Payment Calc'!A:A,0)),0)</f>
        <v>5178829.9501364185</v>
      </c>
      <c r="M4" s="3">
        <f t="shared" si="1"/>
        <v>-1379514.8751464048</v>
      </c>
    </row>
    <row r="5" spans="1:13">
      <c r="A5" s="9" t="s">
        <v>1279</v>
      </c>
      <c r="B5" s="9" t="s">
        <v>487</v>
      </c>
      <c r="C5" s="9" t="s">
        <v>1553</v>
      </c>
      <c r="D5" s="4" t="s">
        <v>1280</v>
      </c>
      <c r="E5" s="14" t="s">
        <v>1280</v>
      </c>
      <c r="F5" s="14" t="s">
        <v>1281</v>
      </c>
      <c r="G5" s="14" t="s">
        <v>1279</v>
      </c>
      <c r="H5" s="9" t="s">
        <v>2274</v>
      </c>
      <c r="I5" s="3">
        <v>3117894.8719757926</v>
      </c>
      <c r="J5" s="3">
        <v>1179917.5109527586</v>
      </c>
      <c r="K5" s="3">
        <f t="shared" si="0"/>
        <v>4297812.3829285512</v>
      </c>
      <c r="L5" s="3">
        <f>IFERROR(INDEX('CHIRP Payment Calc'!K:K,MATCH(A:A,'CHIRP Payment Calc'!A:A,0)),0)</f>
        <v>6184166.9116612468</v>
      </c>
      <c r="M5" s="3">
        <f t="shared" si="1"/>
        <v>-1886354.5287326956</v>
      </c>
    </row>
    <row r="6" spans="1:13">
      <c r="A6" s="9" t="s">
        <v>868</v>
      </c>
      <c r="B6" s="9" t="s">
        <v>487</v>
      </c>
      <c r="C6" s="9" t="s">
        <v>222</v>
      </c>
      <c r="D6" s="4" t="s">
        <v>869</v>
      </c>
      <c r="E6" s="14" t="s">
        <v>869</v>
      </c>
      <c r="F6" s="14" t="s">
        <v>870</v>
      </c>
      <c r="G6" s="14" t="s">
        <v>868</v>
      </c>
      <c r="H6" s="9" t="s">
        <v>1658</v>
      </c>
      <c r="I6" s="3">
        <v>65850493.863207608</v>
      </c>
      <c r="J6" s="3">
        <v>28679381.649513371</v>
      </c>
      <c r="K6" s="3">
        <f t="shared" si="0"/>
        <v>94529875.512720972</v>
      </c>
      <c r="L6" s="3">
        <f>IFERROR(INDEX('CHIRP Payment Calc'!K:K,MATCH(A:A,'CHIRP Payment Calc'!A:A,0)),0)</f>
        <v>115158233.54453936</v>
      </c>
      <c r="M6" s="3">
        <f t="shared" si="1"/>
        <v>-20628358.03181839</v>
      </c>
    </row>
    <row r="7" spans="1:13">
      <c r="A7" s="9" t="s">
        <v>61</v>
      </c>
      <c r="B7" s="9" t="s">
        <v>487</v>
      </c>
      <c r="C7" s="9" t="s">
        <v>222</v>
      </c>
      <c r="D7" s="4" t="s">
        <v>62</v>
      </c>
      <c r="E7" s="14" t="s">
        <v>62</v>
      </c>
      <c r="F7" s="14" t="s">
        <v>63</v>
      </c>
      <c r="G7" s="14" t="s">
        <v>61</v>
      </c>
      <c r="H7" s="9" t="s">
        <v>2273</v>
      </c>
      <c r="I7" s="3">
        <v>6504082.1393506192</v>
      </c>
      <c r="J7" s="3">
        <v>5384755.01952135</v>
      </c>
      <c r="K7" s="3">
        <f t="shared" si="0"/>
        <v>11888837.158871969</v>
      </c>
      <c r="L7" s="3">
        <f>IFERROR(INDEX('CHIRP Payment Calc'!K:K,MATCH(A:A,'CHIRP Payment Calc'!A:A,0)),0)</f>
        <v>16529942.252238717</v>
      </c>
      <c r="M7" s="3">
        <f t="shared" si="1"/>
        <v>-4641105.0933667477</v>
      </c>
    </row>
    <row r="8" spans="1:13">
      <c r="A8" s="9" t="s">
        <v>1534</v>
      </c>
      <c r="B8" s="15" t="s">
        <v>1548</v>
      </c>
      <c r="C8" s="15" t="s">
        <v>222</v>
      </c>
      <c r="D8" s="4" t="s">
        <v>1535</v>
      </c>
      <c r="E8" s="14" t="e">
        <v>#N/A</v>
      </c>
      <c r="F8" s="14" t="e">
        <v>#N/A</v>
      </c>
      <c r="G8" s="14" t="e">
        <v>#N/A</v>
      </c>
      <c r="H8" s="9" t="s">
        <v>1879</v>
      </c>
      <c r="I8" s="3">
        <v>31543.601284080698</v>
      </c>
      <c r="J8" s="3">
        <v>194925.57687495981</v>
      </c>
      <c r="K8" s="3">
        <f t="shared" ref="K8:K71" si="2">I8+J8</f>
        <v>226469.17815904052</v>
      </c>
      <c r="L8" s="3">
        <f>IFERROR(INDEX('CHIRP Payment Calc'!K:K,MATCH(A:A,'CHIRP Payment Calc'!A:A,0)),0)</f>
        <v>0</v>
      </c>
      <c r="M8" s="3">
        <f t="shared" ref="M8:M71" si="3">K8-L8</f>
        <v>226469.17815904052</v>
      </c>
    </row>
    <row r="9" spans="1:13">
      <c r="A9" s="9" t="s">
        <v>2329</v>
      </c>
      <c r="B9" s="9" t="s">
        <v>487</v>
      </c>
      <c r="C9" s="9" t="s">
        <v>222</v>
      </c>
      <c r="D9" s="4" t="s">
        <v>2272</v>
      </c>
      <c r="E9" s="14" t="s">
        <v>2272</v>
      </c>
      <c r="F9" s="14" t="e">
        <v>#N/A</v>
      </c>
      <c r="G9" s="14" t="s">
        <v>2271</v>
      </c>
      <c r="H9" s="9" t="s">
        <v>2270</v>
      </c>
      <c r="I9" s="3">
        <v>0</v>
      </c>
      <c r="J9" s="3">
        <v>0</v>
      </c>
      <c r="K9" s="3">
        <f t="shared" si="2"/>
        <v>0</v>
      </c>
      <c r="L9" s="3">
        <f>IFERROR(INDEX('CHIRP Payment Calc'!K:K,MATCH(A:A,'CHIRP Payment Calc'!A:A,0)),0)</f>
        <v>0</v>
      </c>
      <c r="M9" s="3">
        <f t="shared" si="3"/>
        <v>0</v>
      </c>
    </row>
    <row r="10" spans="1:13">
      <c r="A10" s="9" t="s">
        <v>304</v>
      </c>
      <c r="B10" s="9" t="s">
        <v>487</v>
      </c>
      <c r="C10" s="9" t="s">
        <v>222</v>
      </c>
      <c r="D10" s="4" t="s">
        <v>305</v>
      </c>
      <c r="E10" s="14" t="s">
        <v>305</v>
      </c>
      <c r="F10" s="14" t="s">
        <v>306</v>
      </c>
      <c r="G10" s="14" t="s">
        <v>304</v>
      </c>
      <c r="H10" s="9" t="s">
        <v>2269</v>
      </c>
      <c r="I10" s="3">
        <v>2326.0203921260095</v>
      </c>
      <c r="J10" s="3">
        <v>0</v>
      </c>
      <c r="K10" s="3">
        <f t="shared" si="2"/>
        <v>2326.0203921260095</v>
      </c>
      <c r="L10" s="3">
        <f>IFERROR(INDEX('CHIRP Payment Calc'!K:K,MATCH(A:A,'CHIRP Payment Calc'!A:A,0)),0)</f>
        <v>0</v>
      </c>
      <c r="M10" s="3">
        <f t="shared" si="3"/>
        <v>2326.0203921260095</v>
      </c>
    </row>
    <row r="11" spans="1:13">
      <c r="A11" s="9" t="s">
        <v>326</v>
      </c>
      <c r="B11" s="9" t="s">
        <v>487</v>
      </c>
      <c r="C11" s="9" t="s">
        <v>222</v>
      </c>
      <c r="D11" s="4" t="s">
        <v>327</v>
      </c>
      <c r="E11" s="14" t="s">
        <v>327</v>
      </c>
      <c r="F11" s="14" t="s">
        <v>328</v>
      </c>
      <c r="G11" s="14" t="s">
        <v>326</v>
      </c>
      <c r="H11" s="9" t="s">
        <v>328</v>
      </c>
      <c r="I11" s="3">
        <v>479447.33461093827</v>
      </c>
      <c r="J11" s="3">
        <v>1214584.5285059423</v>
      </c>
      <c r="K11" s="3">
        <f t="shared" si="2"/>
        <v>1694031.8631168806</v>
      </c>
      <c r="L11" s="3">
        <f>IFERROR(INDEX('CHIRP Payment Calc'!K:K,MATCH(A:A,'CHIRP Payment Calc'!A:A,0)),0)</f>
        <v>0</v>
      </c>
      <c r="M11" s="3">
        <f t="shared" si="3"/>
        <v>1694031.8631168806</v>
      </c>
    </row>
    <row r="12" spans="1:13">
      <c r="A12" s="9" t="s">
        <v>362</v>
      </c>
      <c r="B12" s="9" t="s">
        <v>487</v>
      </c>
      <c r="C12" s="9" t="s">
        <v>222</v>
      </c>
      <c r="D12" s="4" t="s">
        <v>363</v>
      </c>
      <c r="E12" s="14" t="s">
        <v>363</v>
      </c>
      <c r="F12" s="14" t="s">
        <v>364</v>
      </c>
      <c r="G12" s="14" t="s">
        <v>362</v>
      </c>
      <c r="H12" s="9" t="s">
        <v>2268</v>
      </c>
      <c r="I12" s="3">
        <v>1152812.8071832631</v>
      </c>
      <c r="J12" s="3">
        <v>678920.45602063346</v>
      </c>
      <c r="K12" s="3">
        <f t="shared" si="2"/>
        <v>1831733.2632038966</v>
      </c>
      <c r="L12" s="3">
        <f>IFERROR(INDEX('CHIRP Payment Calc'!K:K,MATCH(A:A,'CHIRP Payment Calc'!A:A,0)),0)</f>
        <v>2552026.8491700944</v>
      </c>
      <c r="M12" s="3">
        <f t="shared" si="3"/>
        <v>-720293.58596619777</v>
      </c>
    </row>
    <row r="13" spans="1:13">
      <c r="A13" s="9" t="s">
        <v>1462</v>
      </c>
      <c r="B13" s="9" t="s">
        <v>487</v>
      </c>
      <c r="C13" s="9" t="s">
        <v>222</v>
      </c>
      <c r="D13" s="4" t="s">
        <v>1463</v>
      </c>
      <c r="E13" s="14" t="s">
        <v>1463</v>
      </c>
      <c r="F13" s="14" t="s">
        <v>1464</v>
      </c>
      <c r="G13" s="14" t="s">
        <v>1462</v>
      </c>
      <c r="H13" s="9" t="s">
        <v>1464</v>
      </c>
      <c r="I13" s="3">
        <v>100880.47186663476</v>
      </c>
      <c r="J13" s="3">
        <v>394549.09258889226</v>
      </c>
      <c r="K13" s="3">
        <f t="shared" si="2"/>
        <v>495429.564455527</v>
      </c>
      <c r="L13" s="3">
        <f>IFERROR(INDEX('CHIRP Payment Calc'!K:K,MATCH(A:A,'CHIRP Payment Calc'!A:A,0)),0)</f>
        <v>615804.8334880427</v>
      </c>
      <c r="M13" s="3">
        <f t="shared" si="3"/>
        <v>-120375.2690325157</v>
      </c>
    </row>
    <row r="14" spans="1:13">
      <c r="A14" s="9" t="s">
        <v>210</v>
      </c>
      <c r="B14" s="9" t="s">
        <v>487</v>
      </c>
      <c r="C14" s="9" t="s">
        <v>222</v>
      </c>
      <c r="D14" s="4" t="s">
        <v>211</v>
      </c>
      <c r="E14" s="14" t="s">
        <v>211</v>
      </c>
      <c r="F14" s="14" t="s">
        <v>212</v>
      </c>
      <c r="G14" s="14" t="s">
        <v>210</v>
      </c>
      <c r="H14" s="9" t="s">
        <v>2267</v>
      </c>
      <c r="I14" s="3">
        <v>99440.615370456726</v>
      </c>
      <c r="J14" s="3">
        <v>0</v>
      </c>
      <c r="K14" s="3">
        <f t="shared" si="2"/>
        <v>99440.615370456726</v>
      </c>
      <c r="L14" s="3">
        <f>IFERROR(INDEX('CHIRP Payment Calc'!K:K,MATCH(A:A,'CHIRP Payment Calc'!A:A,0)),0)</f>
        <v>0</v>
      </c>
      <c r="M14" s="3">
        <f t="shared" si="3"/>
        <v>99440.615370456726</v>
      </c>
    </row>
    <row r="15" spans="1:13">
      <c r="A15" s="9" t="s">
        <v>777</v>
      </c>
      <c r="B15" s="9" t="s">
        <v>487</v>
      </c>
      <c r="C15" s="9" t="s">
        <v>222</v>
      </c>
      <c r="D15" s="4" t="s">
        <v>778</v>
      </c>
      <c r="E15" s="14" t="s">
        <v>778</v>
      </c>
      <c r="F15" s="14" t="s">
        <v>779</v>
      </c>
      <c r="G15" s="14" t="s">
        <v>777</v>
      </c>
      <c r="H15" s="9" t="s">
        <v>2266</v>
      </c>
      <c r="I15" s="3">
        <v>131713.12770317591</v>
      </c>
      <c r="J15" s="3">
        <v>0</v>
      </c>
      <c r="K15" s="3">
        <f t="shared" si="2"/>
        <v>131713.12770317591</v>
      </c>
      <c r="L15" s="3">
        <f>IFERROR(INDEX('CHIRP Payment Calc'!K:K,MATCH(A:A,'CHIRP Payment Calc'!A:A,0)),0)</f>
        <v>0</v>
      </c>
      <c r="M15" s="3">
        <f t="shared" si="3"/>
        <v>131713.12770317591</v>
      </c>
    </row>
    <row r="16" spans="1:13">
      <c r="A16" s="9" t="s">
        <v>1406</v>
      </c>
      <c r="B16" s="9" t="s">
        <v>487</v>
      </c>
      <c r="C16" s="9" t="s">
        <v>222</v>
      </c>
      <c r="D16" s="4" t="s">
        <v>1407</v>
      </c>
      <c r="E16" s="14" t="s">
        <v>1407</v>
      </c>
      <c r="F16" s="14" t="s">
        <v>1408</v>
      </c>
      <c r="G16" s="14" t="s">
        <v>1406</v>
      </c>
      <c r="H16" s="9" t="s">
        <v>2265</v>
      </c>
      <c r="I16" s="3">
        <v>0</v>
      </c>
      <c r="J16" s="3">
        <v>0</v>
      </c>
      <c r="K16" s="3">
        <f t="shared" si="2"/>
        <v>0</v>
      </c>
      <c r="L16" s="3">
        <f>IFERROR(INDEX('CHIRP Payment Calc'!K:K,MATCH(A:A,'CHIRP Payment Calc'!A:A,0)),0)</f>
        <v>0</v>
      </c>
      <c r="M16" s="3">
        <f t="shared" si="3"/>
        <v>0</v>
      </c>
    </row>
    <row r="17" spans="1:13">
      <c r="A17" s="9" t="s">
        <v>100</v>
      </c>
      <c r="B17" s="9" t="s">
        <v>487</v>
      </c>
      <c r="C17" s="9" t="s">
        <v>222</v>
      </c>
      <c r="D17" s="4" t="s">
        <v>101</v>
      </c>
      <c r="E17" s="14" t="s">
        <v>101</v>
      </c>
      <c r="F17" s="14" t="s">
        <v>102</v>
      </c>
      <c r="G17" s="14" t="s">
        <v>100</v>
      </c>
      <c r="H17" s="9" t="s">
        <v>2264</v>
      </c>
      <c r="I17" s="3">
        <v>0</v>
      </c>
      <c r="J17" s="3">
        <v>0</v>
      </c>
      <c r="K17" s="3">
        <f t="shared" si="2"/>
        <v>0</v>
      </c>
      <c r="L17" s="3">
        <f>IFERROR(INDEX('CHIRP Payment Calc'!K:K,MATCH(A:A,'CHIRP Payment Calc'!A:A,0)),0)</f>
        <v>0</v>
      </c>
      <c r="M17" s="3">
        <f t="shared" si="3"/>
        <v>0</v>
      </c>
    </row>
    <row r="18" spans="1:13">
      <c r="A18" s="9" t="s">
        <v>1294</v>
      </c>
      <c r="B18" s="9" t="s">
        <v>487</v>
      </c>
      <c r="C18" s="9" t="s">
        <v>222</v>
      </c>
      <c r="D18" s="4" t="s">
        <v>1295</v>
      </c>
      <c r="E18" s="14" t="s">
        <v>1295</v>
      </c>
      <c r="F18" s="14" t="s">
        <v>1296</v>
      </c>
      <c r="G18" s="14" t="s">
        <v>1294</v>
      </c>
      <c r="H18" s="9" t="s">
        <v>2263</v>
      </c>
      <c r="I18" s="3">
        <v>42152096.693772629</v>
      </c>
      <c r="J18" s="3">
        <v>18928006.269814182</v>
      </c>
      <c r="K18" s="3">
        <f t="shared" si="2"/>
        <v>61080102.963586807</v>
      </c>
      <c r="L18" s="3">
        <f>IFERROR(INDEX('CHIRP Payment Calc'!K:K,MATCH(A:A,'CHIRP Payment Calc'!A:A,0)),0)</f>
        <v>74381985.257575184</v>
      </c>
      <c r="M18" s="3">
        <f t="shared" si="3"/>
        <v>-13301882.293988377</v>
      </c>
    </row>
    <row r="19" spans="1:13">
      <c r="A19" s="9" t="s">
        <v>1193</v>
      </c>
      <c r="B19" s="9" t="s">
        <v>487</v>
      </c>
      <c r="C19" s="9" t="s">
        <v>222</v>
      </c>
      <c r="D19" s="4" t="s">
        <v>1194</v>
      </c>
      <c r="E19" s="14" t="s">
        <v>1194</v>
      </c>
      <c r="F19" s="14" t="s">
        <v>1195</v>
      </c>
      <c r="G19" s="14" t="s">
        <v>1193</v>
      </c>
      <c r="H19" s="9" t="s">
        <v>2262</v>
      </c>
      <c r="I19" s="3">
        <v>0</v>
      </c>
      <c r="J19" s="3">
        <v>0</v>
      </c>
      <c r="K19" s="3">
        <f t="shared" si="2"/>
        <v>0</v>
      </c>
      <c r="L19" s="3">
        <f>IFERROR(INDEX('CHIRP Payment Calc'!K:K,MATCH(A:A,'CHIRP Payment Calc'!A:A,0)),0)</f>
        <v>0</v>
      </c>
      <c r="M19" s="3">
        <f t="shared" si="3"/>
        <v>0</v>
      </c>
    </row>
    <row r="20" spans="1:13">
      <c r="A20" s="9" t="s">
        <v>484</v>
      </c>
      <c r="B20" s="9" t="s">
        <v>487</v>
      </c>
      <c r="C20" s="9" t="s">
        <v>222</v>
      </c>
      <c r="D20" s="4" t="s">
        <v>485</v>
      </c>
      <c r="E20" s="14" t="s">
        <v>485</v>
      </c>
      <c r="F20" s="14" t="s">
        <v>486</v>
      </c>
      <c r="G20" s="14" t="s">
        <v>484</v>
      </c>
      <c r="H20" s="9" t="s">
        <v>2261</v>
      </c>
      <c r="I20" s="3">
        <v>0</v>
      </c>
      <c r="J20" s="3">
        <v>0</v>
      </c>
      <c r="K20" s="3">
        <f t="shared" si="2"/>
        <v>0</v>
      </c>
      <c r="L20" s="3">
        <f>IFERROR(INDEX('CHIRP Payment Calc'!K:K,MATCH(A:A,'CHIRP Payment Calc'!A:A,0)),0)</f>
        <v>0</v>
      </c>
      <c r="M20" s="3">
        <f t="shared" si="3"/>
        <v>0</v>
      </c>
    </row>
    <row r="21" spans="1:13">
      <c r="A21" s="9" t="s">
        <v>865</v>
      </c>
      <c r="B21" s="9" t="s">
        <v>487</v>
      </c>
      <c r="C21" s="9" t="s">
        <v>222</v>
      </c>
      <c r="D21" s="4" t="s">
        <v>866</v>
      </c>
      <c r="E21" s="14" t="s">
        <v>866</v>
      </c>
      <c r="F21" s="14" t="s">
        <v>867</v>
      </c>
      <c r="G21" s="14" t="s">
        <v>865</v>
      </c>
      <c r="H21" s="9" t="s">
        <v>2260</v>
      </c>
      <c r="I21" s="3">
        <v>4547985.4125968656</v>
      </c>
      <c r="J21" s="3">
        <v>2244203.853237119</v>
      </c>
      <c r="K21" s="3">
        <f t="shared" si="2"/>
        <v>6792189.2658339851</v>
      </c>
      <c r="L21" s="3">
        <f>IFERROR(INDEX('CHIRP Payment Calc'!K:K,MATCH(A:A,'CHIRP Payment Calc'!A:A,0)),0)</f>
        <v>10650449.222549103</v>
      </c>
      <c r="M21" s="3">
        <f t="shared" si="3"/>
        <v>-3858259.9567151181</v>
      </c>
    </row>
    <row r="22" spans="1:13">
      <c r="A22" s="9" t="s">
        <v>132</v>
      </c>
      <c r="B22" s="9" t="s">
        <v>487</v>
      </c>
      <c r="C22" s="9" t="s">
        <v>222</v>
      </c>
      <c r="D22" s="4" t="s">
        <v>133</v>
      </c>
      <c r="E22" s="14" t="s">
        <v>133</v>
      </c>
      <c r="F22" s="14" t="s">
        <v>134</v>
      </c>
      <c r="G22" s="14" t="s">
        <v>132</v>
      </c>
      <c r="H22" s="9" t="s">
        <v>2259</v>
      </c>
      <c r="I22" s="3">
        <v>2546031.4677360537</v>
      </c>
      <c r="J22" s="3">
        <v>952260.69876638439</v>
      </c>
      <c r="K22" s="3">
        <f t="shared" si="2"/>
        <v>3498292.166502438</v>
      </c>
      <c r="L22" s="3">
        <f>IFERROR(INDEX('CHIRP Payment Calc'!K:K,MATCH(A:A,'CHIRP Payment Calc'!A:A,0)),0)</f>
        <v>5445636.3866089629</v>
      </c>
      <c r="M22" s="3">
        <f t="shared" si="3"/>
        <v>-1947344.2201065249</v>
      </c>
    </row>
    <row r="23" spans="1:13">
      <c r="A23" s="9" t="s">
        <v>332</v>
      </c>
      <c r="B23" s="9" t="s">
        <v>487</v>
      </c>
      <c r="C23" s="9" t="s">
        <v>222</v>
      </c>
      <c r="D23" s="4" t="s">
        <v>333</v>
      </c>
      <c r="E23" s="14" t="s">
        <v>333</v>
      </c>
      <c r="F23" s="14" t="s">
        <v>334</v>
      </c>
      <c r="G23" s="14" t="s">
        <v>332</v>
      </c>
      <c r="H23" s="9" t="s">
        <v>2258</v>
      </c>
      <c r="I23" s="3">
        <v>0</v>
      </c>
      <c r="J23" s="3">
        <v>0</v>
      </c>
      <c r="K23" s="3">
        <f t="shared" si="2"/>
        <v>0</v>
      </c>
      <c r="L23" s="3">
        <f>IFERROR(INDEX('CHIRP Payment Calc'!K:K,MATCH(A:A,'CHIRP Payment Calc'!A:A,0)),0)</f>
        <v>0</v>
      </c>
      <c r="M23" s="3">
        <f t="shared" si="3"/>
        <v>0</v>
      </c>
    </row>
    <row r="24" spans="1:13">
      <c r="A24" s="9" t="s">
        <v>1490</v>
      </c>
      <c r="B24" s="15" t="s">
        <v>1486</v>
      </c>
      <c r="C24" s="15" t="s">
        <v>222</v>
      </c>
      <c r="D24" s="4" t="s">
        <v>1491</v>
      </c>
      <c r="E24" s="14" t="e">
        <v>#N/A</v>
      </c>
      <c r="F24" s="14" t="e">
        <v>#N/A</v>
      </c>
      <c r="G24" s="14" t="e">
        <v>#N/A</v>
      </c>
      <c r="H24" s="9" t="s">
        <v>2005</v>
      </c>
      <c r="I24" s="3">
        <v>0</v>
      </c>
      <c r="J24" s="3">
        <v>989.89283074172374</v>
      </c>
      <c r="K24" s="3">
        <f t="shared" si="2"/>
        <v>989.89283074172374</v>
      </c>
      <c r="L24" s="3">
        <f>IFERROR(INDEX('CHIRP Payment Calc'!K:K,MATCH(A:A,'CHIRP Payment Calc'!A:A,0)),0)</f>
        <v>924.09471361110707</v>
      </c>
      <c r="M24" s="3">
        <f t="shared" si="3"/>
        <v>65.798117130616674</v>
      </c>
    </row>
    <row r="25" spans="1:13">
      <c r="A25" s="9" t="s">
        <v>1481</v>
      </c>
      <c r="B25" s="9" t="s">
        <v>487</v>
      </c>
      <c r="C25" s="9" t="s">
        <v>222</v>
      </c>
      <c r="D25" s="4" t="s">
        <v>1482</v>
      </c>
      <c r="E25" s="14" t="s">
        <v>1482</v>
      </c>
      <c r="F25" s="14" t="s">
        <v>1483</v>
      </c>
      <c r="G25" s="14" t="s">
        <v>1481</v>
      </c>
      <c r="H25" s="9" t="s">
        <v>2257</v>
      </c>
      <c r="I25" s="3">
        <v>0</v>
      </c>
      <c r="J25" s="3">
        <v>0</v>
      </c>
      <c r="K25" s="3">
        <f t="shared" si="2"/>
        <v>0</v>
      </c>
      <c r="L25" s="3">
        <f>IFERROR(INDEX('CHIRP Payment Calc'!K:K,MATCH(A:A,'CHIRP Payment Calc'!A:A,0)),0)</f>
        <v>0</v>
      </c>
      <c r="M25" s="3">
        <f t="shared" si="3"/>
        <v>0</v>
      </c>
    </row>
    <row r="26" spans="1:13">
      <c r="A26" s="9" t="s">
        <v>859</v>
      </c>
      <c r="B26" s="9" t="s">
        <v>487</v>
      </c>
      <c r="C26" s="9" t="s">
        <v>222</v>
      </c>
      <c r="D26" s="4" t="s">
        <v>860</v>
      </c>
      <c r="E26" s="14" t="s">
        <v>860</v>
      </c>
      <c r="F26" s="14" t="s">
        <v>861</v>
      </c>
      <c r="G26" s="14" t="s">
        <v>859</v>
      </c>
      <c r="H26" s="9" t="s">
        <v>2256</v>
      </c>
      <c r="I26" s="3">
        <v>854281.83489774703</v>
      </c>
      <c r="J26" s="3">
        <v>598916.23245487595</v>
      </c>
      <c r="K26" s="3">
        <f t="shared" si="2"/>
        <v>1453198.067352623</v>
      </c>
      <c r="L26" s="3">
        <f>IFERROR(INDEX('CHIRP Payment Calc'!K:K,MATCH(A:A,'CHIRP Payment Calc'!A:A,0)),0)</f>
        <v>0</v>
      </c>
      <c r="M26" s="3">
        <f t="shared" si="3"/>
        <v>1453198.067352623</v>
      </c>
    </row>
    <row r="27" spans="1:13">
      <c r="A27" s="9" t="s">
        <v>1225</v>
      </c>
      <c r="B27" s="9" t="s">
        <v>487</v>
      </c>
      <c r="C27" s="9" t="s">
        <v>222</v>
      </c>
      <c r="D27" s="4" t="s">
        <v>1226</v>
      </c>
      <c r="E27" s="14" t="s">
        <v>1226</v>
      </c>
      <c r="F27" s="14" t="s">
        <v>1227</v>
      </c>
      <c r="G27" s="14" t="s">
        <v>1225</v>
      </c>
      <c r="H27" s="9" t="s">
        <v>2255</v>
      </c>
      <c r="I27" s="3">
        <v>6033947.2766931364</v>
      </c>
      <c r="J27" s="3">
        <v>4910775.9967919663</v>
      </c>
      <c r="K27" s="3">
        <f t="shared" si="2"/>
        <v>10944723.273485102</v>
      </c>
      <c r="L27" s="3">
        <f>IFERROR(INDEX('CHIRP Payment Calc'!K:K,MATCH(A:A,'CHIRP Payment Calc'!A:A,0)),0)</f>
        <v>13668318.45401692</v>
      </c>
      <c r="M27" s="3">
        <f t="shared" si="3"/>
        <v>-2723595.1805318184</v>
      </c>
    </row>
    <row r="28" spans="1:13">
      <c r="A28" s="9" t="s">
        <v>2253</v>
      </c>
      <c r="B28" s="9" t="s">
        <v>487</v>
      </c>
      <c r="C28" s="9" t="s">
        <v>222</v>
      </c>
      <c r="D28" s="4" t="s">
        <v>2254</v>
      </c>
      <c r="E28" s="14" t="s">
        <v>2254</v>
      </c>
      <c r="F28" s="14" t="e">
        <v>#N/A</v>
      </c>
      <c r="G28" s="14" t="s">
        <v>2253</v>
      </c>
      <c r="H28" s="9" t="s">
        <v>2252</v>
      </c>
      <c r="I28" s="3">
        <v>0</v>
      </c>
      <c r="J28" s="3">
        <v>0</v>
      </c>
      <c r="K28" s="3">
        <f t="shared" si="2"/>
        <v>0</v>
      </c>
      <c r="L28" s="3">
        <f>IFERROR(INDEX('CHIRP Payment Calc'!K:K,MATCH(A:A,'CHIRP Payment Calc'!A:A,0)),0)</f>
        <v>0</v>
      </c>
      <c r="M28" s="3">
        <f t="shared" si="3"/>
        <v>0</v>
      </c>
    </row>
    <row r="29" spans="1:13">
      <c r="A29" s="9" t="s">
        <v>862</v>
      </c>
      <c r="B29" s="9" t="s">
        <v>487</v>
      </c>
      <c r="C29" s="9" t="s">
        <v>1479</v>
      </c>
      <c r="D29" s="4" t="s">
        <v>863</v>
      </c>
      <c r="E29" s="14" t="s">
        <v>863</v>
      </c>
      <c r="F29" s="14" t="s">
        <v>864</v>
      </c>
      <c r="G29" s="14" t="s">
        <v>862</v>
      </c>
      <c r="H29" s="9" t="s">
        <v>2251</v>
      </c>
      <c r="I29" s="3">
        <v>2306879.3072324959</v>
      </c>
      <c r="J29" s="3">
        <v>954560.98196195881</v>
      </c>
      <c r="K29" s="3">
        <f t="shared" si="2"/>
        <v>3261440.2891944544</v>
      </c>
      <c r="L29" s="3">
        <f>IFERROR(INDEX('CHIRP Payment Calc'!K:K,MATCH(A:A,'CHIRP Payment Calc'!A:A,0)),0)</f>
        <v>4187125.9012753107</v>
      </c>
      <c r="M29" s="3">
        <f t="shared" si="3"/>
        <v>-925685.61208085623</v>
      </c>
    </row>
    <row r="30" spans="1:13">
      <c r="A30" s="9" t="s">
        <v>831</v>
      </c>
      <c r="B30" s="9" t="s">
        <v>487</v>
      </c>
      <c r="C30" s="9" t="s">
        <v>1545</v>
      </c>
      <c r="D30" s="4" t="s">
        <v>832</v>
      </c>
      <c r="E30" s="14" t="s">
        <v>832</v>
      </c>
      <c r="F30" s="14" t="s">
        <v>833</v>
      </c>
      <c r="G30" s="14" t="s">
        <v>831</v>
      </c>
      <c r="H30" s="9" t="s">
        <v>833</v>
      </c>
      <c r="I30" s="3">
        <v>1329498.6641652437</v>
      </c>
      <c r="J30" s="3">
        <v>202644.29553635675</v>
      </c>
      <c r="K30" s="3">
        <f t="shared" si="2"/>
        <v>1532142.9597016005</v>
      </c>
      <c r="L30" s="3">
        <f>IFERROR(INDEX('CHIRP Payment Calc'!K:K,MATCH(A:A,'CHIRP Payment Calc'!A:A,0)),0)</f>
        <v>2432361.8979167277</v>
      </c>
      <c r="M30" s="3">
        <f t="shared" si="3"/>
        <v>-900218.93821512721</v>
      </c>
    </row>
    <row r="31" spans="1:13">
      <c r="A31" s="9" t="s">
        <v>1171</v>
      </c>
      <c r="B31" s="9" t="s">
        <v>487</v>
      </c>
      <c r="C31" s="9" t="s">
        <v>1545</v>
      </c>
      <c r="D31" s="4" t="s">
        <v>1172</v>
      </c>
      <c r="E31" s="14" t="s">
        <v>1172</v>
      </c>
      <c r="F31" s="14" t="s">
        <v>1173</v>
      </c>
      <c r="G31" s="14" t="s">
        <v>1171</v>
      </c>
      <c r="H31" s="9" t="s">
        <v>2250</v>
      </c>
      <c r="I31" s="3">
        <v>992540.27055843908</v>
      </c>
      <c r="J31" s="3">
        <v>344943.89632638881</v>
      </c>
      <c r="K31" s="3">
        <f t="shared" si="2"/>
        <v>1337484.1668848279</v>
      </c>
      <c r="L31" s="3">
        <f>IFERROR(INDEX('CHIRP Payment Calc'!K:K,MATCH(A:A,'CHIRP Payment Calc'!A:A,0)),0)</f>
        <v>2183305.8348129452</v>
      </c>
      <c r="M31" s="3">
        <f t="shared" si="3"/>
        <v>-845821.66792811733</v>
      </c>
    </row>
    <row r="32" spans="1:13">
      <c r="A32" s="9" t="s">
        <v>1203</v>
      </c>
      <c r="B32" s="9" t="s">
        <v>487</v>
      </c>
      <c r="C32" s="9" t="s">
        <v>1554</v>
      </c>
      <c r="D32" s="4" t="s">
        <v>1204</v>
      </c>
      <c r="E32" s="14" t="s">
        <v>1204</v>
      </c>
      <c r="F32" s="14" t="s">
        <v>1205</v>
      </c>
      <c r="G32" s="14" t="s">
        <v>1203</v>
      </c>
      <c r="H32" s="9" t="s">
        <v>2249</v>
      </c>
      <c r="I32" s="3">
        <v>49180115.665194914</v>
      </c>
      <c r="J32" s="3">
        <v>27646465.737676527</v>
      </c>
      <c r="K32" s="3">
        <f t="shared" si="2"/>
        <v>76826581.402871445</v>
      </c>
      <c r="L32" s="3">
        <f>IFERROR(INDEX('CHIRP Payment Calc'!K:K,MATCH(A:A,'CHIRP Payment Calc'!A:A,0)),0)</f>
        <v>100476540.01009601</v>
      </c>
      <c r="M32" s="3">
        <f t="shared" si="3"/>
        <v>-23649958.607224569</v>
      </c>
    </row>
    <row r="33" spans="1:13">
      <c r="A33" s="9" t="s">
        <v>55</v>
      </c>
      <c r="B33" s="9" t="s">
        <v>223</v>
      </c>
      <c r="C33" s="9" t="s">
        <v>1594</v>
      </c>
      <c r="D33" s="4" t="s">
        <v>56</v>
      </c>
      <c r="E33" s="14" t="s">
        <v>56</v>
      </c>
      <c r="F33" s="14" t="s">
        <v>57</v>
      </c>
      <c r="G33" s="14" t="s">
        <v>55</v>
      </c>
      <c r="H33" s="9" t="s">
        <v>2248</v>
      </c>
      <c r="I33" s="3">
        <v>279674202.42857993</v>
      </c>
      <c r="J33" s="3">
        <v>787162.83325575676</v>
      </c>
      <c r="K33" s="3">
        <f t="shared" si="2"/>
        <v>280461365.26183569</v>
      </c>
      <c r="L33" s="3">
        <f>IFERROR(INDEX('CHIRP Payment Calc'!K:K,MATCH(A:A,'CHIRP Payment Calc'!A:A,0)),0)</f>
        <v>384382763.20736778</v>
      </c>
      <c r="M33" s="3">
        <f t="shared" si="3"/>
        <v>-103921397.94553208</v>
      </c>
    </row>
    <row r="34" spans="1:13">
      <c r="A34" s="9" t="s">
        <v>938</v>
      </c>
      <c r="B34" s="9" t="s">
        <v>223</v>
      </c>
      <c r="C34" s="9" t="s">
        <v>1594</v>
      </c>
      <c r="D34" s="4" t="s">
        <v>939</v>
      </c>
      <c r="E34" s="14" t="s">
        <v>939</v>
      </c>
      <c r="F34" s="14" t="s">
        <v>940</v>
      </c>
      <c r="G34" s="14" t="s">
        <v>938</v>
      </c>
      <c r="H34" s="9" t="s">
        <v>2247</v>
      </c>
      <c r="I34" s="3">
        <v>5697814.1168234637</v>
      </c>
      <c r="J34" s="3">
        <v>0</v>
      </c>
      <c r="K34" s="3">
        <f t="shared" si="2"/>
        <v>5697814.1168234637</v>
      </c>
      <c r="L34" s="3">
        <f>IFERROR(INDEX('CHIRP Payment Calc'!K:K,MATCH(A:A,'CHIRP Payment Calc'!A:A,0)),0)</f>
        <v>0</v>
      </c>
      <c r="M34" s="3">
        <f t="shared" si="3"/>
        <v>5697814.1168234637</v>
      </c>
    </row>
    <row r="35" spans="1:13">
      <c r="A35" s="9" t="s">
        <v>58</v>
      </c>
      <c r="B35" s="9" t="s">
        <v>223</v>
      </c>
      <c r="C35" s="9" t="s">
        <v>1594</v>
      </c>
      <c r="D35" s="4" t="s">
        <v>59</v>
      </c>
      <c r="E35" s="14" t="s">
        <v>59</v>
      </c>
      <c r="F35" s="14" t="s">
        <v>60</v>
      </c>
      <c r="G35" s="14" t="s">
        <v>58</v>
      </c>
      <c r="H35" s="9" t="s">
        <v>2246</v>
      </c>
      <c r="I35" s="3">
        <v>47979539.196181417</v>
      </c>
      <c r="J35" s="3">
        <v>8645.0447658013054</v>
      </c>
      <c r="K35" s="3">
        <f t="shared" si="2"/>
        <v>47988184.240947217</v>
      </c>
      <c r="L35" s="3">
        <f>IFERROR(INDEX('CHIRP Payment Calc'!K:K,MATCH(A:A,'CHIRP Payment Calc'!A:A,0)),0)</f>
        <v>68324306.916237086</v>
      </c>
      <c r="M35" s="3">
        <f t="shared" si="3"/>
        <v>-20336122.675289869</v>
      </c>
    </row>
    <row r="36" spans="1:13">
      <c r="A36" s="9" t="s">
        <v>437</v>
      </c>
      <c r="B36" s="9" t="s">
        <v>223</v>
      </c>
      <c r="C36" s="9" t="s">
        <v>1594</v>
      </c>
      <c r="D36" s="4" t="s">
        <v>438</v>
      </c>
      <c r="E36" s="14" t="s">
        <v>438</v>
      </c>
      <c r="F36" s="14" t="s">
        <v>439</v>
      </c>
      <c r="G36" s="14" t="s">
        <v>437</v>
      </c>
      <c r="H36" s="9" t="s">
        <v>2245</v>
      </c>
      <c r="I36" s="3">
        <v>4760347.2115128031</v>
      </c>
      <c r="J36" s="3">
        <v>1753.8553585577174</v>
      </c>
      <c r="K36" s="3">
        <f t="shared" si="2"/>
        <v>4762101.0668713609</v>
      </c>
      <c r="L36" s="3">
        <f>IFERROR(INDEX('CHIRP Payment Calc'!K:K,MATCH(A:A,'CHIRP Payment Calc'!A:A,0)),0)</f>
        <v>7700233.8230193267</v>
      </c>
      <c r="M36" s="3">
        <f t="shared" si="3"/>
        <v>-2938132.7561479658</v>
      </c>
    </row>
    <row r="37" spans="1:13">
      <c r="A37" s="9" t="s">
        <v>1256</v>
      </c>
      <c r="B37" s="9" t="s">
        <v>223</v>
      </c>
      <c r="C37" s="9" t="s">
        <v>1801</v>
      </c>
      <c r="D37" s="4" t="s">
        <v>1257</v>
      </c>
      <c r="E37" s="14" t="s">
        <v>1257</v>
      </c>
      <c r="F37" s="14" t="s">
        <v>1258</v>
      </c>
      <c r="G37" s="14" t="s">
        <v>1256</v>
      </c>
      <c r="H37" s="9" t="s">
        <v>2244</v>
      </c>
      <c r="I37" s="3">
        <v>1596026.2321943569</v>
      </c>
      <c r="J37" s="3">
        <v>0</v>
      </c>
      <c r="K37" s="3">
        <f t="shared" si="2"/>
        <v>1596026.2321943569</v>
      </c>
      <c r="L37" s="3">
        <f>IFERROR(INDEX('CHIRP Payment Calc'!K:K,MATCH(A:A,'CHIRP Payment Calc'!A:A,0)),0)</f>
        <v>1863300.1856801799</v>
      </c>
      <c r="M37" s="3">
        <f t="shared" si="3"/>
        <v>-267273.953485823</v>
      </c>
    </row>
    <row r="38" spans="1:13">
      <c r="A38" s="9" t="s">
        <v>1321</v>
      </c>
      <c r="B38" s="9" t="s">
        <v>223</v>
      </c>
      <c r="C38" s="9" t="s">
        <v>1801</v>
      </c>
      <c r="D38" s="4" t="s">
        <v>1322</v>
      </c>
      <c r="E38" s="14" t="s">
        <v>1322</v>
      </c>
      <c r="F38" s="14" t="s">
        <v>1323</v>
      </c>
      <c r="G38" s="14" t="s">
        <v>1321</v>
      </c>
      <c r="H38" s="9" t="s">
        <v>2243</v>
      </c>
      <c r="I38" s="3">
        <v>0</v>
      </c>
      <c r="J38" s="3">
        <v>0</v>
      </c>
      <c r="K38" s="3">
        <f t="shared" si="2"/>
        <v>0</v>
      </c>
      <c r="L38" s="3">
        <f>IFERROR(INDEX('CHIRP Payment Calc'!K:K,MATCH(A:A,'CHIRP Payment Calc'!A:A,0)),0)</f>
        <v>0</v>
      </c>
      <c r="M38" s="3">
        <f t="shared" si="3"/>
        <v>0</v>
      </c>
    </row>
    <row r="39" spans="1:13">
      <c r="A39" s="9" t="s">
        <v>1234</v>
      </c>
      <c r="B39" s="9" t="s">
        <v>223</v>
      </c>
      <c r="C39" s="9" t="s">
        <v>1801</v>
      </c>
      <c r="D39" s="4" t="s">
        <v>1235</v>
      </c>
      <c r="E39" s="14" t="s">
        <v>1235</v>
      </c>
      <c r="F39" s="14" t="s">
        <v>1236</v>
      </c>
      <c r="G39" s="14" t="s">
        <v>1234</v>
      </c>
      <c r="H39" s="9" t="s">
        <v>2242</v>
      </c>
      <c r="I39" s="3">
        <v>3863860.1329224235</v>
      </c>
      <c r="J39" s="3">
        <v>0</v>
      </c>
      <c r="K39" s="3">
        <f t="shared" si="2"/>
        <v>3863860.1329224235</v>
      </c>
      <c r="L39" s="3">
        <f>IFERROR(INDEX('CHIRP Payment Calc'!K:K,MATCH(A:A,'CHIRP Payment Calc'!A:A,0)),0)</f>
        <v>4868973.7243280746</v>
      </c>
      <c r="M39" s="3">
        <f t="shared" si="3"/>
        <v>-1005113.5914056511</v>
      </c>
    </row>
    <row r="40" spans="1:13">
      <c r="A40" s="9" t="s">
        <v>1241</v>
      </c>
      <c r="B40" s="9" t="s">
        <v>223</v>
      </c>
      <c r="C40" s="9" t="s">
        <v>1801</v>
      </c>
      <c r="D40" s="4" t="s">
        <v>1242</v>
      </c>
      <c r="E40" s="14" t="s">
        <v>1242</v>
      </c>
      <c r="F40" s="14" t="s">
        <v>1243</v>
      </c>
      <c r="G40" s="14" t="s">
        <v>1241</v>
      </c>
      <c r="H40" s="9" t="s">
        <v>2241</v>
      </c>
      <c r="I40" s="3">
        <v>45859.13500658008</v>
      </c>
      <c r="J40" s="3">
        <v>0</v>
      </c>
      <c r="K40" s="3">
        <f t="shared" si="2"/>
        <v>45859.13500658008</v>
      </c>
      <c r="L40" s="3">
        <f>IFERROR(INDEX('CHIRP Payment Calc'!K:K,MATCH(A:A,'CHIRP Payment Calc'!A:A,0)),0)</f>
        <v>0</v>
      </c>
      <c r="M40" s="3">
        <f t="shared" si="3"/>
        <v>45859.13500658008</v>
      </c>
    </row>
    <row r="41" spans="1:13">
      <c r="A41" s="9" t="s">
        <v>2326</v>
      </c>
      <c r="B41" s="9" t="s">
        <v>223</v>
      </c>
      <c r="C41" s="9" t="s">
        <v>1801</v>
      </c>
      <c r="D41" s="4" t="s">
        <v>1443</v>
      </c>
      <c r="E41" s="14" t="s">
        <v>2326</v>
      </c>
      <c r="F41" s="14" t="e">
        <v>#N/A</v>
      </c>
      <c r="G41" s="14" t="s">
        <v>2326</v>
      </c>
      <c r="H41" s="9" t="s">
        <v>2240</v>
      </c>
      <c r="I41" s="3">
        <v>0</v>
      </c>
      <c r="J41" s="3">
        <v>0</v>
      </c>
      <c r="K41" s="3">
        <f t="shared" si="2"/>
        <v>0</v>
      </c>
      <c r="L41" s="3">
        <f>IFERROR(INDEX('CHIRP Payment Calc'!K:K,MATCH(A:A,'CHIRP Payment Calc'!A:A,0)),0)</f>
        <v>0</v>
      </c>
      <c r="M41" s="3">
        <f t="shared" si="3"/>
        <v>0</v>
      </c>
    </row>
    <row r="42" spans="1:13">
      <c r="A42" s="9" t="s">
        <v>1250</v>
      </c>
      <c r="B42" s="9" t="s">
        <v>223</v>
      </c>
      <c r="C42" s="9" t="s">
        <v>1801</v>
      </c>
      <c r="D42" s="4" t="s">
        <v>1251</v>
      </c>
      <c r="E42" s="14" t="s">
        <v>1251</v>
      </c>
      <c r="F42" s="14" t="s">
        <v>1252</v>
      </c>
      <c r="G42" s="14" t="s">
        <v>1250</v>
      </c>
      <c r="H42" s="9" t="s">
        <v>2239</v>
      </c>
      <c r="I42" s="3">
        <v>283973.55776054302</v>
      </c>
      <c r="J42" s="3">
        <v>0</v>
      </c>
      <c r="K42" s="3">
        <f t="shared" si="2"/>
        <v>283973.55776054302</v>
      </c>
      <c r="L42" s="3">
        <f>IFERROR(INDEX('CHIRP Payment Calc'!K:K,MATCH(A:A,'CHIRP Payment Calc'!A:A,0)),0)</f>
        <v>701907.21106323227</v>
      </c>
      <c r="M42" s="3">
        <f t="shared" si="3"/>
        <v>-417933.65330268926</v>
      </c>
    </row>
    <row r="43" spans="1:13">
      <c r="A43" s="9" t="s">
        <v>1247</v>
      </c>
      <c r="B43" s="9" t="s">
        <v>223</v>
      </c>
      <c r="C43" s="9" t="s">
        <v>1801</v>
      </c>
      <c r="D43" s="4" t="s">
        <v>1248</v>
      </c>
      <c r="E43" s="14" t="s">
        <v>1248</v>
      </c>
      <c r="F43" s="14" t="s">
        <v>1249</v>
      </c>
      <c r="G43" s="14" t="s">
        <v>1247</v>
      </c>
      <c r="H43" s="9" t="s">
        <v>2238</v>
      </c>
      <c r="I43" s="3">
        <v>105865.94321027974</v>
      </c>
      <c r="J43" s="3">
        <v>0</v>
      </c>
      <c r="K43" s="3">
        <f t="shared" si="2"/>
        <v>105865.94321027974</v>
      </c>
      <c r="L43" s="3">
        <f>IFERROR(INDEX('CHIRP Payment Calc'!K:K,MATCH(A:A,'CHIRP Payment Calc'!A:A,0)),0)</f>
        <v>112154.16045657291</v>
      </c>
      <c r="M43" s="3">
        <f t="shared" si="3"/>
        <v>-6288.217246293163</v>
      </c>
    </row>
    <row r="44" spans="1:13">
      <c r="A44" s="9" t="s">
        <v>762</v>
      </c>
      <c r="B44" s="9" t="s">
        <v>223</v>
      </c>
      <c r="C44" s="9" t="s">
        <v>1553</v>
      </c>
      <c r="D44" s="4" t="s">
        <v>763</v>
      </c>
      <c r="E44" s="14" t="s">
        <v>763</v>
      </c>
      <c r="F44" s="14" t="s">
        <v>764</v>
      </c>
      <c r="G44" s="14" t="s">
        <v>762</v>
      </c>
      <c r="H44" s="9" t="s">
        <v>2237</v>
      </c>
      <c r="I44" s="3">
        <v>6165415.9316114169</v>
      </c>
      <c r="J44" s="3">
        <v>2403506.240436112</v>
      </c>
      <c r="K44" s="3">
        <f t="shared" si="2"/>
        <v>8568922.1720475294</v>
      </c>
      <c r="L44" s="3">
        <f>IFERROR(INDEX('CHIRP Payment Calc'!K:K,MATCH(A:A,'CHIRP Payment Calc'!A:A,0)),0)</f>
        <v>11055358.692945335</v>
      </c>
      <c r="M44" s="3">
        <f t="shared" si="3"/>
        <v>-2486436.5208978057</v>
      </c>
    </row>
    <row r="45" spans="1:13">
      <c r="A45" s="9" t="s">
        <v>2326</v>
      </c>
      <c r="B45" s="9" t="s">
        <v>223</v>
      </c>
      <c r="C45" s="9" t="s">
        <v>222</v>
      </c>
      <c r="D45" s="4" t="s">
        <v>2236</v>
      </c>
      <c r="E45" s="14" t="s">
        <v>2326</v>
      </c>
      <c r="F45" s="14" t="e">
        <v>#N/A</v>
      </c>
      <c r="G45" s="14" t="s">
        <v>2326</v>
      </c>
      <c r="H45" s="9" t="s">
        <v>1742</v>
      </c>
      <c r="I45" s="3">
        <v>0</v>
      </c>
      <c r="J45" s="3">
        <v>0</v>
      </c>
      <c r="K45" s="3">
        <f t="shared" si="2"/>
        <v>0</v>
      </c>
      <c r="L45" s="3">
        <f>IFERROR(INDEX('CHIRP Payment Calc'!K:K,MATCH(A:A,'CHIRP Payment Calc'!A:A,0)),0)</f>
        <v>0</v>
      </c>
      <c r="M45" s="3">
        <f t="shared" si="3"/>
        <v>0</v>
      </c>
    </row>
    <row r="46" spans="1:13">
      <c r="A46" s="9" t="s">
        <v>1652</v>
      </c>
      <c r="B46" s="9" t="s">
        <v>223</v>
      </c>
      <c r="C46" s="9" t="s">
        <v>222</v>
      </c>
      <c r="D46" s="4" t="s">
        <v>1653</v>
      </c>
      <c r="E46" s="14" t="s">
        <v>1653</v>
      </c>
      <c r="F46" s="14" t="e">
        <v>#N/A</v>
      </c>
      <c r="G46" s="14" t="s">
        <v>1652</v>
      </c>
      <c r="H46" s="9" t="s">
        <v>1651</v>
      </c>
      <c r="I46" s="3">
        <v>0</v>
      </c>
      <c r="J46" s="3">
        <v>0</v>
      </c>
      <c r="K46" s="3">
        <f t="shared" si="2"/>
        <v>0</v>
      </c>
      <c r="L46" s="3">
        <f>IFERROR(INDEX('CHIRP Payment Calc'!K:K,MATCH(A:A,'CHIRP Payment Calc'!A:A,0)),0)</f>
        <v>0</v>
      </c>
      <c r="M46" s="3">
        <f t="shared" si="3"/>
        <v>0</v>
      </c>
    </row>
    <row r="47" spans="1:13">
      <c r="A47" s="9" t="s">
        <v>267</v>
      </c>
      <c r="B47" s="9" t="s">
        <v>223</v>
      </c>
      <c r="C47" s="9" t="s">
        <v>222</v>
      </c>
      <c r="D47" s="4" t="s">
        <v>268</v>
      </c>
      <c r="E47" s="14" t="s">
        <v>268</v>
      </c>
      <c r="F47" s="14" t="s">
        <v>269</v>
      </c>
      <c r="G47" s="14" t="s">
        <v>267</v>
      </c>
      <c r="H47" s="9" t="s">
        <v>2235</v>
      </c>
      <c r="I47" s="3">
        <v>3716328.226755213</v>
      </c>
      <c r="J47" s="3">
        <v>2107903.8875929681</v>
      </c>
      <c r="K47" s="3">
        <f t="shared" si="2"/>
        <v>5824232.1143481806</v>
      </c>
      <c r="L47" s="3">
        <f>IFERROR(INDEX('CHIRP Payment Calc'!K:K,MATCH(A:A,'CHIRP Payment Calc'!A:A,0)),0)</f>
        <v>7116724.2737545753</v>
      </c>
      <c r="M47" s="3">
        <f t="shared" si="3"/>
        <v>-1292492.1594063947</v>
      </c>
    </row>
    <row r="48" spans="1:13">
      <c r="A48" s="9" t="s">
        <v>1492</v>
      </c>
      <c r="B48" s="9" t="s">
        <v>223</v>
      </c>
      <c r="C48" s="9" t="s">
        <v>222</v>
      </c>
      <c r="D48" s="4" t="s">
        <v>1493</v>
      </c>
      <c r="E48" s="14" t="s">
        <v>1493</v>
      </c>
      <c r="F48" s="14" t="s">
        <v>1494</v>
      </c>
      <c r="G48" s="14" t="s">
        <v>1492</v>
      </c>
      <c r="H48" s="9" t="s">
        <v>2234</v>
      </c>
      <c r="I48" s="3">
        <v>0</v>
      </c>
      <c r="J48" s="3">
        <v>0</v>
      </c>
      <c r="K48" s="3">
        <f t="shared" si="2"/>
        <v>0</v>
      </c>
      <c r="L48" s="3">
        <f>IFERROR(INDEX('CHIRP Payment Calc'!K:K,MATCH(A:A,'CHIRP Payment Calc'!A:A,0)),0)</f>
        <v>0</v>
      </c>
      <c r="M48" s="3">
        <f t="shared" si="3"/>
        <v>0</v>
      </c>
    </row>
    <row r="49" spans="1:13">
      <c r="A49" s="9" t="s">
        <v>1567</v>
      </c>
      <c r="B49" s="9" t="s">
        <v>223</v>
      </c>
      <c r="C49" s="9" t="s">
        <v>222</v>
      </c>
      <c r="D49" s="4" t="s">
        <v>1359</v>
      </c>
      <c r="E49" s="14" t="s">
        <v>2292</v>
      </c>
      <c r="F49" s="14" t="s">
        <v>1360</v>
      </c>
      <c r="G49" s="14" t="s">
        <v>1567</v>
      </c>
      <c r="H49" s="9" t="s">
        <v>2233</v>
      </c>
      <c r="I49" s="3">
        <v>0</v>
      </c>
      <c r="J49" s="3">
        <v>0</v>
      </c>
      <c r="K49" s="3">
        <f t="shared" si="2"/>
        <v>0</v>
      </c>
      <c r="L49" s="3">
        <f>IFERROR(INDEX('CHIRP Payment Calc'!K:K,MATCH(A:A,'CHIRP Payment Calc'!A:A,0)),0)</f>
        <v>0</v>
      </c>
      <c r="M49" s="3">
        <f t="shared" si="3"/>
        <v>0</v>
      </c>
    </row>
    <row r="50" spans="1:13">
      <c r="A50" s="9" t="s">
        <v>380</v>
      </c>
      <c r="B50" s="9" t="s">
        <v>223</v>
      </c>
      <c r="C50" s="9" t="s">
        <v>222</v>
      </c>
      <c r="D50" s="4" t="s">
        <v>381</v>
      </c>
      <c r="E50" s="14" t="s">
        <v>381</v>
      </c>
      <c r="F50" s="14" t="s">
        <v>382</v>
      </c>
      <c r="G50" s="14" t="s">
        <v>380</v>
      </c>
      <c r="H50" s="9" t="s">
        <v>2232</v>
      </c>
      <c r="I50" s="3">
        <v>0</v>
      </c>
      <c r="J50" s="3">
        <v>0</v>
      </c>
      <c r="K50" s="3">
        <f t="shared" si="2"/>
        <v>0</v>
      </c>
      <c r="L50" s="3">
        <f>IFERROR(INDEX('CHIRP Payment Calc'!K:K,MATCH(A:A,'CHIRP Payment Calc'!A:A,0)),0)</f>
        <v>0</v>
      </c>
      <c r="M50" s="3">
        <f t="shared" si="3"/>
        <v>0</v>
      </c>
    </row>
    <row r="51" spans="1:13">
      <c r="A51" s="9" t="s">
        <v>971</v>
      </c>
      <c r="B51" s="9" t="s">
        <v>223</v>
      </c>
      <c r="C51" s="9" t="s">
        <v>222</v>
      </c>
      <c r="D51" s="4" t="s">
        <v>972</v>
      </c>
      <c r="E51" s="14" t="s">
        <v>972</v>
      </c>
      <c r="F51" s="14" t="s">
        <v>973</v>
      </c>
      <c r="G51" s="14" t="s">
        <v>971</v>
      </c>
      <c r="H51" s="9" t="s">
        <v>2231</v>
      </c>
      <c r="I51" s="3">
        <v>4004040.2857571137</v>
      </c>
      <c r="J51" s="3">
        <v>5744477.7540753912</v>
      </c>
      <c r="K51" s="3">
        <f t="shared" si="2"/>
        <v>9748518.0398325045</v>
      </c>
      <c r="L51" s="3">
        <f>IFERROR(INDEX('CHIRP Payment Calc'!K:K,MATCH(A:A,'CHIRP Payment Calc'!A:A,0)),0)</f>
        <v>17812191.237708639</v>
      </c>
      <c r="M51" s="3">
        <f t="shared" si="3"/>
        <v>-8063673.1978761349</v>
      </c>
    </row>
    <row r="52" spans="1:13">
      <c r="A52" s="9" t="s">
        <v>34</v>
      </c>
      <c r="B52" s="9" t="s">
        <v>223</v>
      </c>
      <c r="C52" s="9" t="s">
        <v>222</v>
      </c>
      <c r="D52" s="4" t="s">
        <v>35</v>
      </c>
      <c r="E52" s="14" t="s">
        <v>35</v>
      </c>
      <c r="F52" s="14" t="s">
        <v>36</v>
      </c>
      <c r="G52" s="14" t="s">
        <v>34</v>
      </c>
      <c r="H52" s="9" t="s">
        <v>2230</v>
      </c>
      <c r="I52" s="3">
        <v>1502643.4178047571</v>
      </c>
      <c r="J52" s="3">
        <v>292783.03197383281</v>
      </c>
      <c r="K52" s="3">
        <f t="shared" si="2"/>
        <v>1795426.4497785899</v>
      </c>
      <c r="L52" s="3">
        <f>IFERROR(INDEX('CHIRP Payment Calc'!K:K,MATCH(A:A,'CHIRP Payment Calc'!A:A,0)),0)</f>
        <v>2290496.9370423551</v>
      </c>
      <c r="M52" s="3">
        <f t="shared" si="3"/>
        <v>-495070.48726376519</v>
      </c>
    </row>
    <row r="53" spans="1:13">
      <c r="A53" s="9" t="s">
        <v>1413</v>
      </c>
      <c r="B53" s="9" t="s">
        <v>223</v>
      </c>
      <c r="C53" s="9" t="s">
        <v>222</v>
      </c>
      <c r="D53" s="4" t="s">
        <v>1414</v>
      </c>
      <c r="E53" s="14" t="s">
        <v>1414</v>
      </c>
      <c r="F53" s="14" t="s">
        <v>1415</v>
      </c>
      <c r="G53" s="14" t="s">
        <v>1413</v>
      </c>
      <c r="H53" s="9" t="s">
        <v>2229</v>
      </c>
      <c r="I53" s="3">
        <v>0</v>
      </c>
      <c r="J53" s="3">
        <v>225040.76323856658</v>
      </c>
      <c r="K53" s="3">
        <f t="shared" si="2"/>
        <v>225040.76323856658</v>
      </c>
      <c r="L53" s="3">
        <f>IFERROR(INDEX('CHIRP Payment Calc'!K:K,MATCH(A:A,'CHIRP Payment Calc'!A:A,0)),0)</f>
        <v>271925.31827725534</v>
      </c>
      <c r="M53" s="3">
        <f t="shared" si="3"/>
        <v>-46884.555038688763</v>
      </c>
    </row>
    <row r="54" spans="1:13">
      <c r="A54" s="9" t="s">
        <v>377</v>
      </c>
      <c r="B54" s="9" t="s">
        <v>223</v>
      </c>
      <c r="C54" s="9" t="s">
        <v>222</v>
      </c>
      <c r="D54" s="4" t="s">
        <v>378</v>
      </c>
      <c r="E54" s="14" t="s">
        <v>378</v>
      </c>
      <c r="F54" s="14" t="s">
        <v>379</v>
      </c>
      <c r="G54" s="14" t="s">
        <v>377</v>
      </c>
      <c r="H54" s="9" t="s">
        <v>2228</v>
      </c>
      <c r="I54" s="3">
        <v>0</v>
      </c>
      <c r="J54" s="3">
        <v>0</v>
      </c>
      <c r="K54" s="3">
        <f t="shared" si="2"/>
        <v>0</v>
      </c>
      <c r="L54" s="3">
        <f>IFERROR(INDEX('CHIRP Payment Calc'!K:K,MATCH(A:A,'CHIRP Payment Calc'!A:A,0)),0)</f>
        <v>0</v>
      </c>
      <c r="M54" s="3">
        <f t="shared" si="3"/>
        <v>0</v>
      </c>
    </row>
    <row r="55" spans="1:13">
      <c r="A55" s="9" t="s">
        <v>783</v>
      </c>
      <c r="B55" s="9" t="s">
        <v>223</v>
      </c>
      <c r="C55" s="9" t="s">
        <v>222</v>
      </c>
      <c r="D55" s="4" t="s">
        <v>784</v>
      </c>
      <c r="E55" s="14" t="s">
        <v>784</v>
      </c>
      <c r="F55" s="14" t="s">
        <v>785</v>
      </c>
      <c r="G55" s="14" t="s">
        <v>783</v>
      </c>
      <c r="H55" s="9" t="s">
        <v>2227</v>
      </c>
      <c r="I55" s="3">
        <v>4367268.7291392339</v>
      </c>
      <c r="J55" s="3">
        <v>1494517.2098827362</v>
      </c>
      <c r="K55" s="3">
        <f t="shared" si="2"/>
        <v>5861785.9390219701</v>
      </c>
      <c r="L55" s="3">
        <f>IFERROR(INDEX('CHIRP Payment Calc'!K:K,MATCH(A:A,'CHIRP Payment Calc'!A:A,0)),0)</f>
        <v>7764543.3287140261</v>
      </c>
      <c r="M55" s="3">
        <f t="shared" si="3"/>
        <v>-1902757.389692056</v>
      </c>
    </row>
    <row r="56" spans="1:13">
      <c r="A56" s="9" t="s">
        <v>1128</v>
      </c>
      <c r="B56" s="9" t="s">
        <v>223</v>
      </c>
      <c r="C56" s="9" t="s">
        <v>222</v>
      </c>
      <c r="D56" s="4" t="s">
        <v>1129</v>
      </c>
      <c r="E56" s="14" t="s">
        <v>1129</v>
      </c>
      <c r="F56" s="14" t="s">
        <v>1130</v>
      </c>
      <c r="G56" s="14" t="s">
        <v>1128</v>
      </c>
      <c r="H56" s="9" t="s">
        <v>1130</v>
      </c>
      <c r="I56" s="3">
        <v>8938.8246750786857</v>
      </c>
      <c r="J56" s="3">
        <v>987.39054526553946</v>
      </c>
      <c r="K56" s="3">
        <f t="shared" si="2"/>
        <v>9926.2152203442256</v>
      </c>
      <c r="L56" s="3">
        <f>IFERROR(INDEX('CHIRP Payment Calc'!K:K,MATCH(A:A,'CHIRP Payment Calc'!A:A,0)),0)</f>
        <v>0</v>
      </c>
      <c r="M56" s="3">
        <f t="shared" si="3"/>
        <v>9926.2152203442256</v>
      </c>
    </row>
    <row r="57" spans="1:13">
      <c r="A57" s="9" t="s">
        <v>434</v>
      </c>
      <c r="B57" s="9" t="s">
        <v>223</v>
      </c>
      <c r="C57" s="9" t="s">
        <v>222</v>
      </c>
      <c r="D57" s="4" t="s">
        <v>435</v>
      </c>
      <c r="E57" s="14" t="s">
        <v>435</v>
      </c>
      <c r="F57" s="14" t="s">
        <v>436</v>
      </c>
      <c r="G57" s="14" t="s">
        <v>434</v>
      </c>
      <c r="H57" s="9" t="s">
        <v>2226</v>
      </c>
      <c r="I57" s="3">
        <v>379984.38645528158</v>
      </c>
      <c r="J57" s="3">
        <v>1281255.4434707561</v>
      </c>
      <c r="K57" s="3">
        <f t="shared" si="2"/>
        <v>1661239.8299260377</v>
      </c>
      <c r="L57" s="3">
        <f>IFERROR(INDEX('CHIRP Payment Calc'!K:K,MATCH(A:A,'CHIRP Payment Calc'!A:A,0)),0)</f>
        <v>0</v>
      </c>
      <c r="M57" s="3">
        <f t="shared" si="3"/>
        <v>1661239.8299260377</v>
      </c>
    </row>
    <row r="58" spans="1:13">
      <c r="A58" s="9" t="s">
        <v>518</v>
      </c>
      <c r="B58" s="9" t="s">
        <v>223</v>
      </c>
      <c r="C58" s="9" t="s">
        <v>222</v>
      </c>
      <c r="D58" s="4" t="s">
        <v>519</v>
      </c>
      <c r="E58" s="14" t="s">
        <v>519</v>
      </c>
      <c r="F58" s="14" t="s">
        <v>520</v>
      </c>
      <c r="G58" s="14" t="s">
        <v>518</v>
      </c>
      <c r="H58" s="9" t="s">
        <v>1717</v>
      </c>
      <c r="I58" s="3">
        <v>1494188.2999223873</v>
      </c>
      <c r="J58" s="3">
        <v>648041.21290250379</v>
      </c>
      <c r="K58" s="3">
        <f t="shared" si="2"/>
        <v>2142229.5128248911</v>
      </c>
      <c r="L58" s="3">
        <f>IFERROR(INDEX('CHIRP Payment Calc'!K:K,MATCH(A:A,'CHIRP Payment Calc'!A:A,0)),0)</f>
        <v>2956858.3586511891</v>
      </c>
      <c r="M58" s="3">
        <f t="shared" si="3"/>
        <v>-814628.845826298</v>
      </c>
    </row>
    <row r="59" spans="1:13">
      <c r="A59" s="9" t="s">
        <v>874</v>
      </c>
      <c r="B59" s="9" t="s">
        <v>223</v>
      </c>
      <c r="C59" s="9" t="s">
        <v>222</v>
      </c>
      <c r="D59" s="4" t="s">
        <v>875</v>
      </c>
      <c r="E59" s="14" t="s">
        <v>875</v>
      </c>
      <c r="F59" s="14" t="s">
        <v>876</v>
      </c>
      <c r="G59" s="14" t="s">
        <v>874</v>
      </c>
      <c r="H59" s="9" t="s">
        <v>2225</v>
      </c>
      <c r="I59" s="3">
        <v>5246905.0589887807</v>
      </c>
      <c r="J59" s="3">
        <v>6959702.8737021349</v>
      </c>
      <c r="K59" s="3">
        <f t="shared" si="2"/>
        <v>12206607.932690915</v>
      </c>
      <c r="L59" s="3">
        <f>IFERROR(INDEX('CHIRP Payment Calc'!K:K,MATCH(A:A,'CHIRP Payment Calc'!A:A,0)),0)</f>
        <v>14799106.530850125</v>
      </c>
      <c r="M59" s="3">
        <f t="shared" si="3"/>
        <v>-2592498.5981592108</v>
      </c>
    </row>
    <row r="60" spans="1:13">
      <c r="A60" s="9" t="s">
        <v>1366</v>
      </c>
      <c r="B60" s="9" t="s">
        <v>223</v>
      </c>
      <c r="C60" s="9" t="s">
        <v>222</v>
      </c>
      <c r="D60" s="4" t="s">
        <v>1367</v>
      </c>
      <c r="E60" s="14" t="s">
        <v>1367</v>
      </c>
      <c r="F60" s="14" t="s">
        <v>1368</v>
      </c>
      <c r="G60" s="14" t="s">
        <v>1366</v>
      </c>
      <c r="H60" s="9" t="s">
        <v>2224</v>
      </c>
      <c r="I60" s="3">
        <v>0</v>
      </c>
      <c r="J60" s="3">
        <v>145.43532090765507</v>
      </c>
      <c r="K60" s="3">
        <f t="shared" si="2"/>
        <v>145.43532090765507</v>
      </c>
      <c r="L60" s="3">
        <f>IFERROR(INDEX('CHIRP Payment Calc'!K:K,MATCH(A:A,'CHIRP Payment Calc'!A:A,0)),0)</f>
        <v>0</v>
      </c>
      <c r="M60" s="3">
        <f t="shared" si="3"/>
        <v>145.43532090765507</v>
      </c>
    </row>
    <row r="61" spans="1:13">
      <c r="A61" s="9" t="s">
        <v>968</v>
      </c>
      <c r="B61" s="9" t="s">
        <v>223</v>
      </c>
      <c r="C61" s="9" t="s">
        <v>222</v>
      </c>
      <c r="D61" s="4" t="s">
        <v>969</v>
      </c>
      <c r="E61" s="14" t="s">
        <v>969</v>
      </c>
      <c r="F61" s="14" t="s">
        <v>970</v>
      </c>
      <c r="G61" s="14" t="s">
        <v>968</v>
      </c>
      <c r="H61" s="9" t="s">
        <v>970</v>
      </c>
      <c r="I61" s="3">
        <v>64239.024703958981</v>
      </c>
      <c r="J61" s="3">
        <v>894.65613458409098</v>
      </c>
      <c r="K61" s="3">
        <f t="shared" si="2"/>
        <v>65133.68083854307</v>
      </c>
      <c r="L61" s="3">
        <f>IFERROR(INDEX('CHIRP Payment Calc'!K:K,MATCH(A:A,'CHIRP Payment Calc'!A:A,0)),0)</f>
        <v>94914.848943101679</v>
      </c>
      <c r="M61" s="3">
        <f t="shared" si="3"/>
        <v>-29781.168104558608</v>
      </c>
    </row>
    <row r="62" spans="1:13">
      <c r="A62" s="9" t="s">
        <v>1690</v>
      </c>
      <c r="B62" s="9" t="s">
        <v>223</v>
      </c>
      <c r="C62" s="9" t="s">
        <v>222</v>
      </c>
      <c r="D62" s="4" t="s">
        <v>1691</v>
      </c>
      <c r="E62" s="14" t="s">
        <v>1691</v>
      </c>
      <c r="F62" s="14" t="s">
        <v>1689</v>
      </c>
      <c r="G62" s="14" t="s">
        <v>1690</v>
      </c>
      <c r="H62" s="9" t="s">
        <v>1689</v>
      </c>
      <c r="I62" s="3">
        <v>309477.72834664246</v>
      </c>
      <c r="J62" s="3">
        <v>0</v>
      </c>
      <c r="K62" s="3">
        <f t="shared" si="2"/>
        <v>309477.72834664246</v>
      </c>
      <c r="L62" s="3">
        <f>IFERROR(INDEX('CHIRP Payment Calc'!K:K,MATCH(A:A,'CHIRP Payment Calc'!A:A,0)),0)</f>
        <v>0</v>
      </c>
      <c r="M62" s="3">
        <f t="shared" si="3"/>
        <v>309477.72834664246</v>
      </c>
    </row>
    <row r="63" spans="1:13">
      <c r="A63" s="9" t="s">
        <v>103</v>
      </c>
      <c r="B63" s="9" t="s">
        <v>223</v>
      </c>
      <c r="C63" s="9" t="s">
        <v>222</v>
      </c>
      <c r="D63" s="4" t="s">
        <v>104</v>
      </c>
      <c r="E63" s="14" t="s">
        <v>104</v>
      </c>
      <c r="F63" s="14" t="s">
        <v>105</v>
      </c>
      <c r="G63" s="14" t="s">
        <v>103</v>
      </c>
      <c r="H63" s="9" t="s">
        <v>2223</v>
      </c>
      <c r="I63" s="3">
        <v>0</v>
      </c>
      <c r="J63" s="3">
        <v>0</v>
      </c>
      <c r="K63" s="3">
        <f t="shared" si="2"/>
        <v>0</v>
      </c>
      <c r="L63" s="3">
        <f>IFERROR(INDEX('CHIRP Payment Calc'!K:K,MATCH(A:A,'CHIRP Payment Calc'!A:A,0)),0)</f>
        <v>0</v>
      </c>
      <c r="M63" s="3">
        <f t="shared" si="3"/>
        <v>0</v>
      </c>
    </row>
    <row r="64" spans="1:13">
      <c r="A64" s="9" t="s">
        <v>1440</v>
      </c>
      <c r="B64" s="9" t="s">
        <v>223</v>
      </c>
      <c r="C64" s="9" t="s">
        <v>222</v>
      </c>
      <c r="D64" s="4" t="s">
        <v>1441</v>
      </c>
      <c r="E64" s="14" t="s">
        <v>1441</v>
      </c>
      <c r="F64" s="14" t="s">
        <v>1442</v>
      </c>
      <c r="G64" s="14" t="s">
        <v>1440</v>
      </c>
      <c r="H64" s="9" t="s">
        <v>2222</v>
      </c>
      <c r="I64" s="3">
        <v>0</v>
      </c>
      <c r="J64" s="3">
        <v>0</v>
      </c>
      <c r="K64" s="3">
        <f t="shared" si="2"/>
        <v>0</v>
      </c>
      <c r="L64" s="3">
        <f>IFERROR(INDEX('CHIRP Payment Calc'!K:K,MATCH(A:A,'CHIRP Payment Calc'!A:A,0)),0)</f>
        <v>254229.20598313623</v>
      </c>
      <c r="M64" s="3">
        <f t="shared" si="3"/>
        <v>-254229.20598313623</v>
      </c>
    </row>
    <row r="65" spans="1:13">
      <c r="A65" s="9" t="s">
        <v>291</v>
      </c>
      <c r="B65" s="9" t="s">
        <v>223</v>
      </c>
      <c r="C65" s="9" t="s">
        <v>222</v>
      </c>
      <c r="D65" s="4" t="s">
        <v>292</v>
      </c>
      <c r="E65" s="14" t="s">
        <v>292</v>
      </c>
      <c r="F65" s="14" t="s">
        <v>293</v>
      </c>
      <c r="G65" s="14" t="s">
        <v>291</v>
      </c>
      <c r="H65" s="9" t="s">
        <v>2221</v>
      </c>
      <c r="I65" s="3">
        <v>0</v>
      </c>
      <c r="J65" s="3">
        <v>31548.348286514731</v>
      </c>
      <c r="K65" s="3">
        <f t="shared" si="2"/>
        <v>31548.348286514731</v>
      </c>
      <c r="L65" s="3">
        <f>IFERROR(INDEX('CHIRP Payment Calc'!K:K,MATCH(A:A,'CHIRP Payment Calc'!A:A,0)),0)</f>
        <v>0</v>
      </c>
      <c r="M65" s="3">
        <f t="shared" si="3"/>
        <v>31548.348286514731</v>
      </c>
    </row>
    <row r="66" spans="1:13">
      <c r="A66" s="9" t="s">
        <v>1113</v>
      </c>
      <c r="B66" s="9" t="s">
        <v>223</v>
      </c>
      <c r="C66" s="9" t="s">
        <v>222</v>
      </c>
      <c r="D66" s="4" t="s">
        <v>1114</v>
      </c>
      <c r="E66" s="14" t="s">
        <v>1114</v>
      </c>
      <c r="F66" s="14" t="s">
        <v>1115</v>
      </c>
      <c r="G66" s="14" t="s">
        <v>1113</v>
      </c>
      <c r="H66" s="9" t="s">
        <v>2220</v>
      </c>
      <c r="I66" s="3">
        <v>12132213.374191867</v>
      </c>
      <c r="J66" s="3">
        <v>8435213.2583940756</v>
      </c>
      <c r="K66" s="3">
        <f t="shared" si="2"/>
        <v>20567426.632585943</v>
      </c>
      <c r="L66" s="3">
        <f>IFERROR(INDEX('CHIRP Payment Calc'!K:K,MATCH(A:A,'CHIRP Payment Calc'!A:A,0)),0)</f>
        <v>23698226.152075648</v>
      </c>
      <c r="M66" s="3">
        <f t="shared" si="3"/>
        <v>-3130799.5194897056</v>
      </c>
    </row>
    <row r="67" spans="1:13">
      <c r="A67" s="9" t="s">
        <v>94</v>
      </c>
      <c r="B67" s="9" t="s">
        <v>223</v>
      </c>
      <c r="C67" s="9" t="s">
        <v>222</v>
      </c>
      <c r="D67" s="4" t="s">
        <v>95</v>
      </c>
      <c r="E67" s="14" t="s">
        <v>95</v>
      </c>
      <c r="F67" s="14" t="s">
        <v>96</v>
      </c>
      <c r="G67" s="14" t="s">
        <v>94</v>
      </c>
      <c r="H67" s="9" t="s">
        <v>2219</v>
      </c>
      <c r="I67" s="3">
        <v>0</v>
      </c>
      <c r="J67" s="3">
        <v>0</v>
      </c>
      <c r="K67" s="3">
        <f t="shared" si="2"/>
        <v>0</v>
      </c>
      <c r="L67" s="3">
        <f>IFERROR(INDEX('CHIRP Payment Calc'!K:K,MATCH(A:A,'CHIRP Payment Calc'!A:A,0)),0)</f>
        <v>0</v>
      </c>
      <c r="M67" s="3">
        <f t="shared" si="3"/>
        <v>0</v>
      </c>
    </row>
    <row r="68" spans="1:13">
      <c r="A68" s="9" t="s">
        <v>605</v>
      </c>
      <c r="B68" s="9" t="s">
        <v>223</v>
      </c>
      <c r="C68" s="9" t="s">
        <v>222</v>
      </c>
      <c r="D68" s="4" t="s">
        <v>606</v>
      </c>
      <c r="E68" s="14" t="s">
        <v>606</v>
      </c>
      <c r="F68" s="14" t="s">
        <v>607</v>
      </c>
      <c r="G68" s="14" t="s">
        <v>605</v>
      </c>
      <c r="H68" s="9" t="s">
        <v>2218</v>
      </c>
      <c r="I68" s="3">
        <v>4086047.5436535566</v>
      </c>
      <c r="J68" s="3">
        <v>2976068.6120769833</v>
      </c>
      <c r="K68" s="3">
        <f t="shared" si="2"/>
        <v>7062116.1557305399</v>
      </c>
      <c r="L68" s="3">
        <f>IFERROR(INDEX('CHIRP Payment Calc'!K:K,MATCH(A:A,'CHIRP Payment Calc'!A:A,0)),0)</f>
        <v>9406635.8436595872</v>
      </c>
      <c r="M68" s="3">
        <f t="shared" si="3"/>
        <v>-2344519.6879290473</v>
      </c>
    </row>
    <row r="69" spans="1:13">
      <c r="A69" s="9" t="s">
        <v>524</v>
      </c>
      <c r="B69" s="9" t="s">
        <v>223</v>
      </c>
      <c r="C69" s="9" t="s">
        <v>222</v>
      </c>
      <c r="D69" s="4" t="s">
        <v>525</v>
      </c>
      <c r="E69" s="14" t="s">
        <v>525</v>
      </c>
      <c r="F69" s="14" t="s">
        <v>526</v>
      </c>
      <c r="G69" s="14" t="s">
        <v>524</v>
      </c>
      <c r="H69" s="9" t="s">
        <v>1716</v>
      </c>
      <c r="I69" s="3">
        <v>5255734.5389700774</v>
      </c>
      <c r="J69" s="3">
        <v>8672858.256745033</v>
      </c>
      <c r="K69" s="3">
        <f t="shared" si="2"/>
        <v>13928592.79571511</v>
      </c>
      <c r="L69" s="3">
        <f>IFERROR(INDEX('CHIRP Payment Calc'!K:K,MATCH(A:A,'CHIRP Payment Calc'!A:A,0)),0)</f>
        <v>29662080.71042347</v>
      </c>
      <c r="M69" s="3">
        <f t="shared" si="3"/>
        <v>-15733487.914708359</v>
      </c>
    </row>
    <row r="70" spans="1:13">
      <c r="A70" s="9" t="s">
        <v>1119</v>
      </c>
      <c r="B70" s="9" t="s">
        <v>223</v>
      </c>
      <c r="C70" s="9" t="s">
        <v>222</v>
      </c>
      <c r="D70" s="4" t="s">
        <v>1120</v>
      </c>
      <c r="E70" s="14" t="s">
        <v>1120</v>
      </c>
      <c r="F70" s="14" t="s">
        <v>1121</v>
      </c>
      <c r="G70" s="14" t="s">
        <v>1119</v>
      </c>
      <c r="H70" s="9" t="s">
        <v>2217</v>
      </c>
      <c r="I70" s="3">
        <v>686979.8132496645</v>
      </c>
      <c r="J70" s="3">
        <v>669874.53634649375</v>
      </c>
      <c r="K70" s="3">
        <f t="shared" si="2"/>
        <v>1356854.3495961581</v>
      </c>
      <c r="L70" s="3">
        <f>IFERROR(INDEX('CHIRP Payment Calc'!K:K,MATCH(A:A,'CHIRP Payment Calc'!A:A,0)),0)</f>
        <v>1734184.6552568434</v>
      </c>
      <c r="M70" s="3">
        <f t="shared" si="3"/>
        <v>-377330.30566068529</v>
      </c>
    </row>
    <row r="71" spans="1:13">
      <c r="A71" s="9" t="s">
        <v>2326</v>
      </c>
      <c r="B71" s="9" t="s">
        <v>223</v>
      </c>
      <c r="C71" s="9" t="s">
        <v>222</v>
      </c>
      <c r="D71" s="4" t="s">
        <v>2216</v>
      </c>
      <c r="E71" s="14" t="s">
        <v>2326</v>
      </c>
      <c r="F71" s="14" t="e">
        <v>#N/A</v>
      </c>
      <c r="G71" s="14" t="s">
        <v>2326</v>
      </c>
      <c r="H71" s="9" t="s">
        <v>2215</v>
      </c>
      <c r="I71" s="3">
        <v>0</v>
      </c>
      <c r="J71" s="3">
        <v>0</v>
      </c>
      <c r="K71" s="3">
        <f t="shared" si="2"/>
        <v>0</v>
      </c>
      <c r="L71" s="3">
        <f>IFERROR(INDEX('CHIRP Payment Calc'!K:K,MATCH(A:A,'CHIRP Payment Calc'!A:A,0)),0)</f>
        <v>0</v>
      </c>
      <c r="M71" s="3">
        <f t="shared" si="3"/>
        <v>0</v>
      </c>
    </row>
    <row r="72" spans="1:13">
      <c r="A72" s="9" t="s">
        <v>880</v>
      </c>
      <c r="B72" s="9" t="s">
        <v>223</v>
      </c>
      <c r="C72" s="9" t="s">
        <v>222</v>
      </c>
      <c r="D72" s="4" t="s">
        <v>881</v>
      </c>
      <c r="E72" s="14" t="s">
        <v>881</v>
      </c>
      <c r="F72" s="14" t="s">
        <v>882</v>
      </c>
      <c r="G72" s="14" t="s">
        <v>880</v>
      </c>
      <c r="H72" s="9" t="s">
        <v>2214</v>
      </c>
      <c r="I72" s="3">
        <v>12425037.925576687</v>
      </c>
      <c r="J72" s="3">
        <v>9434030.5667901002</v>
      </c>
      <c r="K72" s="3">
        <f t="shared" ref="K72:K135" si="4">I72+J72</f>
        <v>21859068.492366787</v>
      </c>
      <c r="L72" s="3">
        <f>IFERROR(INDEX('CHIRP Payment Calc'!K:K,MATCH(A:A,'CHIRP Payment Calc'!A:A,0)),0)</f>
        <v>26029675.666631229</v>
      </c>
      <c r="M72" s="3">
        <f t="shared" ref="M72:M135" si="5">K72-L72</f>
        <v>-4170607.1742644422</v>
      </c>
    </row>
    <row r="73" spans="1:13">
      <c r="A73" s="9" t="s">
        <v>1372</v>
      </c>
      <c r="B73" s="9" t="s">
        <v>223</v>
      </c>
      <c r="C73" s="9" t="s">
        <v>222</v>
      </c>
      <c r="D73" s="4" t="s">
        <v>1373</v>
      </c>
      <c r="E73" s="14" t="s">
        <v>1373</v>
      </c>
      <c r="F73" s="14" t="s">
        <v>1374</v>
      </c>
      <c r="G73" s="14" t="s">
        <v>1372</v>
      </c>
      <c r="H73" s="9" t="s">
        <v>2213</v>
      </c>
      <c r="I73" s="3">
        <v>8581.4988777382569</v>
      </c>
      <c r="J73" s="3">
        <v>28418.746326935045</v>
      </c>
      <c r="K73" s="3">
        <f t="shared" si="4"/>
        <v>37000.245204673301</v>
      </c>
      <c r="L73" s="3">
        <f>IFERROR(INDEX('CHIRP Payment Calc'!K:K,MATCH(A:A,'CHIRP Payment Calc'!A:A,0)),0)</f>
        <v>0</v>
      </c>
      <c r="M73" s="3">
        <f t="shared" si="5"/>
        <v>37000.245204673301</v>
      </c>
    </row>
    <row r="74" spans="1:13">
      <c r="A74" s="9" t="s">
        <v>923</v>
      </c>
      <c r="B74" s="9" t="s">
        <v>223</v>
      </c>
      <c r="C74" s="9" t="s">
        <v>222</v>
      </c>
      <c r="D74" s="4" t="s">
        <v>924</v>
      </c>
      <c r="E74" s="14" t="s">
        <v>924</v>
      </c>
      <c r="F74" s="14" t="s">
        <v>925</v>
      </c>
      <c r="G74" s="14" t="s">
        <v>923</v>
      </c>
      <c r="H74" s="9" t="s">
        <v>1744</v>
      </c>
      <c r="I74" s="3">
        <v>0</v>
      </c>
      <c r="J74" s="3">
        <v>0</v>
      </c>
      <c r="K74" s="3">
        <f t="shared" si="4"/>
        <v>0</v>
      </c>
      <c r="L74" s="3">
        <f>IFERROR(INDEX('CHIRP Payment Calc'!K:K,MATCH(A:A,'CHIRP Payment Calc'!A:A,0)),0)</f>
        <v>0</v>
      </c>
      <c r="M74" s="3">
        <f t="shared" si="5"/>
        <v>0</v>
      </c>
    </row>
    <row r="75" spans="1:13">
      <c r="A75" s="9" t="s">
        <v>428</v>
      </c>
      <c r="B75" s="9" t="s">
        <v>223</v>
      </c>
      <c r="C75" s="9" t="s">
        <v>222</v>
      </c>
      <c r="D75" s="4" t="s">
        <v>429</v>
      </c>
      <c r="E75" s="14" t="s">
        <v>429</v>
      </c>
      <c r="F75" s="14" t="s">
        <v>430</v>
      </c>
      <c r="G75" s="14" t="s">
        <v>428</v>
      </c>
      <c r="H75" s="9" t="s">
        <v>2212</v>
      </c>
      <c r="I75" s="3">
        <v>520877.13201660127</v>
      </c>
      <c r="J75" s="3">
        <v>616336.33745906525</v>
      </c>
      <c r="K75" s="3">
        <f t="shared" si="4"/>
        <v>1137213.4694756665</v>
      </c>
      <c r="L75" s="3">
        <f>IFERROR(INDEX('CHIRP Payment Calc'!K:K,MATCH(A:A,'CHIRP Payment Calc'!A:A,0)),0)</f>
        <v>1279549.7609652202</v>
      </c>
      <c r="M75" s="3">
        <f t="shared" si="5"/>
        <v>-142336.29148955364</v>
      </c>
    </row>
    <row r="76" spans="1:13">
      <c r="A76" s="9" t="s">
        <v>25</v>
      </c>
      <c r="B76" s="9" t="s">
        <v>223</v>
      </c>
      <c r="C76" s="9" t="s">
        <v>222</v>
      </c>
      <c r="D76" s="4" t="s">
        <v>26</v>
      </c>
      <c r="E76" s="14" t="s">
        <v>26</v>
      </c>
      <c r="F76" s="14" t="s">
        <v>27</v>
      </c>
      <c r="G76" s="14" t="s">
        <v>25</v>
      </c>
      <c r="H76" s="9" t="s">
        <v>1718</v>
      </c>
      <c r="I76" s="3">
        <v>0</v>
      </c>
      <c r="J76" s="3">
        <v>185556.13603372275</v>
      </c>
      <c r="K76" s="3">
        <f t="shared" si="4"/>
        <v>185556.13603372275</v>
      </c>
      <c r="L76" s="3">
        <f>IFERROR(INDEX('CHIRP Payment Calc'!K:K,MATCH(A:A,'CHIRP Payment Calc'!A:A,0)),0)</f>
        <v>142878.14247789601</v>
      </c>
      <c r="M76" s="3">
        <f t="shared" si="5"/>
        <v>42677.993555826746</v>
      </c>
    </row>
    <row r="77" spans="1:13">
      <c r="A77" s="9" t="s">
        <v>365</v>
      </c>
      <c r="B77" s="9" t="s">
        <v>223</v>
      </c>
      <c r="C77" s="9" t="s">
        <v>222</v>
      </c>
      <c r="D77" s="4" t="s">
        <v>366</v>
      </c>
      <c r="E77" s="14" t="s">
        <v>366</v>
      </c>
      <c r="F77" s="14" t="s">
        <v>367</v>
      </c>
      <c r="G77" s="14" t="s">
        <v>365</v>
      </c>
      <c r="H77" s="9" t="s">
        <v>2211</v>
      </c>
      <c r="I77" s="3">
        <v>895073.47329291969</v>
      </c>
      <c r="J77" s="3">
        <v>638461.75508426991</v>
      </c>
      <c r="K77" s="3">
        <f t="shared" si="4"/>
        <v>1533535.2283771895</v>
      </c>
      <c r="L77" s="3">
        <f>IFERROR(INDEX('CHIRP Payment Calc'!K:K,MATCH(A:A,'CHIRP Payment Calc'!A:A,0)),0)</f>
        <v>2042924.0750948479</v>
      </c>
      <c r="M77" s="3">
        <f t="shared" si="5"/>
        <v>-509388.84671765845</v>
      </c>
    </row>
    <row r="78" spans="1:13">
      <c r="A78" s="9" t="s">
        <v>521</v>
      </c>
      <c r="B78" s="9" t="s">
        <v>223</v>
      </c>
      <c r="C78" s="9" t="s">
        <v>222</v>
      </c>
      <c r="D78" s="4" t="s">
        <v>522</v>
      </c>
      <c r="E78" s="14" t="s">
        <v>522</v>
      </c>
      <c r="F78" s="14" t="s">
        <v>523</v>
      </c>
      <c r="G78" s="14" t="s">
        <v>521</v>
      </c>
      <c r="H78" s="9" t="s">
        <v>2210</v>
      </c>
      <c r="I78" s="3">
        <v>0</v>
      </c>
      <c r="J78" s="3">
        <v>365742.07228948857</v>
      </c>
      <c r="K78" s="3">
        <f t="shared" si="4"/>
        <v>365742.07228948857</v>
      </c>
      <c r="L78" s="3">
        <f>IFERROR(INDEX('CHIRP Payment Calc'!K:K,MATCH(A:A,'CHIRP Payment Calc'!A:A,0)),0)</f>
        <v>258388.86346590676</v>
      </c>
      <c r="M78" s="3">
        <f t="shared" si="5"/>
        <v>107353.20882358181</v>
      </c>
    </row>
    <row r="79" spans="1:13">
      <c r="A79" s="9" t="s">
        <v>1746</v>
      </c>
      <c r="B79" s="9" t="s">
        <v>223</v>
      </c>
      <c r="C79" s="9" t="s">
        <v>222</v>
      </c>
      <c r="D79" s="4" t="s">
        <v>1745</v>
      </c>
      <c r="E79" s="14" t="s">
        <v>1745</v>
      </c>
      <c r="F79" s="14" t="e">
        <v>#N/A</v>
      </c>
      <c r="G79" s="14" t="s">
        <v>1746</v>
      </c>
      <c r="H79" s="9" t="s">
        <v>1747</v>
      </c>
      <c r="I79" s="3">
        <v>0</v>
      </c>
      <c r="J79" s="3">
        <v>0</v>
      </c>
      <c r="K79" s="3">
        <f t="shared" si="4"/>
        <v>0</v>
      </c>
      <c r="L79" s="3">
        <f>IFERROR(INDEX('CHIRP Payment Calc'!K:K,MATCH(A:A,'CHIRP Payment Calc'!A:A,0)),0)</f>
        <v>0</v>
      </c>
      <c r="M79" s="3">
        <f t="shared" si="5"/>
        <v>0</v>
      </c>
    </row>
    <row r="80" spans="1:13">
      <c r="A80" s="9" t="s">
        <v>189</v>
      </c>
      <c r="B80" s="9" t="s">
        <v>223</v>
      </c>
      <c r="C80" s="9" t="s">
        <v>222</v>
      </c>
      <c r="D80" s="4" t="s">
        <v>190</v>
      </c>
      <c r="E80" s="14" t="s">
        <v>190</v>
      </c>
      <c r="F80" s="14" t="s">
        <v>191</v>
      </c>
      <c r="G80" s="14" t="s">
        <v>189</v>
      </c>
      <c r="H80" s="9" t="s">
        <v>2209</v>
      </c>
      <c r="I80" s="3">
        <v>0</v>
      </c>
      <c r="J80" s="3">
        <v>1364.0647354157666</v>
      </c>
      <c r="K80" s="3">
        <f t="shared" si="4"/>
        <v>1364.0647354157666</v>
      </c>
      <c r="L80" s="3">
        <f>IFERROR(INDEX('CHIRP Payment Calc'!K:K,MATCH(A:A,'CHIRP Payment Calc'!A:A,0)),0)</f>
        <v>0</v>
      </c>
      <c r="M80" s="3">
        <f t="shared" si="5"/>
        <v>1364.0647354157666</v>
      </c>
    </row>
    <row r="81" spans="1:13">
      <c r="A81" s="9" t="s">
        <v>219</v>
      </c>
      <c r="B81" s="9" t="s">
        <v>223</v>
      </c>
      <c r="C81" s="9" t="s">
        <v>222</v>
      </c>
      <c r="D81" s="4" t="s">
        <v>220</v>
      </c>
      <c r="E81" s="14" t="s">
        <v>220</v>
      </c>
      <c r="F81" s="14" t="s">
        <v>221</v>
      </c>
      <c r="G81" s="14" t="s">
        <v>219</v>
      </c>
      <c r="H81" s="9" t="s">
        <v>2208</v>
      </c>
      <c r="I81" s="3">
        <v>0</v>
      </c>
      <c r="J81" s="3">
        <v>0</v>
      </c>
      <c r="K81" s="3">
        <f t="shared" si="4"/>
        <v>0</v>
      </c>
      <c r="L81" s="3">
        <f>IFERROR(INDEX('CHIRP Payment Calc'!K:K,MATCH(A:A,'CHIRP Payment Calc'!A:A,0)),0)</f>
        <v>0</v>
      </c>
      <c r="M81" s="3">
        <f t="shared" si="5"/>
        <v>0</v>
      </c>
    </row>
    <row r="82" spans="1:13">
      <c r="A82" s="9" t="s">
        <v>2206</v>
      </c>
      <c r="B82" s="9" t="s">
        <v>223</v>
      </c>
      <c r="C82" s="9" t="s">
        <v>222</v>
      </c>
      <c r="D82" s="4" t="s">
        <v>2207</v>
      </c>
      <c r="E82" s="14" t="s">
        <v>2207</v>
      </c>
      <c r="F82" s="14" t="e">
        <v>#N/A</v>
      </c>
      <c r="G82" s="14" t="s">
        <v>2206</v>
      </c>
      <c r="H82" s="9" t="s">
        <v>2205</v>
      </c>
      <c r="I82" s="3">
        <v>0</v>
      </c>
      <c r="J82" s="3">
        <v>0</v>
      </c>
      <c r="K82" s="3">
        <f t="shared" si="4"/>
        <v>0</v>
      </c>
      <c r="L82" s="3">
        <f>IFERROR(INDEX('CHIRP Payment Calc'!K:K,MATCH(A:A,'CHIRP Payment Calc'!A:A,0)),0)</f>
        <v>0</v>
      </c>
      <c r="M82" s="3">
        <f t="shared" si="5"/>
        <v>0</v>
      </c>
    </row>
    <row r="83" spans="1:13">
      <c r="A83" s="9" t="s">
        <v>1549</v>
      </c>
      <c r="B83" s="9" t="s">
        <v>223</v>
      </c>
      <c r="C83" s="9" t="s">
        <v>222</v>
      </c>
      <c r="D83" s="4" t="s">
        <v>109</v>
      </c>
      <c r="E83" s="14" t="s">
        <v>109</v>
      </c>
      <c r="F83" s="14" t="s">
        <v>110</v>
      </c>
      <c r="G83" s="14" t="s">
        <v>1549</v>
      </c>
      <c r="H83" s="9" t="s">
        <v>2204</v>
      </c>
      <c r="I83" s="3">
        <v>37472172.865431286</v>
      </c>
      <c r="J83" s="3">
        <v>11511009.901441297</v>
      </c>
      <c r="K83" s="3">
        <f t="shared" si="4"/>
        <v>48983182.766872585</v>
      </c>
      <c r="L83" s="3">
        <f>IFERROR(INDEX('CHIRP Payment Calc'!K:K,MATCH(A:A,'CHIRP Payment Calc'!A:A,0)),0)</f>
        <v>50942285.010731153</v>
      </c>
      <c r="M83" s="3">
        <f t="shared" si="5"/>
        <v>-1959102.2438585684</v>
      </c>
    </row>
    <row r="84" spans="1:13">
      <c r="A84" s="9" t="s">
        <v>632</v>
      </c>
      <c r="B84" s="9" t="s">
        <v>223</v>
      </c>
      <c r="C84" s="9" t="s">
        <v>222</v>
      </c>
      <c r="D84" s="4" t="s">
        <v>633</v>
      </c>
      <c r="E84" s="14" t="s">
        <v>633</v>
      </c>
      <c r="F84" s="14" t="s">
        <v>634</v>
      </c>
      <c r="G84" s="14" t="s">
        <v>632</v>
      </c>
      <c r="H84" s="9" t="s">
        <v>2203</v>
      </c>
      <c r="I84" s="3">
        <v>5868425.2824665569</v>
      </c>
      <c r="J84" s="3">
        <v>4552352.1777542066</v>
      </c>
      <c r="K84" s="3">
        <f t="shared" si="4"/>
        <v>10420777.460220763</v>
      </c>
      <c r="L84" s="3">
        <f>IFERROR(INDEX('CHIRP Payment Calc'!K:K,MATCH(A:A,'CHIRP Payment Calc'!A:A,0)),0)</f>
        <v>12361020.383952798</v>
      </c>
      <c r="M84" s="3">
        <f t="shared" si="5"/>
        <v>-1940242.9237320349</v>
      </c>
    </row>
    <row r="85" spans="1:13">
      <c r="A85" s="9" t="s">
        <v>201</v>
      </c>
      <c r="B85" s="9" t="s">
        <v>223</v>
      </c>
      <c r="C85" s="9" t="s">
        <v>222</v>
      </c>
      <c r="D85" s="4" t="s">
        <v>202</v>
      </c>
      <c r="E85" s="14" t="s">
        <v>202</v>
      </c>
      <c r="F85" s="14" t="s">
        <v>203</v>
      </c>
      <c r="G85" s="14" t="s">
        <v>201</v>
      </c>
      <c r="H85" s="9" t="s">
        <v>2202</v>
      </c>
      <c r="I85" s="3">
        <v>0</v>
      </c>
      <c r="J85" s="3">
        <v>0</v>
      </c>
      <c r="K85" s="3">
        <f t="shared" si="4"/>
        <v>0</v>
      </c>
      <c r="L85" s="3">
        <f>IFERROR(INDEX('CHIRP Payment Calc'!K:K,MATCH(A:A,'CHIRP Payment Calc'!A:A,0)),0)</f>
        <v>0</v>
      </c>
      <c r="M85" s="3">
        <f t="shared" si="5"/>
        <v>0</v>
      </c>
    </row>
    <row r="86" spans="1:13">
      <c r="A86" s="9" t="s">
        <v>353</v>
      </c>
      <c r="B86" s="9" t="s">
        <v>223</v>
      </c>
      <c r="C86" s="9" t="s">
        <v>222</v>
      </c>
      <c r="D86" s="4" t="s">
        <v>354</v>
      </c>
      <c r="E86" s="14" t="s">
        <v>354</v>
      </c>
      <c r="F86" s="14" t="s">
        <v>355</v>
      </c>
      <c r="G86" s="14" t="s">
        <v>353</v>
      </c>
      <c r="H86" s="9" t="s">
        <v>2201</v>
      </c>
      <c r="I86" s="3">
        <v>322011.81808946142</v>
      </c>
      <c r="J86" s="3">
        <v>180701.35337862291</v>
      </c>
      <c r="K86" s="3">
        <f t="shared" si="4"/>
        <v>502713.17146808433</v>
      </c>
      <c r="L86" s="3">
        <f>IFERROR(INDEX('CHIRP Payment Calc'!K:K,MATCH(A:A,'CHIRP Payment Calc'!A:A,0)),0)</f>
        <v>628972.56033027323</v>
      </c>
      <c r="M86" s="3">
        <f t="shared" si="5"/>
        <v>-126259.38886218891</v>
      </c>
    </row>
    <row r="87" spans="1:13">
      <c r="A87" s="9" t="s">
        <v>1444</v>
      </c>
      <c r="B87" s="9" t="s">
        <v>223</v>
      </c>
      <c r="C87" s="9" t="s">
        <v>222</v>
      </c>
      <c r="D87" s="4" t="s">
        <v>1445</v>
      </c>
      <c r="E87" s="14" t="s">
        <v>1445</v>
      </c>
      <c r="F87" s="14" t="s">
        <v>1446</v>
      </c>
      <c r="G87" s="14" t="s">
        <v>1444</v>
      </c>
      <c r="H87" s="9" t="s">
        <v>1678</v>
      </c>
      <c r="I87" s="3">
        <v>0</v>
      </c>
      <c r="J87" s="3">
        <v>27608.428096257499</v>
      </c>
      <c r="K87" s="3">
        <f t="shared" si="4"/>
        <v>27608.428096257499</v>
      </c>
      <c r="L87" s="3">
        <f>IFERROR(INDEX('CHIRP Payment Calc'!K:K,MATCH(A:A,'CHIRP Payment Calc'!A:A,0)),0)</f>
        <v>58086.987127870154</v>
      </c>
      <c r="M87" s="3">
        <f t="shared" si="5"/>
        <v>-30478.559031612655</v>
      </c>
    </row>
    <row r="88" spans="1:13">
      <c r="A88" s="9" t="s">
        <v>478</v>
      </c>
      <c r="B88" s="9" t="s">
        <v>223</v>
      </c>
      <c r="C88" s="9" t="s">
        <v>222</v>
      </c>
      <c r="D88" s="4" t="s">
        <v>479</v>
      </c>
      <c r="E88" s="14" t="s">
        <v>479</v>
      </c>
      <c r="F88" s="14" t="s">
        <v>480</v>
      </c>
      <c r="G88" s="14" t="s">
        <v>478</v>
      </c>
      <c r="H88" s="9" t="s">
        <v>2200</v>
      </c>
      <c r="I88" s="3">
        <v>5826267.5165926637</v>
      </c>
      <c r="J88" s="3">
        <v>961866.38697692135</v>
      </c>
      <c r="K88" s="3">
        <f t="shared" si="4"/>
        <v>6788133.9035695847</v>
      </c>
      <c r="L88" s="3">
        <f>IFERROR(INDEX('CHIRP Payment Calc'!K:K,MATCH(A:A,'CHIRP Payment Calc'!A:A,0)),0)</f>
        <v>10377488.692039797</v>
      </c>
      <c r="M88" s="3">
        <f t="shared" si="5"/>
        <v>-3589354.7884702124</v>
      </c>
    </row>
    <row r="89" spans="1:13">
      <c r="A89" s="9" t="s">
        <v>980</v>
      </c>
      <c r="B89" s="9" t="s">
        <v>223</v>
      </c>
      <c r="C89" s="9" t="s">
        <v>222</v>
      </c>
      <c r="D89" s="4" t="s">
        <v>981</v>
      </c>
      <c r="E89" s="14" t="s">
        <v>981</v>
      </c>
      <c r="F89" s="14" t="s">
        <v>982</v>
      </c>
      <c r="G89" s="14" t="s">
        <v>980</v>
      </c>
      <c r="H89" s="9" t="s">
        <v>2199</v>
      </c>
      <c r="I89" s="3">
        <v>2931096.5513374764</v>
      </c>
      <c r="J89" s="3">
        <v>1609256.5883542164</v>
      </c>
      <c r="K89" s="3">
        <f t="shared" si="4"/>
        <v>4540353.1396916928</v>
      </c>
      <c r="L89" s="3">
        <f>IFERROR(INDEX('CHIRP Payment Calc'!K:K,MATCH(A:A,'CHIRP Payment Calc'!A:A,0)),0)</f>
        <v>6660606.3854772495</v>
      </c>
      <c r="M89" s="3">
        <f t="shared" si="5"/>
        <v>-2120253.2457855567</v>
      </c>
    </row>
    <row r="90" spans="1:13">
      <c r="A90" s="9" t="s">
        <v>37</v>
      </c>
      <c r="B90" s="9" t="s">
        <v>223</v>
      </c>
      <c r="C90" s="9" t="s">
        <v>222</v>
      </c>
      <c r="D90" s="4" t="s">
        <v>38</v>
      </c>
      <c r="E90" s="14" t="s">
        <v>38</v>
      </c>
      <c r="F90" s="14" t="s">
        <v>39</v>
      </c>
      <c r="G90" s="14" t="s">
        <v>1546</v>
      </c>
      <c r="H90" s="9" t="s">
        <v>2198</v>
      </c>
      <c r="I90" s="3">
        <v>469016.08195217955</v>
      </c>
      <c r="J90" s="3">
        <v>213323.41713601173</v>
      </c>
      <c r="K90" s="3">
        <f t="shared" si="4"/>
        <v>682339.49908819131</v>
      </c>
      <c r="L90" s="3">
        <f>IFERROR(INDEX('CHIRP Payment Calc'!K:K,MATCH(A:A,'CHIRP Payment Calc'!A:A,0)),0)</f>
        <v>694915.24727321696</v>
      </c>
      <c r="M90" s="3">
        <f t="shared" si="5"/>
        <v>-12575.748185025644</v>
      </c>
    </row>
    <row r="91" spans="1:13">
      <c r="A91" s="9" t="s">
        <v>213</v>
      </c>
      <c r="B91" s="9" t="s">
        <v>223</v>
      </c>
      <c r="C91" s="9" t="s">
        <v>222</v>
      </c>
      <c r="D91" s="4" t="s">
        <v>214</v>
      </c>
      <c r="E91" s="14" t="s">
        <v>214</v>
      </c>
      <c r="F91" s="14" t="s">
        <v>215</v>
      </c>
      <c r="G91" s="14" t="s">
        <v>213</v>
      </c>
      <c r="H91" s="9" t="s">
        <v>2197</v>
      </c>
      <c r="I91" s="3">
        <v>0</v>
      </c>
      <c r="J91" s="3">
        <v>0</v>
      </c>
      <c r="K91" s="3">
        <f t="shared" si="4"/>
        <v>0</v>
      </c>
      <c r="L91" s="3">
        <f>IFERROR(INDEX('CHIRP Payment Calc'!K:K,MATCH(A:A,'CHIRP Payment Calc'!A:A,0)),0)</f>
        <v>0</v>
      </c>
      <c r="M91" s="3">
        <f t="shared" si="5"/>
        <v>0</v>
      </c>
    </row>
    <row r="92" spans="1:13">
      <c r="A92" s="9" t="s">
        <v>255</v>
      </c>
      <c r="B92" s="9" t="s">
        <v>223</v>
      </c>
      <c r="C92" s="9" t="s">
        <v>222</v>
      </c>
      <c r="D92" s="4" t="s">
        <v>256</v>
      </c>
      <c r="E92" s="14" t="s">
        <v>256</v>
      </c>
      <c r="F92" s="14" t="s">
        <v>257</v>
      </c>
      <c r="G92" s="14" t="s">
        <v>255</v>
      </c>
      <c r="H92" s="9" t="s">
        <v>2196</v>
      </c>
      <c r="I92" s="3">
        <v>0</v>
      </c>
      <c r="J92" s="3">
        <v>0</v>
      </c>
      <c r="K92" s="3">
        <f t="shared" si="4"/>
        <v>0</v>
      </c>
      <c r="L92" s="3">
        <f>IFERROR(INDEX('CHIRP Payment Calc'!K:K,MATCH(A:A,'CHIRP Payment Calc'!A:A,0)),0)</f>
        <v>0</v>
      </c>
      <c r="M92" s="3">
        <f t="shared" si="5"/>
        <v>0</v>
      </c>
    </row>
    <row r="93" spans="1:13">
      <c r="A93" s="9" t="s">
        <v>228</v>
      </c>
      <c r="B93" s="9" t="s">
        <v>223</v>
      </c>
      <c r="C93" s="9" t="s">
        <v>222</v>
      </c>
      <c r="D93" s="4" t="s">
        <v>229</v>
      </c>
      <c r="E93" s="14" t="s">
        <v>229</v>
      </c>
      <c r="F93" s="14" t="s">
        <v>230</v>
      </c>
      <c r="G93" s="14" t="s">
        <v>228</v>
      </c>
      <c r="H93" s="9" t="s">
        <v>2195</v>
      </c>
      <c r="I93" s="3">
        <v>145655.18125861691</v>
      </c>
      <c r="J93" s="3">
        <v>286867.71682931826</v>
      </c>
      <c r="K93" s="3">
        <f t="shared" si="4"/>
        <v>432522.89808793517</v>
      </c>
      <c r="L93" s="3">
        <f>IFERROR(INDEX('CHIRP Payment Calc'!K:K,MATCH(A:A,'CHIRP Payment Calc'!A:A,0)),0)</f>
        <v>0</v>
      </c>
      <c r="M93" s="3">
        <f t="shared" si="5"/>
        <v>432522.89808793517</v>
      </c>
    </row>
    <row r="94" spans="1:13">
      <c r="A94" s="9" t="s">
        <v>680</v>
      </c>
      <c r="B94" s="9" t="s">
        <v>223</v>
      </c>
      <c r="C94" s="9" t="s">
        <v>222</v>
      </c>
      <c r="D94" s="4" t="s">
        <v>681</v>
      </c>
      <c r="E94" s="14" t="s">
        <v>681</v>
      </c>
      <c r="F94" s="14" t="s">
        <v>682</v>
      </c>
      <c r="G94" s="14" t="s">
        <v>680</v>
      </c>
      <c r="H94" s="9" t="s">
        <v>2194</v>
      </c>
      <c r="I94" s="3">
        <v>344362.35197318497</v>
      </c>
      <c r="J94" s="3">
        <v>1205917.1757440239</v>
      </c>
      <c r="K94" s="3">
        <f t="shared" si="4"/>
        <v>1550279.527717209</v>
      </c>
      <c r="L94" s="3">
        <f>IFERROR(INDEX('CHIRP Payment Calc'!K:K,MATCH(A:A,'CHIRP Payment Calc'!A:A,0)),0)</f>
        <v>1753583.1138910872</v>
      </c>
      <c r="M94" s="3">
        <f t="shared" si="5"/>
        <v>-203303.58617387828</v>
      </c>
    </row>
    <row r="95" spans="1:13">
      <c r="A95" s="9" t="s">
        <v>2192</v>
      </c>
      <c r="B95" s="9" t="s">
        <v>223</v>
      </c>
      <c r="C95" s="9" t="s">
        <v>222</v>
      </c>
      <c r="D95" s="4" t="s">
        <v>2193</v>
      </c>
      <c r="E95" s="14" t="s">
        <v>2193</v>
      </c>
      <c r="F95" s="14" t="e">
        <v>#N/A</v>
      </c>
      <c r="G95" s="14" t="s">
        <v>2192</v>
      </c>
      <c r="H95" s="9" t="s">
        <v>2191</v>
      </c>
      <c r="I95" s="3">
        <v>0</v>
      </c>
      <c r="J95" s="3">
        <v>0</v>
      </c>
      <c r="K95" s="3">
        <f t="shared" si="4"/>
        <v>0</v>
      </c>
      <c r="L95" s="3">
        <f>IFERROR(INDEX('CHIRP Payment Calc'!K:K,MATCH(A:A,'CHIRP Payment Calc'!A:A,0)),0)</f>
        <v>0</v>
      </c>
      <c r="M95" s="3">
        <f t="shared" si="5"/>
        <v>0</v>
      </c>
    </row>
    <row r="96" spans="1:13">
      <c r="A96" s="9" t="s">
        <v>629</v>
      </c>
      <c r="B96" s="9" t="s">
        <v>223</v>
      </c>
      <c r="C96" s="9" t="s">
        <v>222</v>
      </c>
      <c r="D96" s="4" t="s">
        <v>630</v>
      </c>
      <c r="E96" s="14" t="s">
        <v>630</v>
      </c>
      <c r="F96" s="14" t="s">
        <v>631</v>
      </c>
      <c r="G96" s="14" t="s">
        <v>629</v>
      </c>
      <c r="H96" s="9" t="s">
        <v>2190</v>
      </c>
      <c r="I96" s="3">
        <v>3107963.5534602664</v>
      </c>
      <c r="J96" s="3">
        <v>355517.4352977979</v>
      </c>
      <c r="K96" s="3">
        <f t="shared" si="4"/>
        <v>3463480.9887580643</v>
      </c>
      <c r="L96" s="3">
        <f>IFERROR(INDEX('CHIRP Payment Calc'!K:K,MATCH(A:A,'CHIRP Payment Calc'!A:A,0)),0)</f>
        <v>5204684.471317987</v>
      </c>
      <c r="M96" s="3">
        <f t="shared" si="5"/>
        <v>-1741203.4825599226</v>
      </c>
    </row>
    <row r="97" spans="1:13">
      <c r="A97" s="9" t="s">
        <v>146</v>
      </c>
      <c r="B97" s="9" t="s">
        <v>223</v>
      </c>
      <c r="C97" s="9" t="s">
        <v>222</v>
      </c>
      <c r="D97" s="4" t="s">
        <v>147</v>
      </c>
      <c r="E97" s="14" t="s">
        <v>147</v>
      </c>
      <c r="F97" s="14" t="s">
        <v>148</v>
      </c>
      <c r="G97" s="14" t="s">
        <v>146</v>
      </c>
      <c r="H97" s="9" t="s">
        <v>2189</v>
      </c>
      <c r="I97" s="3">
        <v>0</v>
      </c>
      <c r="J97" s="3">
        <v>18425.581464434323</v>
      </c>
      <c r="K97" s="3">
        <f t="shared" si="4"/>
        <v>18425.581464434323</v>
      </c>
      <c r="L97" s="3">
        <f>IFERROR(INDEX('CHIRP Payment Calc'!K:K,MATCH(A:A,'CHIRP Payment Calc'!A:A,0)),0)</f>
        <v>0</v>
      </c>
      <c r="M97" s="3">
        <f t="shared" si="5"/>
        <v>18425.581464434323</v>
      </c>
    </row>
    <row r="98" spans="1:13">
      <c r="A98" s="9" t="s">
        <v>1503</v>
      </c>
      <c r="B98" s="9" t="s">
        <v>223</v>
      </c>
      <c r="C98" s="9" t="s">
        <v>222</v>
      </c>
      <c r="D98" s="4" t="s">
        <v>1504</v>
      </c>
      <c r="E98" s="14" t="s">
        <v>1504</v>
      </c>
      <c r="F98" s="14" t="s">
        <v>1505</v>
      </c>
      <c r="G98" s="14" t="s">
        <v>1503</v>
      </c>
      <c r="H98" s="9" t="s">
        <v>2188</v>
      </c>
      <c r="I98" s="3">
        <v>0</v>
      </c>
      <c r="J98" s="3">
        <v>0</v>
      </c>
      <c r="K98" s="3">
        <f t="shared" si="4"/>
        <v>0</v>
      </c>
      <c r="L98" s="3">
        <f>IFERROR(INDEX('CHIRP Payment Calc'!K:K,MATCH(A:A,'CHIRP Payment Calc'!A:A,0)),0)</f>
        <v>0</v>
      </c>
      <c r="M98" s="3">
        <f t="shared" si="5"/>
        <v>0</v>
      </c>
    </row>
    <row r="99" spans="1:13">
      <c r="A99" s="9" t="s">
        <v>270</v>
      </c>
      <c r="B99" s="9" t="s">
        <v>223</v>
      </c>
      <c r="C99" s="9" t="s">
        <v>222</v>
      </c>
      <c r="D99" s="4" t="s">
        <v>271</v>
      </c>
      <c r="E99" s="14" t="s">
        <v>271</v>
      </c>
      <c r="F99" s="14" t="s">
        <v>272</v>
      </c>
      <c r="G99" s="14" t="s">
        <v>270</v>
      </c>
      <c r="H99" s="9" t="s">
        <v>2187</v>
      </c>
      <c r="I99" s="3">
        <v>55.605131350494986</v>
      </c>
      <c r="J99" s="3">
        <v>432.76721470089177</v>
      </c>
      <c r="K99" s="3">
        <f t="shared" si="4"/>
        <v>488.37234605138678</v>
      </c>
      <c r="L99" s="3">
        <f>IFERROR(INDEX('CHIRP Payment Calc'!K:K,MATCH(A:A,'CHIRP Payment Calc'!A:A,0)),0)</f>
        <v>0</v>
      </c>
      <c r="M99" s="3">
        <f t="shared" si="5"/>
        <v>488.37234605138678</v>
      </c>
    </row>
    <row r="100" spans="1:13">
      <c r="A100" s="9" t="s">
        <v>1736</v>
      </c>
      <c r="B100" s="9" t="s">
        <v>223</v>
      </c>
      <c r="C100" s="9" t="s">
        <v>222</v>
      </c>
      <c r="D100" s="4" t="s">
        <v>1735</v>
      </c>
      <c r="E100" s="14" t="s">
        <v>1735</v>
      </c>
      <c r="F100" s="14" t="e">
        <v>#N/A</v>
      </c>
      <c r="G100" s="14" t="s">
        <v>1736</v>
      </c>
      <c r="H100" s="9" t="s">
        <v>2186</v>
      </c>
      <c r="I100" s="3">
        <v>0</v>
      </c>
      <c r="J100" s="3">
        <v>0</v>
      </c>
      <c r="K100" s="3">
        <f t="shared" si="4"/>
        <v>0</v>
      </c>
      <c r="L100" s="3">
        <f>IFERROR(INDEX('CHIRP Payment Calc'!K:K,MATCH(A:A,'CHIRP Payment Calc'!A:A,0)),0)</f>
        <v>0</v>
      </c>
      <c r="M100" s="3">
        <f t="shared" si="5"/>
        <v>0</v>
      </c>
    </row>
    <row r="101" spans="1:13">
      <c r="A101" s="9" t="s">
        <v>431</v>
      </c>
      <c r="B101" s="9" t="s">
        <v>223</v>
      </c>
      <c r="C101" s="9" t="s">
        <v>222</v>
      </c>
      <c r="D101" s="4" t="s">
        <v>432</v>
      </c>
      <c r="E101" s="14" t="s">
        <v>432</v>
      </c>
      <c r="F101" s="14" t="s">
        <v>433</v>
      </c>
      <c r="G101" s="14" t="s">
        <v>431</v>
      </c>
      <c r="H101" s="9" t="s">
        <v>2185</v>
      </c>
      <c r="I101" s="3">
        <v>0</v>
      </c>
      <c r="J101" s="3">
        <v>194220.92818547576</v>
      </c>
      <c r="K101" s="3">
        <f t="shared" si="4"/>
        <v>194220.92818547576</v>
      </c>
      <c r="L101" s="3">
        <f>IFERROR(INDEX('CHIRP Payment Calc'!K:K,MATCH(A:A,'CHIRP Payment Calc'!A:A,0)),0)</f>
        <v>139945.07437300179</v>
      </c>
      <c r="M101" s="3">
        <f t="shared" si="5"/>
        <v>54275.853812473972</v>
      </c>
    </row>
    <row r="102" spans="1:13">
      <c r="A102" s="9" t="s">
        <v>1437</v>
      </c>
      <c r="B102" s="9" t="s">
        <v>223</v>
      </c>
      <c r="C102" s="9" t="s">
        <v>222</v>
      </c>
      <c r="D102" s="4" t="s">
        <v>1438</v>
      </c>
      <c r="E102" s="14" t="s">
        <v>1438</v>
      </c>
      <c r="F102" s="14" t="s">
        <v>1439</v>
      </c>
      <c r="G102" s="14" t="s">
        <v>1437</v>
      </c>
      <c r="H102" s="9" t="s">
        <v>2184</v>
      </c>
      <c r="I102" s="3">
        <v>0</v>
      </c>
      <c r="J102" s="3">
        <v>197844.9825286117</v>
      </c>
      <c r="K102" s="3">
        <f t="shared" si="4"/>
        <v>197844.9825286117</v>
      </c>
      <c r="L102" s="3">
        <f>IFERROR(INDEX('CHIRP Payment Calc'!K:K,MATCH(A:A,'CHIRP Payment Calc'!A:A,0)),0)</f>
        <v>295248.15438266069</v>
      </c>
      <c r="M102" s="3">
        <f t="shared" si="5"/>
        <v>-97403.171854048996</v>
      </c>
    </row>
    <row r="103" spans="1:13">
      <c r="A103" s="9" t="s">
        <v>31</v>
      </c>
      <c r="B103" s="9" t="s">
        <v>223</v>
      </c>
      <c r="C103" s="9" t="s">
        <v>222</v>
      </c>
      <c r="D103" s="4" t="s">
        <v>32</v>
      </c>
      <c r="E103" s="14" t="s">
        <v>32</v>
      </c>
      <c r="F103" s="14" t="s">
        <v>33</v>
      </c>
      <c r="G103" s="14" t="s">
        <v>31</v>
      </c>
      <c r="H103" s="9" t="s">
        <v>2183</v>
      </c>
      <c r="I103" s="3">
        <v>2211233.8721354138</v>
      </c>
      <c r="J103" s="3">
        <v>1034351.9866366993</v>
      </c>
      <c r="K103" s="3">
        <f t="shared" si="4"/>
        <v>3245585.858772113</v>
      </c>
      <c r="L103" s="3">
        <f>IFERROR(INDEX('CHIRP Payment Calc'!K:K,MATCH(A:A,'CHIRP Payment Calc'!A:A,0)),0)</f>
        <v>5139680.7188572139</v>
      </c>
      <c r="M103" s="3">
        <f t="shared" si="5"/>
        <v>-1894094.8600851009</v>
      </c>
    </row>
    <row r="104" spans="1:13">
      <c r="A104" s="9" t="s">
        <v>911</v>
      </c>
      <c r="B104" s="9" t="s">
        <v>223</v>
      </c>
      <c r="C104" s="9" t="s">
        <v>1479</v>
      </c>
      <c r="D104" s="4" t="s">
        <v>912</v>
      </c>
      <c r="E104" s="14" t="s">
        <v>912</v>
      </c>
      <c r="F104" s="14" t="s">
        <v>913</v>
      </c>
      <c r="G104" s="14" t="s">
        <v>911</v>
      </c>
      <c r="H104" s="9" t="s">
        <v>1654</v>
      </c>
      <c r="I104" s="3">
        <v>2632213.6818712936</v>
      </c>
      <c r="J104" s="3">
        <v>1512032.6010143871</v>
      </c>
      <c r="K104" s="3">
        <f t="shared" si="4"/>
        <v>4144246.2828856809</v>
      </c>
      <c r="L104" s="3">
        <f>IFERROR(INDEX('CHIRP Payment Calc'!K:K,MATCH(A:A,'CHIRP Payment Calc'!A:A,0)),0)</f>
        <v>5803593.9239430828</v>
      </c>
      <c r="M104" s="3">
        <f t="shared" si="5"/>
        <v>-1659347.6410574019</v>
      </c>
    </row>
    <row r="105" spans="1:13">
      <c r="A105" s="9" t="s">
        <v>465</v>
      </c>
      <c r="B105" s="9" t="s">
        <v>223</v>
      </c>
      <c r="C105" s="9" t="s">
        <v>1582</v>
      </c>
      <c r="D105" s="4" t="s">
        <v>466</v>
      </c>
      <c r="E105" s="14" t="s">
        <v>466</v>
      </c>
      <c r="F105" s="14" t="s">
        <v>467</v>
      </c>
      <c r="G105" s="14" t="s">
        <v>465</v>
      </c>
      <c r="H105" s="9" t="s">
        <v>467</v>
      </c>
      <c r="I105" s="3">
        <v>3495030.4468916585</v>
      </c>
      <c r="J105" s="3">
        <v>1755166.2832173081</v>
      </c>
      <c r="K105" s="3">
        <f t="shared" si="4"/>
        <v>5250196.7301089671</v>
      </c>
      <c r="L105" s="3">
        <f>IFERROR(INDEX('CHIRP Payment Calc'!K:K,MATCH(A:A,'CHIRP Payment Calc'!A:A,0)),0)</f>
        <v>20527457.711494211</v>
      </c>
      <c r="M105" s="3">
        <f t="shared" si="5"/>
        <v>-15277260.981385244</v>
      </c>
    </row>
    <row r="106" spans="1:13">
      <c r="A106" s="9" t="s">
        <v>1565</v>
      </c>
      <c r="B106" s="9" t="s">
        <v>223</v>
      </c>
      <c r="C106" s="9" t="s">
        <v>1582</v>
      </c>
      <c r="D106" s="4" t="s">
        <v>1583</v>
      </c>
      <c r="E106" s="14" t="s">
        <v>1583</v>
      </c>
      <c r="F106" s="14" t="s">
        <v>1351</v>
      </c>
      <c r="G106" s="14" t="s">
        <v>1565</v>
      </c>
      <c r="H106" s="9" t="s">
        <v>2182</v>
      </c>
      <c r="I106" s="3">
        <v>82791.59854816203</v>
      </c>
      <c r="J106" s="3">
        <v>674913.05874921731</v>
      </c>
      <c r="K106" s="3">
        <f t="shared" si="4"/>
        <v>757704.65729737934</v>
      </c>
      <c r="L106" s="3">
        <f>IFERROR(INDEX('CHIRP Payment Calc'!K:K,MATCH(A:A,'CHIRP Payment Calc'!A:A,0)),0)</f>
        <v>0</v>
      </c>
      <c r="M106" s="3">
        <f t="shared" si="5"/>
        <v>757704.65729737934</v>
      </c>
    </row>
    <row r="107" spans="1:13">
      <c r="A107" s="9" t="s">
        <v>1558</v>
      </c>
      <c r="B107" s="9" t="s">
        <v>223</v>
      </c>
      <c r="C107" s="9" t="s">
        <v>1554</v>
      </c>
      <c r="D107" s="4" t="s">
        <v>1641</v>
      </c>
      <c r="E107" s="14" t="s">
        <v>1641</v>
      </c>
      <c r="F107" s="14" t="s">
        <v>1040</v>
      </c>
      <c r="G107" s="14" t="s">
        <v>1558</v>
      </c>
      <c r="H107" s="9" t="s">
        <v>1640</v>
      </c>
      <c r="I107" s="3">
        <v>58350219.394096695</v>
      </c>
      <c r="J107" s="3">
        <v>48544246.672889248</v>
      </c>
      <c r="K107" s="3">
        <f t="shared" si="4"/>
        <v>106894466.06698593</v>
      </c>
      <c r="L107" s="3">
        <f>IFERROR(INDEX('CHIRP Payment Calc'!K:K,MATCH(A:A,'CHIRP Payment Calc'!A:A,0)),0)</f>
        <v>138644224.00611809</v>
      </c>
      <c r="M107" s="3">
        <f t="shared" si="5"/>
        <v>-31749757.939132154</v>
      </c>
    </row>
    <row r="108" spans="1:13">
      <c r="A108" s="9" t="s">
        <v>126</v>
      </c>
      <c r="B108" s="9" t="s">
        <v>1189</v>
      </c>
      <c r="C108" s="9" t="s">
        <v>1594</v>
      </c>
      <c r="D108" s="4" t="s">
        <v>127</v>
      </c>
      <c r="E108" s="14" t="s">
        <v>127</v>
      </c>
      <c r="F108" s="14" t="s">
        <v>128</v>
      </c>
      <c r="G108" s="14" t="s">
        <v>126</v>
      </c>
      <c r="H108" s="9" t="s">
        <v>2181</v>
      </c>
      <c r="I108" s="3">
        <v>25547874.760549922</v>
      </c>
      <c r="J108" s="3">
        <v>184198.23084407992</v>
      </c>
      <c r="K108" s="3">
        <f t="shared" si="4"/>
        <v>25732072.991394002</v>
      </c>
      <c r="L108" s="3">
        <f>IFERROR(INDEX('CHIRP Payment Calc'!K:K,MATCH(A:A,'CHIRP Payment Calc'!A:A,0)),0)</f>
        <v>34022331.55129315</v>
      </c>
      <c r="M108" s="3">
        <f t="shared" si="5"/>
        <v>-8290258.5598991476</v>
      </c>
    </row>
    <row r="109" spans="1:13">
      <c r="A109" s="9" t="e">
        <v>#N/A</v>
      </c>
      <c r="B109" s="15" t="s">
        <v>1189</v>
      </c>
      <c r="C109" s="15" t="s">
        <v>1801</v>
      </c>
      <c r="D109" s="4" t="s">
        <v>2180</v>
      </c>
      <c r="E109" s="14" t="e">
        <v>#N/A</v>
      </c>
      <c r="F109" s="14" t="e">
        <v>#N/A</v>
      </c>
      <c r="G109" s="14" t="e">
        <v>#N/A</v>
      </c>
      <c r="H109" s="9" t="s">
        <v>2179</v>
      </c>
      <c r="I109" s="3">
        <v>225.40894833942929</v>
      </c>
      <c r="J109" s="3">
        <v>0</v>
      </c>
      <c r="K109" s="3">
        <f t="shared" si="4"/>
        <v>225.40894833942929</v>
      </c>
      <c r="L109" s="3">
        <f>IFERROR(INDEX('CHIRP Payment Calc'!K:K,MATCH(A:A,'CHIRP Payment Calc'!A:A,0)),0)</f>
        <v>0</v>
      </c>
      <c r="M109" s="3">
        <f t="shared" si="5"/>
        <v>225.40894833942929</v>
      </c>
    </row>
    <row r="110" spans="1:13">
      <c r="A110" s="9" t="s">
        <v>2326</v>
      </c>
      <c r="B110" s="9" t="s">
        <v>1189</v>
      </c>
      <c r="C110" s="9" t="s">
        <v>1801</v>
      </c>
      <c r="D110" s="4" t="s">
        <v>1496</v>
      </c>
      <c r="E110" s="14" t="e">
        <v>#N/A</v>
      </c>
      <c r="F110" s="14" t="e">
        <v>#N/A</v>
      </c>
      <c r="G110" s="14" t="e">
        <v>#N/A</v>
      </c>
      <c r="H110" s="9" t="s">
        <v>2178</v>
      </c>
      <c r="I110" s="3">
        <v>0</v>
      </c>
      <c r="J110" s="3">
        <v>0</v>
      </c>
      <c r="K110" s="3">
        <f t="shared" si="4"/>
        <v>0</v>
      </c>
      <c r="L110" s="3">
        <f>IFERROR(INDEX('CHIRP Payment Calc'!K:K,MATCH(A:A,'CHIRP Payment Calc'!A:A,0)),0)</f>
        <v>0</v>
      </c>
      <c r="M110" s="3">
        <f t="shared" si="5"/>
        <v>0</v>
      </c>
    </row>
    <row r="111" spans="1:13">
      <c r="A111" s="9" t="s">
        <v>1348</v>
      </c>
      <c r="B111" s="9" t="s">
        <v>1189</v>
      </c>
      <c r="C111" s="9" t="s">
        <v>1801</v>
      </c>
      <c r="D111" s="4" t="s">
        <v>1349</v>
      </c>
      <c r="E111" s="14" t="s">
        <v>1349</v>
      </c>
      <c r="F111" s="14" t="s">
        <v>1350</v>
      </c>
      <c r="G111" s="14" t="s">
        <v>1348</v>
      </c>
      <c r="H111" s="9" t="s">
        <v>2177</v>
      </c>
      <c r="I111" s="3">
        <v>4359600.4376396267</v>
      </c>
      <c r="J111" s="3">
        <v>0</v>
      </c>
      <c r="K111" s="3">
        <f t="shared" si="4"/>
        <v>4359600.4376396267</v>
      </c>
      <c r="L111" s="3">
        <f>IFERROR(INDEX('CHIRP Payment Calc'!K:K,MATCH(A:A,'CHIRP Payment Calc'!A:A,0)),0)</f>
        <v>4465997.0391841466</v>
      </c>
      <c r="M111" s="3">
        <f t="shared" si="5"/>
        <v>-106396.60154451989</v>
      </c>
    </row>
    <row r="112" spans="1:13">
      <c r="A112" s="9" t="s">
        <v>1186</v>
      </c>
      <c r="B112" s="9" t="s">
        <v>1189</v>
      </c>
      <c r="C112" s="9" t="s">
        <v>1801</v>
      </c>
      <c r="D112" s="4" t="s">
        <v>1187</v>
      </c>
      <c r="E112" s="14" t="s">
        <v>1187</v>
      </c>
      <c r="F112" s="14" t="s">
        <v>1188</v>
      </c>
      <c r="G112" s="14" t="s">
        <v>1186</v>
      </c>
      <c r="H112" s="9" t="s">
        <v>2176</v>
      </c>
      <c r="I112" s="3">
        <v>0</v>
      </c>
      <c r="J112" s="3">
        <v>0</v>
      </c>
      <c r="K112" s="3">
        <f t="shared" si="4"/>
        <v>0</v>
      </c>
      <c r="L112" s="3">
        <f>IFERROR(INDEX('CHIRP Payment Calc'!K:K,MATCH(A:A,'CHIRP Payment Calc'!A:A,0)),0)</f>
        <v>0</v>
      </c>
      <c r="M112" s="3">
        <f t="shared" si="5"/>
        <v>0</v>
      </c>
    </row>
    <row r="113" spans="1:13">
      <c r="A113" s="9" t="s">
        <v>165</v>
      </c>
      <c r="B113" s="9" t="s">
        <v>1189</v>
      </c>
      <c r="C113" s="9" t="s">
        <v>222</v>
      </c>
      <c r="D113" s="4" t="s">
        <v>166</v>
      </c>
      <c r="E113" s="14" t="s">
        <v>166</v>
      </c>
      <c r="F113" s="14" t="s">
        <v>167</v>
      </c>
      <c r="G113" s="14" t="s">
        <v>165</v>
      </c>
      <c r="H113" s="9" t="s">
        <v>2175</v>
      </c>
      <c r="I113" s="3">
        <v>2942681.5822862093</v>
      </c>
      <c r="J113" s="3">
        <v>761116.35487859161</v>
      </c>
      <c r="K113" s="3">
        <f t="shared" si="4"/>
        <v>3703797.9371648012</v>
      </c>
      <c r="L113" s="3">
        <f>IFERROR(INDEX('CHIRP Payment Calc'!K:K,MATCH(A:A,'CHIRP Payment Calc'!A:A,0)),0)</f>
        <v>4741232.0417742748</v>
      </c>
      <c r="M113" s="3">
        <f t="shared" si="5"/>
        <v>-1037434.1046094736</v>
      </c>
    </row>
    <row r="114" spans="1:13">
      <c r="A114" s="9" t="s">
        <v>368</v>
      </c>
      <c r="B114" s="9" t="s">
        <v>1189</v>
      </c>
      <c r="C114" s="9" t="s">
        <v>222</v>
      </c>
      <c r="D114" s="4" t="s">
        <v>369</v>
      </c>
      <c r="E114" s="14" t="s">
        <v>369</v>
      </c>
      <c r="F114" s="14" t="s">
        <v>370</v>
      </c>
      <c r="G114" s="14" t="s">
        <v>368</v>
      </c>
      <c r="H114" s="9" t="s">
        <v>2174</v>
      </c>
      <c r="I114" s="3">
        <v>0</v>
      </c>
      <c r="J114" s="3">
        <v>0</v>
      </c>
      <c r="K114" s="3">
        <f t="shared" si="4"/>
        <v>0</v>
      </c>
      <c r="L114" s="3">
        <f>IFERROR(INDEX('CHIRP Payment Calc'!K:K,MATCH(A:A,'CHIRP Payment Calc'!A:A,0)),0)</f>
        <v>0</v>
      </c>
      <c r="M114" s="3">
        <f t="shared" si="5"/>
        <v>0</v>
      </c>
    </row>
    <row r="115" spans="1:13">
      <c r="A115" s="9" t="s">
        <v>2172</v>
      </c>
      <c r="B115" s="9" t="s">
        <v>1189</v>
      </c>
      <c r="C115" s="9" t="s">
        <v>222</v>
      </c>
      <c r="D115" s="4" t="s">
        <v>2173</v>
      </c>
      <c r="E115" s="14" t="s">
        <v>2173</v>
      </c>
      <c r="F115" s="14" t="e">
        <v>#N/A</v>
      </c>
      <c r="G115" s="14" t="s">
        <v>2172</v>
      </c>
      <c r="H115" s="9" t="s">
        <v>2171</v>
      </c>
      <c r="I115" s="3">
        <v>0</v>
      </c>
      <c r="J115" s="3">
        <v>0</v>
      </c>
      <c r="K115" s="3">
        <f t="shared" si="4"/>
        <v>0</v>
      </c>
      <c r="L115" s="3">
        <f>IFERROR(INDEX('CHIRP Payment Calc'!K:K,MATCH(A:A,'CHIRP Payment Calc'!A:A,0)),0)</f>
        <v>0</v>
      </c>
      <c r="M115" s="3">
        <f t="shared" si="5"/>
        <v>0</v>
      </c>
    </row>
    <row r="116" spans="1:13">
      <c r="A116" s="9" t="s">
        <v>252</v>
      </c>
      <c r="B116" s="9" t="s">
        <v>1189</v>
      </c>
      <c r="C116" s="9" t="s">
        <v>222</v>
      </c>
      <c r="D116" s="4" t="s">
        <v>2170</v>
      </c>
      <c r="E116" s="14" t="s">
        <v>253</v>
      </c>
      <c r="F116" s="14" t="s">
        <v>254</v>
      </c>
      <c r="G116" s="14" t="s">
        <v>252</v>
      </c>
      <c r="H116" s="9" t="s">
        <v>2169</v>
      </c>
      <c r="I116" s="3">
        <v>0</v>
      </c>
      <c r="J116" s="3">
        <v>0</v>
      </c>
      <c r="K116" s="3">
        <f t="shared" si="4"/>
        <v>0</v>
      </c>
      <c r="L116" s="3">
        <f>IFERROR(INDEX('CHIRP Payment Calc'!K:K,MATCH(A:A,'CHIRP Payment Calc'!A:A,0)),0)</f>
        <v>0</v>
      </c>
      <c r="M116" s="3">
        <f t="shared" si="5"/>
        <v>0</v>
      </c>
    </row>
    <row r="117" spans="1:13">
      <c r="A117" s="9" t="s">
        <v>1560</v>
      </c>
      <c r="B117" s="9" t="s">
        <v>1189</v>
      </c>
      <c r="C117" s="9" t="s">
        <v>222</v>
      </c>
      <c r="D117" s="4" t="s">
        <v>1616</v>
      </c>
      <c r="E117" s="14" t="s">
        <v>1616</v>
      </c>
      <c r="F117" s="14" t="s">
        <v>1161</v>
      </c>
      <c r="G117" s="14" t="s">
        <v>1560</v>
      </c>
      <c r="H117" s="9" t="s">
        <v>2168</v>
      </c>
      <c r="I117" s="3">
        <v>974736.96794865187</v>
      </c>
      <c r="J117" s="3">
        <v>2035829.9296351357</v>
      </c>
      <c r="K117" s="3">
        <f t="shared" si="4"/>
        <v>3010566.8975837873</v>
      </c>
      <c r="L117" s="3">
        <f>IFERROR(INDEX('CHIRP Payment Calc'!K:K,MATCH(A:A,'CHIRP Payment Calc'!A:A,0)),0)</f>
        <v>3159992.1317436546</v>
      </c>
      <c r="M117" s="3">
        <f t="shared" si="5"/>
        <v>-149425.23415986728</v>
      </c>
    </row>
    <row r="118" spans="1:13">
      <c r="A118" s="9" t="s">
        <v>1693</v>
      </c>
      <c r="B118" s="9" t="s">
        <v>1189</v>
      </c>
      <c r="C118" s="9" t="s">
        <v>222</v>
      </c>
      <c r="D118" s="4" t="s">
        <v>1694</v>
      </c>
      <c r="E118" s="14" t="s">
        <v>1694</v>
      </c>
      <c r="F118" s="14" t="e">
        <v>#N/A</v>
      </c>
      <c r="G118" s="14" t="s">
        <v>1693</v>
      </c>
      <c r="H118" s="9" t="s">
        <v>2167</v>
      </c>
      <c r="I118" s="3">
        <v>0</v>
      </c>
      <c r="J118" s="3">
        <v>0</v>
      </c>
      <c r="K118" s="3">
        <f t="shared" si="4"/>
        <v>0</v>
      </c>
      <c r="L118" s="3">
        <f>IFERROR(INDEX('CHIRP Payment Calc'!K:K,MATCH(A:A,'CHIRP Payment Calc'!A:A,0)),0)</f>
        <v>0</v>
      </c>
      <c r="M118" s="3">
        <f t="shared" si="5"/>
        <v>0</v>
      </c>
    </row>
    <row r="119" spans="1:13">
      <c r="A119" s="9" t="s">
        <v>1083</v>
      </c>
      <c r="B119" s="9" t="s">
        <v>1189</v>
      </c>
      <c r="C119" s="9" t="s">
        <v>222</v>
      </c>
      <c r="D119" s="4" t="s">
        <v>1084</v>
      </c>
      <c r="E119" s="14" t="s">
        <v>1084</v>
      </c>
      <c r="F119" s="14" t="s">
        <v>1085</v>
      </c>
      <c r="G119" s="14" t="s">
        <v>1083</v>
      </c>
      <c r="H119" s="9" t="s">
        <v>2166</v>
      </c>
      <c r="I119" s="3">
        <v>1363032.3372680123</v>
      </c>
      <c r="J119" s="3">
        <v>706135.75182183937</v>
      </c>
      <c r="K119" s="3">
        <f t="shared" si="4"/>
        <v>2069168.0890898518</v>
      </c>
      <c r="L119" s="3">
        <f>IFERROR(INDEX('CHIRP Payment Calc'!K:K,MATCH(A:A,'CHIRP Payment Calc'!A:A,0)),0)</f>
        <v>2786356.9731976092</v>
      </c>
      <c r="M119" s="3">
        <f t="shared" si="5"/>
        <v>-717188.88410775736</v>
      </c>
    </row>
    <row r="120" spans="1:13">
      <c r="A120" s="9" t="s">
        <v>117</v>
      </c>
      <c r="B120" s="9" t="s">
        <v>1189</v>
      </c>
      <c r="C120" s="9" t="s">
        <v>222</v>
      </c>
      <c r="D120" s="4" t="s">
        <v>118</v>
      </c>
      <c r="E120" s="14" t="s">
        <v>118</v>
      </c>
      <c r="F120" s="14" t="s">
        <v>119</v>
      </c>
      <c r="G120" s="14" t="s">
        <v>117</v>
      </c>
      <c r="H120" s="9" t="s">
        <v>2165</v>
      </c>
      <c r="I120" s="3">
        <v>168493.77016137808</v>
      </c>
      <c r="J120" s="3">
        <v>135963.37937621554</v>
      </c>
      <c r="K120" s="3">
        <f t="shared" si="4"/>
        <v>304457.14953759359</v>
      </c>
      <c r="L120" s="3">
        <f>IFERROR(INDEX('CHIRP Payment Calc'!K:K,MATCH(A:A,'CHIRP Payment Calc'!A:A,0)),0)</f>
        <v>0</v>
      </c>
      <c r="M120" s="3">
        <f t="shared" si="5"/>
        <v>304457.14953759359</v>
      </c>
    </row>
    <row r="121" spans="1:13">
      <c r="A121" s="9" t="s">
        <v>1559</v>
      </c>
      <c r="B121" s="9" t="s">
        <v>1189</v>
      </c>
      <c r="C121" s="9" t="s">
        <v>222</v>
      </c>
      <c r="D121" s="4" t="s">
        <v>1600</v>
      </c>
      <c r="E121" s="14" t="s">
        <v>1600</v>
      </c>
      <c r="F121" s="14" t="s">
        <v>1068</v>
      </c>
      <c r="G121" s="14" t="s">
        <v>1559</v>
      </c>
      <c r="H121" s="9" t="s">
        <v>2164</v>
      </c>
      <c r="I121" s="3">
        <v>18656301.149229702</v>
      </c>
      <c r="J121" s="3">
        <v>3284311.1329363654</v>
      </c>
      <c r="K121" s="3">
        <f t="shared" si="4"/>
        <v>21940612.282166068</v>
      </c>
      <c r="L121" s="3">
        <f>IFERROR(INDEX('CHIRP Payment Calc'!K:K,MATCH(A:A,'CHIRP Payment Calc'!A:A,0)),0)</f>
        <v>25818560.789920766</v>
      </c>
      <c r="M121" s="3">
        <f t="shared" si="5"/>
        <v>-3877948.5077546984</v>
      </c>
    </row>
    <row r="122" spans="1:13">
      <c r="A122" s="9" t="s">
        <v>1571</v>
      </c>
      <c r="B122" s="9" t="s">
        <v>1189</v>
      </c>
      <c r="C122" s="9" t="s">
        <v>222</v>
      </c>
      <c r="D122" s="4" t="s">
        <v>1532</v>
      </c>
      <c r="E122" s="14" t="s">
        <v>1532</v>
      </c>
      <c r="F122" s="14" t="s">
        <v>1533</v>
      </c>
      <c r="G122" s="14" t="s">
        <v>1571</v>
      </c>
      <c r="H122" s="9" t="s">
        <v>2163</v>
      </c>
      <c r="I122" s="3">
        <v>9606.9977227061809</v>
      </c>
      <c r="J122" s="3">
        <v>0</v>
      </c>
      <c r="K122" s="3">
        <f t="shared" si="4"/>
        <v>9606.9977227061809</v>
      </c>
      <c r="L122" s="3">
        <f>IFERROR(INDEX('CHIRP Payment Calc'!K:K,MATCH(A:A,'CHIRP Payment Calc'!A:A,0)),0)</f>
        <v>0</v>
      </c>
      <c r="M122" s="3">
        <f t="shared" si="5"/>
        <v>9606.9977227061809</v>
      </c>
    </row>
    <row r="123" spans="1:13">
      <c r="A123" s="9" t="s">
        <v>704</v>
      </c>
      <c r="B123" s="9" t="s">
        <v>1189</v>
      </c>
      <c r="C123" s="9" t="s">
        <v>222</v>
      </c>
      <c r="D123" s="4" t="s">
        <v>705</v>
      </c>
      <c r="E123" s="14" t="s">
        <v>705</v>
      </c>
      <c r="F123" s="14" t="s">
        <v>706</v>
      </c>
      <c r="G123" s="14" t="s">
        <v>704</v>
      </c>
      <c r="H123" s="9" t="s">
        <v>2162</v>
      </c>
      <c r="I123" s="3">
        <v>18897924.70417339</v>
      </c>
      <c r="J123" s="3">
        <v>7676353.2867042497</v>
      </c>
      <c r="K123" s="3">
        <f t="shared" si="4"/>
        <v>26574277.99087764</v>
      </c>
      <c r="L123" s="3">
        <f>IFERROR(INDEX('CHIRP Payment Calc'!K:K,MATCH(A:A,'CHIRP Payment Calc'!A:A,0)),0)</f>
        <v>31184125.857434258</v>
      </c>
      <c r="M123" s="3">
        <f t="shared" si="5"/>
        <v>-4609847.8665566184</v>
      </c>
    </row>
    <row r="124" spans="1:13">
      <c r="A124" s="9" t="s">
        <v>1080</v>
      </c>
      <c r="B124" s="9" t="s">
        <v>1189</v>
      </c>
      <c r="C124" s="9" t="s">
        <v>222</v>
      </c>
      <c r="D124" s="4" t="s">
        <v>1081</v>
      </c>
      <c r="E124" s="14" t="s">
        <v>1081</v>
      </c>
      <c r="F124" s="14" t="s">
        <v>1082</v>
      </c>
      <c r="G124" s="14" t="s">
        <v>1080</v>
      </c>
      <c r="H124" s="9" t="s">
        <v>2161</v>
      </c>
      <c r="I124" s="3">
        <v>10560057.221958436</v>
      </c>
      <c r="J124" s="3">
        <v>2853509.4379051924</v>
      </c>
      <c r="K124" s="3">
        <f t="shared" si="4"/>
        <v>13413566.659863628</v>
      </c>
      <c r="L124" s="3">
        <f>IFERROR(INDEX('CHIRP Payment Calc'!K:K,MATCH(A:A,'CHIRP Payment Calc'!A:A,0)),0)</f>
        <v>16953066.772885233</v>
      </c>
      <c r="M124" s="3">
        <f t="shared" si="5"/>
        <v>-3539500.1130216047</v>
      </c>
    </row>
    <row r="125" spans="1:13">
      <c r="A125" s="9" t="s">
        <v>701</v>
      </c>
      <c r="B125" s="9" t="s">
        <v>1189</v>
      </c>
      <c r="C125" s="9" t="s">
        <v>1554</v>
      </c>
      <c r="D125" s="4" t="s">
        <v>702</v>
      </c>
      <c r="E125" s="14" t="s">
        <v>702</v>
      </c>
      <c r="F125" s="14" t="s">
        <v>703</v>
      </c>
      <c r="G125" s="14" t="s">
        <v>701</v>
      </c>
      <c r="H125" s="9" t="s">
        <v>2160</v>
      </c>
      <c r="I125" s="3">
        <v>5981657.7747466909</v>
      </c>
      <c r="J125" s="3">
        <v>8008782.3274075119</v>
      </c>
      <c r="K125" s="3">
        <f t="shared" si="4"/>
        <v>13990440.102154203</v>
      </c>
      <c r="L125" s="3">
        <f>IFERROR(INDEX('CHIRP Payment Calc'!K:K,MATCH(A:A,'CHIRP Payment Calc'!A:A,0)),0)</f>
        <v>17238364.378062576</v>
      </c>
      <c r="M125" s="3">
        <f t="shared" si="5"/>
        <v>-3247924.2759083733</v>
      </c>
    </row>
    <row r="126" spans="1:13">
      <c r="A126" s="9" t="s">
        <v>168</v>
      </c>
      <c r="B126" s="9" t="s">
        <v>300</v>
      </c>
      <c r="C126" s="9" t="s">
        <v>1594</v>
      </c>
      <c r="D126" s="4" t="s">
        <v>169</v>
      </c>
      <c r="E126" s="14" t="s">
        <v>169</v>
      </c>
      <c r="F126" s="14" t="s">
        <v>170</v>
      </c>
      <c r="G126" s="14" t="s">
        <v>168</v>
      </c>
      <c r="H126" s="9" t="s">
        <v>2159</v>
      </c>
      <c r="I126" s="3">
        <v>2496945.62818478</v>
      </c>
      <c r="J126" s="3">
        <v>0</v>
      </c>
      <c r="K126" s="3">
        <f t="shared" si="4"/>
        <v>2496945.62818478</v>
      </c>
      <c r="L126" s="3">
        <f>IFERROR(INDEX('CHIRP Payment Calc'!K:K,MATCH(A:A,'CHIRP Payment Calc'!A:A,0)),0)</f>
        <v>0</v>
      </c>
      <c r="M126" s="3">
        <f t="shared" si="5"/>
        <v>2496945.62818478</v>
      </c>
    </row>
    <row r="127" spans="1:13">
      <c r="A127" s="9" t="s">
        <v>425</v>
      </c>
      <c r="B127" s="9" t="s">
        <v>300</v>
      </c>
      <c r="C127" s="9" t="s">
        <v>1594</v>
      </c>
      <c r="D127" s="4" t="s">
        <v>426</v>
      </c>
      <c r="E127" s="14" t="s">
        <v>426</v>
      </c>
      <c r="F127" s="14" t="s">
        <v>427</v>
      </c>
      <c r="G127" s="14" t="s">
        <v>425</v>
      </c>
      <c r="H127" s="9" t="s">
        <v>1599</v>
      </c>
      <c r="I127" s="3">
        <v>440424448.21043444</v>
      </c>
      <c r="J127" s="3">
        <v>5858705.9648445481</v>
      </c>
      <c r="K127" s="3">
        <f t="shared" si="4"/>
        <v>446283154.17527896</v>
      </c>
      <c r="L127" s="3">
        <f>IFERROR(INDEX('CHIRP Payment Calc'!K:K,MATCH(A:A,'CHIRP Payment Calc'!A:A,0)),0)</f>
        <v>598258965.69024312</v>
      </c>
      <c r="M127" s="3">
        <f t="shared" si="5"/>
        <v>-151975811.51496416</v>
      </c>
    </row>
    <row r="128" spans="1:13">
      <c r="A128" s="9" t="s">
        <v>395</v>
      </c>
      <c r="B128" s="9" t="s">
        <v>300</v>
      </c>
      <c r="C128" s="9" t="s">
        <v>1594</v>
      </c>
      <c r="D128" s="4" t="s">
        <v>396</v>
      </c>
      <c r="E128" s="14" t="s">
        <v>396</v>
      </c>
      <c r="F128" s="14" t="s">
        <v>397</v>
      </c>
      <c r="G128" s="14" t="s">
        <v>395</v>
      </c>
      <c r="H128" s="9" t="s">
        <v>1750</v>
      </c>
      <c r="I128" s="3">
        <v>1075391.1354460684</v>
      </c>
      <c r="J128" s="3">
        <v>0</v>
      </c>
      <c r="K128" s="3">
        <f t="shared" si="4"/>
        <v>1075391.1354460684</v>
      </c>
      <c r="L128" s="3">
        <f>IFERROR(INDEX('CHIRP Payment Calc'!K:K,MATCH(A:A,'CHIRP Payment Calc'!A:A,0)),0)</f>
        <v>0</v>
      </c>
      <c r="M128" s="3">
        <f t="shared" si="5"/>
        <v>1075391.1354460684</v>
      </c>
    </row>
    <row r="129" spans="1:13">
      <c r="A129" s="9" t="s">
        <v>398</v>
      </c>
      <c r="B129" s="9" t="s">
        <v>300</v>
      </c>
      <c r="C129" s="9" t="s">
        <v>1594</v>
      </c>
      <c r="D129" s="4" t="s">
        <v>399</v>
      </c>
      <c r="E129" s="14" t="s">
        <v>399</v>
      </c>
      <c r="F129" s="14" t="s">
        <v>400</v>
      </c>
      <c r="G129" s="14" t="s">
        <v>398</v>
      </c>
      <c r="H129" s="9" t="s">
        <v>2158</v>
      </c>
      <c r="I129" s="3">
        <v>750687.53378046665</v>
      </c>
      <c r="J129" s="3">
        <v>0</v>
      </c>
      <c r="K129" s="3">
        <f t="shared" si="4"/>
        <v>750687.53378046665</v>
      </c>
      <c r="L129" s="3">
        <f>IFERROR(INDEX('CHIRP Payment Calc'!K:K,MATCH(A:A,'CHIRP Payment Calc'!A:A,0)),0)</f>
        <v>0</v>
      </c>
      <c r="M129" s="3">
        <f t="shared" si="5"/>
        <v>750687.53378046665</v>
      </c>
    </row>
    <row r="130" spans="1:13">
      <c r="A130" s="9" t="s">
        <v>1333</v>
      </c>
      <c r="B130" s="9" t="s">
        <v>300</v>
      </c>
      <c r="C130" s="9" t="s">
        <v>1801</v>
      </c>
      <c r="D130" s="4" t="s">
        <v>1334</v>
      </c>
      <c r="E130" s="14" t="s">
        <v>1334</v>
      </c>
      <c r="F130" s="14" t="s">
        <v>1335</v>
      </c>
      <c r="G130" s="14" t="s">
        <v>1333</v>
      </c>
      <c r="H130" s="9" t="s">
        <v>2157</v>
      </c>
      <c r="I130" s="3">
        <v>3935195.5785313924</v>
      </c>
      <c r="J130" s="3">
        <v>0</v>
      </c>
      <c r="K130" s="3">
        <f t="shared" si="4"/>
        <v>3935195.5785313924</v>
      </c>
      <c r="L130" s="3">
        <f>IFERROR(INDEX('CHIRP Payment Calc'!K:K,MATCH(A:A,'CHIRP Payment Calc'!A:A,0)),0)</f>
        <v>3614241.1664979905</v>
      </c>
      <c r="M130" s="3">
        <f t="shared" si="5"/>
        <v>320954.4120334019</v>
      </c>
    </row>
    <row r="131" spans="1:13">
      <c r="A131" s="9" t="s">
        <v>488</v>
      </c>
      <c r="B131" s="9" t="s">
        <v>300</v>
      </c>
      <c r="C131" s="9" t="s">
        <v>1801</v>
      </c>
      <c r="D131" s="4" t="s">
        <v>489</v>
      </c>
      <c r="E131" s="14" t="s">
        <v>489</v>
      </c>
      <c r="F131" s="14" t="s">
        <v>490</v>
      </c>
      <c r="G131" s="14" t="s">
        <v>488</v>
      </c>
      <c r="H131" s="9" t="s">
        <v>2156</v>
      </c>
      <c r="I131" s="3">
        <v>1051999.5616684686</v>
      </c>
      <c r="J131" s="3">
        <v>0</v>
      </c>
      <c r="K131" s="3">
        <f t="shared" si="4"/>
        <v>1051999.5616684686</v>
      </c>
      <c r="L131" s="3">
        <f>IFERROR(INDEX('CHIRP Payment Calc'!K:K,MATCH(A:A,'CHIRP Payment Calc'!A:A,0)),0)</f>
        <v>1569326.4863462311</v>
      </c>
      <c r="M131" s="3">
        <f t="shared" si="5"/>
        <v>-517326.92467776244</v>
      </c>
    </row>
    <row r="132" spans="1:13">
      <c r="A132" s="9" t="s">
        <v>1218</v>
      </c>
      <c r="B132" s="9" t="s">
        <v>300</v>
      </c>
      <c r="C132" s="9" t="s">
        <v>1801</v>
      </c>
      <c r="D132" s="4" t="s">
        <v>1219</v>
      </c>
      <c r="E132" s="14" t="s">
        <v>1219</v>
      </c>
      <c r="F132" s="14" t="s">
        <v>1220</v>
      </c>
      <c r="G132" s="14" t="s">
        <v>1218</v>
      </c>
      <c r="H132" s="9" t="s">
        <v>2155</v>
      </c>
      <c r="I132" s="3">
        <v>1936335.3760117826</v>
      </c>
      <c r="J132" s="3">
        <v>0</v>
      </c>
      <c r="K132" s="3">
        <f t="shared" si="4"/>
        <v>1936335.3760117826</v>
      </c>
      <c r="L132" s="3">
        <f>IFERROR(INDEX('CHIRP Payment Calc'!K:K,MATCH(A:A,'CHIRP Payment Calc'!A:A,0)),0)</f>
        <v>3057266.3579157246</v>
      </c>
      <c r="M132" s="3">
        <f t="shared" si="5"/>
        <v>-1120930.9819039421</v>
      </c>
    </row>
    <row r="133" spans="1:13">
      <c r="A133" s="9" t="s">
        <v>1356</v>
      </c>
      <c r="B133" s="9" t="s">
        <v>300</v>
      </c>
      <c r="C133" s="9" t="s">
        <v>1801</v>
      </c>
      <c r="D133" s="4" t="s">
        <v>1357</v>
      </c>
      <c r="E133" s="14" t="s">
        <v>1357</v>
      </c>
      <c r="F133" s="14" t="s">
        <v>1358</v>
      </c>
      <c r="G133" s="14" t="s">
        <v>1356</v>
      </c>
      <c r="H133" s="9" t="s">
        <v>2154</v>
      </c>
      <c r="I133" s="3">
        <v>1299417.4048151611</v>
      </c>
      <c r="J133" s="3">
        <v>0</v>
      </c>
      <c r="K133" s="3">
        <f t="shared" si="4"/>
        <v>1299417.4048151611</v>
      </c>
      <c r="L133" s="3">
        <f>IFERROR(INDEX('CHIRP Payment Calc'!K:K,MATCH(A:A,'CHIRP Payment Calc'!A:A,0)),0)</f>
        <v>1528349.8526361354</v>
      </c>
      <c r="M133" s="3">
        <f t="shared" si="5"/>
        <v>-228932.44782097428</v>
      </c>
    </row>
    <row r="134" spans="1:13">
      <c r="A134" s="9" t="s">
        <v>1238</v>
      </c>
      <c r="B134" s="9" t="s">
        <v>300</v>
      </c>
      <c r="C134" s="9" t="s">
        <v>1801</v>
      </c>
      <c r="D134" s="4" t="s">
        <v>1239</v>
      </c>
      <c r="E134" s="14" t="s">
        <v>1239</v>
      </c>
      <c r="F134" s="14" t="s">
        <v>1240</v>
      </c>
      <c r="G134" s="14" t="s">
        <v>1238</v>
      </c>
      <c r="H134" s="9" t="s">
        <v>2153</v>
      </c>
      <c r="I134" s="3">
        <v>0</v>
      </c>
      <c r="J134" s="3">
        <v>0</v>
      </c>
      <c r="K134" s="3">
        <f t="shared" si="4"/>
        <v>0</v>
      </c>
      <c r="L134" s="3">
        <f>IFERROR(INDEX('CHIRP Payment Calc'!K:K,MATCH(A:A,'CHIRP Payment Calc'!A:A,0)),0)</f>
        <v>0</v>
      </c>
      <c r="M134" s="3">
        <f t="shared" si="5"/>
        <v>0</v>
      </c>
    </row>
    <row r="135" spans="1:13">
      <c r="A135" s="9" t="s">
        <v>1353</v>
      </c>
      <c r="B135" s="9" t="s">
        <v>300</v>
      </c>
      <c r="C135" s="9" t="s">
        <v>1801</v>
      </c>
      <c r="D135" s="4" t="s">
        <v>1354</v>
      </c>
      <c r="E135" s="14" t="s">
        <v>1354</v>
      </c>
      <c r="F135" s="14" t="s">
        <v>1355</v>
      </c>
      <c r="G135" s="14" t="s">
        <v>1353</v>
      </c>
      <c r="H135" s="9" t="s">
        <v>2152</v>
      </c>
      <c r="I135" s="3">
        <v>4622021.8167845039</v>
      </c>
      <c r="J135" s="3">
        <v>0</v>
      </c>
      <c r="K135" s="3">
        <f t="shared" si="4"/>
        <v>4622021.8167845039</v>
      </c>
      <c r="L135" s="3">
        <f>IFERROR(INDEX('CHIRP Payment Calc'!K:K,MATCH(A:A,'CHIRP Payment Calc'!A:A,0)),0)</f>
        <v>5453489.5142499683</v>
      </c>
      <c r="M135" s="3">
        <f t="shared" si="5"/>
        <v>-831467.69746546447</v>
      </c>
    </row>
    <row r="136" spans="1:13">
      <c r="A136" s="9" t="s">
        <v>1524</v>
      </c>
      <c r="B136" s="9" t="s">
        <v>300</v>
      </c>
      <c r="C136" s="9" t="s">
        <v>1801</v>
      </c>
      <c r="D136" s="4" t="s">
        <v>1525</v>
      </c>
      <c r="E136" s="14" t="e">
        <v>#N/A</v>
      </c>
      <c r="F136" s="14" t="e">
        <v>#N/A</v>
      </c>
      <c r="G136" s="14" t="e">
        <v>#N/A</v>
      </c>
      <c r="H136" s="9" t="s">
        <v>2151</v>
      </c>
      <c r="I136" s="3">
        <v>0</v>
      </c>
      <c r="J136" s="3">
        <v>0</v>
      </c>
      <c r="K136" s="3">
        <f t="shared" ref="K136:K199" si="6">I136+J136</f>
        <v>0</v>
      </c>
      <c r="L136" s="3">
        <f>IFERROR(INDEX('CHIRP Payment Calc'!K:K,MATCH(A:A,'CHIRP Payment Calc'!A:A,0)),0)</f>
        <v>0</v>
      </c>
      <c r="M136" s="3">
        <f t="shared" ref="M136:M199" si="7">K136-L136</f>
        <v>0</v>
      </c>
    </row>
    <row r="137" spans="1:13">
      <c r="A137" s="9" t="s">
        <v>1190</v>
      </c>
      <c r="B137" s="9" t="s">
        <v>300</v>
      </c>
      <c r="C137" s="9" t="s">
        <v>1801</v>
      </c>
      <c r="D137" s="4" t="s">
        <v>1191</v>
      </c>
      <c r="E137" s="14" t="s">
        <v>1191</v>
      </c>
      <c r="F137" s="14" t="s">
        <v>1192</v>
      </c>
      <c r="G137" s="14" t="s">
        <v>1190</v>
      </c>
      <c r="H137" s="9" t="s">
        <v>2150</v>
      </c>
      <c r="I137" s="3">
        <v>0</v>
      </c>
      <c r="J137" s="3">
        <v>0</v>
      </c>
      <c r="K137" s="3">
        <f t="shared" si="6"/>
        <v>0</v>
      </c>
      <c r="L137" s="3">
        <f>IFERROR(INDEX('CHIRP Payment Calc'!K:K,MATCH(A:A,'CHIRP Payment Calc'!A:A,0)),0)</f>
        <v>0</v>
      </c>
      <c r="M137" s="3">
        <f t="shared" si="7"/>
        <v>0</v>
      </c>
    </row>
    <row r="138" spans="1:13">
      <c r="A138" s="9" t="s">
        <v>1477</v>
      </c>
      <c r="B138" s="15" t="s">
        <v>310</v>
      </c>
      <c r="C138" s="15" t="s">
        <v>1479</v>
      </c>
      <c r="D138" s="4" t="s">
        <v>1478</v>
      </c>
      <c r="E138" s="14" t="e">
        <v>#N/A</v>
      </c>
      <c r="F138" s="14" t="e">
        <v>#N/A</v>
      </c>
      <c r="G138" s="14" t="e">
        <v>#N/A</v>
      </c>
      <c r="H138" s="9" t="s">
        <v>1958</v>
      </c>
      <c r="I138" s="3">
        <v>687836.21223730384</v>
      </c>
      <c r="J138" s="3">
        <v>222865.88641060537</v>
      </c>
      <c r="K138" s="3">
        <f t="shared" si="6"/>
        <v>910702.09864790924</v>
      </c>
      <c r="L138" s="3">
        <f>IFERROR(INDEX('CHIRP Payment Calc'!K:K,MATCH(A:A,'CHIRP Payment Calc'!A:A,0)),0)</f>
        <v>1907591.8841864786</v>
      </c>
      <c r="M138" s="3">
        <f t="shared" si="7"/>
        <v>-996889.78553856933</v>
      </c>
    </row>
    <row r="139" spans="1:13">
      <c r="A139" s="9" t="s">
        <v>1265</v>
      </c>
      <c r="B139" s="9" t="s">
        <v>300</v>
      </c>
      <c r="C139" s="9" t="s">
        <v>1801</v>
      </c>
      <c r="D139" s="4" t="s">
        <v>1266</v>
      </c>
      <c r="E139" s="14" t="s">
        <v>1266</v>
      </c>
      <c r="F139" s="14" t="s">
        <v>1267</v>
      </c>
      <c r="G139" s="14" t="s">
        <v>1265</v>
      </c>
      <c r="H139" s="9" t="s">
        <v>2148</v>
      </c>
      <c r="I139" s="3">
        <v>1836881.3324376929</v>
      </c>
      <c r="J139" s="3">
        <v>0</v>
      </c>
      <c r="K139" s="3">
        <f t="shared" si="6"/>
        <v>1836881.3324376929</v>
      </c>
      <c r="L139" s="3">
        <f>IFERROR(INDEX('CHIRP Payment Calc'!K:K,MATCH(A:A,'CHIRP Payment Calc'!A:A,0)),0)</f>
        <v>3580813.9404187733</v>
      </c>
      <c r="M139" s="3">
        <f t="shared" si="7"/>
        <v>-1743932.6079810804</v>
      </c>
    </row>
    <row r="140" spans="1:13">
      <c r="A140" s="9" t="s">
        <v>1231</v>
      </c>
      <c r="B140" s="9" t="s">
        <v>300</v>
      </c>
      <c r="C140" s="9" t="s">
        <v>1801</v>
      </c>
      <c r="D140" s="4" t="s">
        <v>1232</v>
      </c>
      <c r="E140" s="14" t="s">
        <v>1232</v>
      </c>
      <c r="F140" s="14" t="s">
        <v>1233</v>
      </c>
      <c r="G140" s="14" t="s">
        <v>1231</v>
      </c>
      <c r="H140" s="9" t="s">
        <v>2147</v>
      </c>
      <c r="I140" s="3">
        <v>2693516.4098668206</v>
      </c>
      <c r="J140" s="3">
        <v>0</v>
      </c>
      <c r="K140" s="3">
        <f t="shared" si="6"/>
        <v>2693516.4098668206</v>
      </c>
      <c r="L140" s="3">
        <f>IFERROR(INDEX('CHIRP Payment Calc'!K:K,MATCH(A:A,'CHIRP Payment Calc'!A:A,0)),0)</f>
        <v>4457822.2708174214</v>
      </c>
      <c r="M140" s="3">
        <f t="shared" si="7"/>
        <v>-1764305.8609506008</v>
      </c>
    </row>
    <row r="141" spans="1:13">
      <c r="A141" s="9" t="s">
        <v>135</v>
      </c>
      <c r="B141" s="9" t="s">
        <v>1486</v>
      </c>
      <c r="C141" s="9" t="s">
        <v>1545</v>
      </c>
      <c r="D141" s="4" t="s">
        <v>136</v>
      </c>
      <c r="E141" s="14" t="s">
        <v>136</v>
      </c>
      <c r="F141" s="14" t="e">
        <v>#N/A</v>
      </c>
      <c r="G141" s="14" t="s">
        <v>135</v>
      </c>
      <c r="H141" s="9" t="s">
        <v>1985</v>
      </c>
      <c r="I141" s="3">
        <v>224930.23310111393</v>
      </c>
      <c r="J141" s="3">
        <v>114667.62380841179</v>
      </c>
      <c r="K141" s="3">
        <f t="shared" si="6"/>
        <v>339597.8569095257</v>
      </c>
      <c r="L141" s="3">
        <f>IFERROR(INDEX('CHIRP Payment Calc'!K:K,MATCH(A:A,'CHIRP Payment Calc'!A:A,0)),0)</f>
        <v>567629.06835707638</v>
      </c>
      <c r="M141" s="3">
        <f t="shared" si="7"/>
        <v>-228031.21144755068</v>
      </c>
    </row>
    <row r="142" spans="1:13">
      <c r="A142" s="9" t="s">
        <v>1206</v>
      </c>
      <c r="B142" s="9" t="s">
        <v>300</v>
      </c>
      <c r="C142" s="9" t="s">
        <v>1801</v>
      </c>
      <c r="D142" s="4" t="s">
        <v>1207</v>
      </c>
      <c r="E142" s="14" t="s">
        <v>1207</v>
      </c>
      <c r="F142" s="14" t="s">
        <v>1208</v>
      </c>
      <c r="G142" s="14" t="s">
        <v>1206</v>
      </c>
      <c r="H142" s="9" t="s">
        <v>2145</v>
      </c>
      <c r="I142" s="3">
        <v>0</v>
      </c>
      <c r="J142" s="3">
        <v>0</v>
      </c>
      <c r="K142" s="3">
        <f t="shared" si="6"/>
        <v>0</v>
      </c>
      <c r="L142" s="3">
        <f>IFERROR(INDEX('CHIRP Payment Calc'!K:K,MATCH(A:A,'CHIRP Payment Calc'!A:A,0)),0)</f>
        <v>0</v>
      </c>
      <c r="M142" s="3">
        <f t="shared" si="7"/>
        <v>0</v>
      </c>
    </row>
    <row r="143" spans="1:13">
      <c r="A143" s="9" t="s">
        <v>1506</v>
      </c>
      <c r="B143" s="9" t="s">
        <v>300</v>
      </c>
      <c r="C143" s="9" t="s">
        <v>1801</v>
      </c>
      <c r="D143" s="4" t="s">
        <v>1507</v>
      </c>
      <c r="E143" s="14" t="e">
        <v>#N/A</v>
      </c>
      <c r="F143" s="14" t="e">
        <v>#N/A</v>
      </c>
      <c r="G143" s="14" t="e">
        <v>#N/A</v>
      </c>
      <c r="H143" s="9" t="s">
        <v>2144</v>
      </c>
      <c r="I143" s="3">
        <v>0</v>
      </c>
      <c r="J143" s="3">
        <v>0</v>
      </c>
      <c r="K143" s="3">
        <f t="shared" si="6"/>
        <v>0</v>
      </c>
      <c r="L143" s="3">
        <f>IFERROR(INDEX('CHIRP Payment Calc'!K:K,MATCH(A:A,'CHIRP Payment Calc'!A:A,0)),0)</f>
        <v>0</v>
      </c>
      <c r="M143" s="3">
        <f t="shared" si="7"/>
        <v>0</v>
      </c>
    </row>
    <row r="144" spans="1:13">
      <c r="A144" s="9" t="s">
        <v>1312</v>
      </c>
      <c r="B144" s="9" t="s">
        <v>300</v>
      </c>
      <c r="C144" s="9" t="s">
        <v>1801</v>
      </c>
      <c r="D144" s="4" t="s">
        <v>1313</v>
      </c>
      <c r="E144" s="14" t="s">
        <v>1313</v>
      </c>
      <c r="F144" s="14" t="s">
        <v>1314</v>
      </c>
      <c r="G144" s="14" t="s">
        <v>1312</v>
      </c>
      <c r="H144" s="9" t="s">
        <v>2143</v>
      </c>
      <c r="I144" s="3">
        <v>3757348.1823114208</v>
      </c>
      <c r="J144" s="3">
        <v>0</v>
      </c>
      <c r="K144" s="3">
        <f t="shared" si="6"/>
        <v>3757348.1823114208</v>
      </c>
      <c r="L144" s="3">
        <f>IFERROR(INDEX('CHIRP Payment Calc'!K:K,MATCH(A:A,'CHIRP Payment Calc'!A:A,0)),0)</f>
        <v>4944657.8367703017</v>
      </c>
      <c r="M144" s="3">
        <f t="shared" si="7"/>
        <v>-1187309.6544588809</v>
      </c>
    </row>
    <row r="145" spans="1:13">
      <c r="A145" s="9" t="s">
        <v>1285</v>
      </c>
      <c r="B145" s="9" t="s">
        <v>300</v>
      </c>
      <c r="C145" s="9" t="s">
        <v>1801</v>
      </c>
      <c r="D145" s="4" t="s">
        <v>1286</v>
      </c>
      <c r="E145" s="14" t="s">
        <v>1286</v>
      </c>
      <c r="F145" s="14" t="s">
        <v>1287</v>
      </c>
      <c r="G145" s="14" t="s">
        <v>1285</v>
      </c>
      <c r="H145" s="9" t="s">
        <v>2142</v>
      </c>
      <c r="I145" s="3">
        <v>0</v>
      </c>
      <c r="J145" s="3">
        <v>0</v>
      </c>
      <c r="K145" s="3">
        <f t="shared" si="6"/>
        <v>0</v>
      </c>
      <c r="L145" s="3">
        <f>IFERROR(INDEX('CHIRP Payment Calc'!K:K,MATCH(A:A,'CHIRP Payment Calc'!A:A,0)),0)</f>
        <v>0</v>
      </c>
      <c r="M145" s="3">
        <f t="shared" si="7"/>
        <v>0</v>
      </c>
    </row>
    <row r="146" spans="1:13">
      <c r="A146" s="9" t="s">
        <v>1228</v>
      </c>
      <c r="B146" s="9" t="s">
        <v>300</v>
      </c>
      <c r="C146" s="9" t="s">
        <v>1801</v>
      </c>
      <c r="D146" s="4" t="s">
        <v>1229</v>
      </c>
      <c r="E146" s="14" t="s">
        <v>1229</v>
      </c>
      <c r="F146" s="14" t="s">
        <v>1230</v>
      </c>
      <c r="G146" s="14" t="s">
        <v>1228</v>
      </c>
      <c r="H146" s="9" t="s">
        <v>2141</v>
      </c>
      <c r="I146" s="3">
        <v>0</v>
      </c>
      <c r="J146" s="3">
        <v>0</v>
      </c>
      <c r="K146" s="3">
        <f t="shared" si="6"/>
        <v>0</v>
      </c>
      <c r="L146" s="3">
        <f>IFERROR(INDEX('CHIRP Payment Calc'!K:K,MATCH(A:A,'CHIRP Payment Calc'!A:A,0)),0)</f>
        <v>0</v>
      </c>
      <c r="M146" s="3">
        <f t="shared" si="7"/>
        <v>0</v>
      </c>
    </row>
    <row r="147" spans="1:13">
      <c r="A147" s="9" t="s">
        <v>1047</v>
      </c>
      <c r="B147" s="9" t="s">
        <v>300</v>
      </c>
      <c r="C147" s="9" t="s">
        <v>1553</v>
      </c>
      <c r="D147" s="4" t="s">
        <v>1048</v>
      </c>
      <c r="E147" s="14" t="s">
        <v>1048</v>
      </c>
      <c r="F147" s="14" t="s">
        <v>1049</v>
      </c>
      <c r="G147" s="14" t="s">
        <v>1047</v>
      </c>
      <c r="H147" s="9" t="s">
        <v>2140</v>
      </c>
      <c r="I147" s="3">
        <v>4817718.6368209934</v>
      </c>
      <c r="J147" s="3">
        <v>1972822.9921097341</v>
      </c>
      <c r="K147" s="3">
        <f t="shared" si="6"/>
        <v>6790541.628930727</v>
      </c>
      <c r="L147" s="3">
        <f>IFERROR(INDEX('CHIRP Payment Calc'!K:K,MATCH(A:A,'CHIRP Payment Calc'!A:A,0)),0)</f>
        <v>8804216.8513999525</v>
      </c>
      <c r="M147" s="3">
        <f t="shared" si="7"/>
        <v>-2013675.2224692255</v>
      </c>
    </row>
    <row r="148" spans="1:13">
      <c r="A148" s="9" t="s">
        <v>572</v>
      </c>
      <c r="B148" s="9" t="s">
        <v>300</v>
      </c>
      <c r="C148" s="9" t="s">
        <v>222</v>
      </c>
      <c r="D148" s="4" t="s">
        <v>573</v>
      </c>
      <c r="E148" s="14" t="s">
        <v>573</v>
      </c>
      <c r="F148" s="14" t="s">
        <v>574</v>
      </c>
      <c r="G148" s="14" t="s">
        <v>572</v>
      </c>
      <c r="H148" s="9" t="s">
        <v>2139</v>
      </c>
      <c r="I148" s="3">
        <v>30847194.887465943</v>
      </c>
      <c r="J148" s="3">
        <v>410749.74093844387</v>
      </c>
      <c r="K148" s="3">
        <f t="shared" si="6"/>
        <v>31257944.628404386</v>
      </c>
      <c r="L148" s="3">
        <f>IFERROR(INDEX('CHIRP Payment Calc'!K:K,MATCH(A:A,'CHIRP Payment Calc'!A:A,0)),0)</f>
        <v>41811790.022405565</v>
      </c>
      <c r="M148" s="3">
        <f t="shared" si="7"/>
        <v>-10553845.394001178</v>
      </c>
    </row>
    <row r="149" spans="1:13">
      <c r="A149" s="9" t="s">
        <v>297</v>
      </c>
      <c r="B149" s="9" t="s">
        <v>300</v>
      </c>
      <c r="C149" s="9" t="s">
        <v>222</v>
      </c>
      <c r="D149" s="4" t="s">
        <v>298</v>
      </c>
      <c r="E149" s="14" t="s">
        <v>298</v>
      </c>
      <c r="F149" s="14" t="s">
        <v>299</v>
      </c>
      <c r="G149" s="14" t="s">
        <v>297</v>
      </c>
      <c r="H149" s="9" t="s">
        <v>2138</v>
      </c>
      <c r="I149" s="3">
        <v>0</v>
      </c>
      <c r="J149" s="3">
        <v>0</v>
      </c>
      <c r="K149" s="3">
        <f t="shared" si="6"/>
        <v>0</v>
      </c>
      <c r="L149" s="3">
        <f>IFERROR(INDEX('CHIRP Payment Calc'!K:K,MATCH(A:A,'CHIRP Payment Calc'!A:A,0)),0)</f>
        <v>0</v>
      </c>
      <c r="M149" s="3">
        <f t="shared" si="7"/>
        <v>0</v>
      </c>
    </row>
    <row r="150" spans="1:13">
      <c r="A150" s="9" t="s">
        <v>841</v>
      </c>
      <c r="B150" s="9" t="s">
        <v>300</v>
      </c>
      <c r="C150" s="9" t="s">
        <v>222</v>
      </c>
      <c r="D150" s="4" t="s">
        <v>842</v>
      </c>
      <c r="E150" s="14" t="s">
        <v>842</v>
      </c>
      <c r="F150" s="14" t="s">
        <v>843</v>
      </c>
      <c r="G150" s="14" t="s">
        <v>841</v>
      </c>
      <c r="H150" s="9" t="s">
        <v>2137</v>
      </c>
      <c r="I150" s="3">
        <v>46558.774683769356</v>
      </c>
      <c r="J150" s="3">
        <v>44537.451695585325</v>
      </c>
      <c r="K150" s="3">
        <f t="shared" si="6"/>
        <v>91096.226379354688</v>
      </c>
      <c r="L150" s="3">
        <f>IFERROR(INDEX('CHIRP Payment Calc'!K:K,MATCH(A:A,'CHIRP Payment Calc'!A:A,0)),0)</f>
        <v>0</v>
      </c>
      <c r="M150" s="3">
        <f t="shared" si="7"/>
        <v>91096.226379354688</v>
      </c>
    </row>
    <row r="151" spans="1:13">
      <c r="A151" s="9" t="s">
        <v>413</v>
      </c>
      <c r="B151" s="9" t="s">
        <v>300</v>
      </c>
      <c r="C151" s="9" t="s">
        <v>222</v>
      </c>
      <c r="D151" s="4" t="s">
        <v>414</v>
      </c>
      <c r="E151" s="14" t="s">
        <v>414</v>
      </c>
      <c r="F151" s="14" t="s">
        <v>415</v>
      </c>
      <c r="G151" s="14" t="s">
        <v>413</v>
      </c>
      <c r="H151" s="9" t="s">
        <v>2136</v>
      </c>
      <c r="I151" s="3">
        <v>0</v>
      </c>
      <c r="J151" s="3">
        <v>0</v>
      </c>
      <c r="K151" s="3">
        <f t="shared" si="6"/>
        <v>0</v>
      </c>
      <c r="L151" s="3">
        <f>IFERROR(INDEX('CHIRP Payment Calc'!K:K,MATCH(A:A,'CHIRP Payment Calc'!A:A,0)),0)</f>
        <v>0</v>
      </c>
      <c r="M151" s="3">
        <f t="shared" si="7"/>
        <v>0</v>
      </c>
    </row>
    <row r="152" spans="1:13">
      <c r="A152" s="9" t="s">
        <v>1474</v>
      </c>
      <c r="B152" s="9" t="s">
        <v>300</v>
      </c>
      <c r="C152" s="9" t="s">
        <v>222</v>
      </c>
      <c r="D152" s="4" t="s">
        <v>1475</v>
      </c>
      <c r="E152" s="14" t="s">
        <v>1475</v>
      </c>
      <c r="F152" s="14" t="s">
        <v>1476</v>
      </c>
      <c r="G152" s="14" t="s">
        <v>1474</v>
      </c>
      <c r="H152" s="9" t="s">
        <v>2135</v>
      </c>
      <c r="I152" s="3">
        <v>239985.35732198763</v>
      </c>
      <c r="J152" s="3">
        <v>74258.981816836371</v>
      </c>
      <c r="K152" s="3">
        <f t="shared" si="6"/>
        <v>314244.33913882403</v>
      </c>
      <c r="L152" s="3">
        <f>IFERROR(INDEX('CHIRP Payment Calc'!K:K,MATCH(A:A,'CHIRP Payment Calc'!A:A,0)),0)</f>
        <v>559242.66301284684</v>
      </c>
      <c r="M152" s="3">
        <f t="shared" si="7"/>
        <v>-244998.32387402281</v>
      </c>
    </row>
    <row r="153" spans="1:13">
      <c r="A153" s="9" t="s">
        <v>560</v>
      </c>
      <c r="B153" s="9" t="s">
        <v>300</v>
      </c>
      <c r="C153" s="9" t="s">
        <v>222</v>
      </c>
      <c r="D153" s="4" t="s">
        <v>561</v>
      </c>
      <c r="E153" s="14" t="s">
        <v>561</v>
      </c>
      <c r="F153" s="14" t="s">
        <v>562</v>
      </c>
      <c r="G153" s="14" t="s">
        <v>560</v>
      </c>
      <c r="H153" s="9" t="s">
        <v>2134</v>
      </c>
      <c r="I153" s="3">
        <v>22503012.018086329</v>
      </c>
      <c r="J153" s="3">
        <v>6604946.0806889357</v>
      </c>
      <c r="K153" s="3">
        <f t="shared" si="6"/>
        <v>29107958.098775264</v>
      </c>
      <c r="L153" s="3">
        <f>IFERROR(INDEX('CHIRP Payment Calc'!K:K,MATCH(A:A,'CHIRP Payment Calc'!A:A,0)),0)</f>
        <v>38314575.369915992</v>
      </c>
      <c r="M153" s="3">
        <f t="shared" si="7"/>
        <v>-9206617.2711407281</v>
      </c>
    </row>
    <row r="154" spans="1:13">
      <c r="A154" s="9" t="s">
        <v>186</v>
      </c>
      <c r="B154" s="9" t="s">
        <v>300</v>
      </c>
      <c r="C154" s="9" t="s">
        <v>222</v>
      </c>
      <c r="D154" s="4" t="s">
        <v>187</v>
      </c>
      <c r="E154" s="14" t="s">
        <v>187</v>
      </c>
      <c r="F154" s="14" t="s">
        <v>188</v>
      </c>
      <c r="G154" s="14" t="s">
        <v>186</v>
      </c>
      <c r="H154" s="9" t="s">
        <v>2133</v>
      </c>
      <c r="I154" s="3">
        <v>651953.59843935887</v>
      </c>
      <c r="J154" s="3">
        <v>3847472.6741576153</v>
      </c>
      <c r="K154" s="3">
        <f t="shared" si="6"/>
        <v>4499426.2725969739</v>
      </c>
      <c r="L154" s="3">
        <f>IFERROR(INDEX('CHIRP Payment Calc'!K:K,MATCH(A:A,'CHIRP Payment Calc'!A:A,0)),0)</f>
        <v>4775918.7583014239</v>
      </c>
      <c r="M154" s="3">
        <f t="shared" si="7"/>
        <v>-276492.48570444994</v>
      </c>
    </row>
    <row r="155" spans="1:13">
      <c r="A155" s="9" t="s">
        <v>575</v>
      </c>
      <c r="B155" s="9" t="s">
        <v>300</v>
      </c>
      <c r="C155" s="9" t="s">
        <v>222</v>
      </c>
      <c r="D155" s="4" t="s">
        <v>576</v>
      </c>
      <c r="E155" s="14" t="s">
        <v>576</v>
      </c>
      <c r="F155" s="14" t="s">
        <v>577</v>
      </c>
      <c r="G155" s="14" t="s">
        <v>575</v>
      </c>
      <c r="H155" s="9" t="s">
        <v>2132</v>
      </c>
      <c r="I155" s="3">
        <v>0</v>
      </c>
      <c r="J155" s="3">
        <v>0</v>
      </c>
      <c r="K155" s="3">
        <f t="shared" si="6"/>
        <v>0</v>
      </c>
      <c r="L155" s="3">
        <f>IFERROR(INDEX('CHIRP Payment Calc'!K:K,MATCH(A:A,'CHIRP Payment Calc'!A:A,0)),0)</f>
        <v>0</v>
      </c>
      <c r="M155" s="3">
        <f t="shared" si="7"/>
        <v>0</v>
      </c>
    </row>
    <row r="156" spans="1:13">
      <c r="A156" s="9" t="s">
        <v>578</v>
      </c>
      <c r="B156" s="9" t="s">
        <v>300</v>
      </c>
      <c r="C156" s="9" t="s">
        <v>222</v>
      </c>
      <c r="D156" s="4" t="s">
        <v>2131</v>
      </c>
      <c r="E156" s="14" t="s">
        <v>579</v>
      </c>
      <c r="F156" s="14" t="s">
        <v>580</v>
      </c>
      <c r="G156" s="14" t="s">
        <v>578</v>
      </c>
      <c r="H156" s="9" t="s">
        <v>2130</v>
      </c>
      <c r="I156" s="3">
        <v>0</v>
      </c>
      <c r="J156" s="3">
        <v>0</v>
      </c>
      <c r="K156" s="3">
        <f t="shared" si="6"/>
        <v>0</v>
      </c>
      <c r="L156" s="3">
        <f>IFERROR(INDEX('CHIRP Payment Calc'!K:K,MATCH(A:A,'CHIRP Payment Calc'!A:A,0)),0)</f>
        <v>0</v>
      </c>
      <c r="M156" s="3">
        <f t="shared" si="7"/>
        <v>0</v>
      </c>
    </row>
    <row r="157" spans="1:13">
      <c r="A157" s="9" t="s">
        <v>261</v>
      </c>
      <c r="B157" s="9" t="s">
        <v>300</v>
      </c>
      <c r="C157" s="9" t="s">
        <v>222</v>
      </c>
      <c r="D157" s="4" t="s">
        <v>262</v>
      </c>
      <c r="E157" s="14" t="s">
        <v>262</v>
      </c>
      <c r="F157" s="14" t="s">
        <v>263</v>
      </c>
      <c r="G157" s="14" t="s">
        <v>261</v>
      </c>
      <c r="H157" s="9" t="s">
        <v>2129</v>
      </c>
      <c r="I157" s="3">
        <v>5486998.7574516097</v>
      </c>
      <c r="J157" s="3">
        <v>0</v>
      </c>
      <c r="K157" s="3">
        <f t="shared" si="6"/>
        <v>5486998.7574516097</v>
      </c>
      <c r="L157" s="3">
        <f>IFERROR(INDEX('CHIRP Payment Calc'!K:K,MATCH(A:A,'CHIRP Payment Calc'!A:A,0)),0)</f>
        <v>9570484.4175975416</v>
      </c>
      <c r="M157" s="3">
        <f t="shared" si="7"/>
        <v>-4083485.6601459319</v>
      </c>
    </row>
    <row r="158" spans="1:13">
      <c r="A158" s="9" t="e">
        <v>#N/A</v>
      </c>
      <c r="B158" s="9" t="s">
        <v>300</v>
      </c>
      <c r="C158" s="9" t="s">
        <v>222</v>
      </c>
      <c r="D158" s="4" t="s">
        <v>1517</v>
      </c>
      <c r="E158" s="14" t="e">
        <v>#N/A</v>
      </c>
      <c r="F158" s="14" t="e">
        <v>#N/A</v>
      </c>
      <c r="G158" s="14" t="e">
        <v>#N/A</v>
      </c>
      <c r="H158" s="9" t="s">
        <v>2128</v>
      </c>
      <c r="I158" s="3">
        <v>0</v>
      </c>
      <c r="J158" s="3">
        <v>0</v>
      </c>
      <c r="K158" s="3">
        <f t="shared" si="6"/>
        <v>0</v>
      </c>
      <c r="L158" s="3">
        <f>IFERROR(INDEX('CHIRP Payment Calc'!K:K,MATCH(A:A,'CHIRP Payment Calc'!A:A,0)),0)</f>
        <v>0</v>
      </c>
      <c r="M158" s="3">
        <f t="shared" si="7"/>
        <v>0</v>
      </c>
    </row>
    <row r="159" spans="1:13">
      <c r="A159" s="9" t="s">
        <v>950</v>
      </c>
      <c r="B159" s="9" t="s">
        <v>300</v>
      </c>
      <c r="C159" s="9" t="s">
        <v>222</v>
      </c>
      <c r="D159" s="4" t="s">
        <v>951</v>
      </c>
      <c r="E159" s="14" t="s">
        <v>951</v>
      </c>
      <c r="F159" s="14" t="s">
        <v>952</v>
      </c>
      <c r="G159" s="14" t="s">
        <v>950</v>
      </c>
      <c r="H159" s="9" t="s">
        <v>2127</v>
      </c>
      <c r="I159" s="3">
        <v>1321430.7782562003</v>
      </c>
      <c r="J159" s="3">
        <v>528747.00072054588</v>
      </c>
      <c r="K159" s="3">
        <f t="shared" si="6"/>
        <v>1850177.7789767461</v>
      </c>
      <c r="L159" s="3">
        <f>IFERROR(INDEX('CHIRP Payment Calc'!K:K,MATCH(A:A,'CHIRP Payment Calc'!A:A,0)),0)</f>
        <v>2737670.0805601547</v>
      </c>
      <c r="M159" s="3">
        <f t="shared" si="7"/>
        <v>-887492.30158340861</v>
      </c>
    </row>
    <row r="160" spans="1:13">
      <c r="A160" s="9" t="s">
        <v>1143</v>
      </c>
      <c r="B160" s="9" t="s">
        <v>300</v>
      </c>
      <c r="C160" s="9" t="s">
        <v>222</v>
      </c>
      <c r="D160" s="4" t="s">
        <v>1144</v>
      </c>
      <c r="E160" s="14" t="s">
        <v>1144</v>
      </c>
      <c r="F160" s="14" t="s">
        <v>1145</v>
      </c>
      <c r="G160" s="14" t="s">
        <v>1143</v>
      </c>
      <c r="H160" s="9" t="s">
        <v>2126</v>
      </c>
      <c r="I160" s="3">
        <v>7915.8432122701906</v>
      </c>
      <c r="J160" s="3">
        <v>1186.8373392271683</v>
      </c>
      <c r="K160" s="3">
        <f t="shared" si="6"/>
        <v>9102.6805514973585</v>
      </c>
      <c r="L160" s="3">
        <f>IFERROR(INDEX('CHIRP Payment Calc'!K:K,MATCH(A:A,'CHIRP Payment Calc'!A:A,0)),0)</f>
        <v>0</v>
      </c>
      <c r="M160" s="3">
        <f t="shared" si="7"/>
        <v>9102.6805514973585</v>
      </c>
    </row>
    <row r="161" spans="1:13">
      <c r="A161" s="9" t="s">
        <v>2124</v>
      </c>
      <c r="B161" s="9" t="s">
        <v>300</v>
      </c>
      <c r="C161" s="9" t="s">
        <v>222</v>
      </c>
      <c r="D161" s="4" t="s">
        <v>2125</v>
      </c>
      <c r="E161" s="14" t="s">
        <v>2125</v>
      </c>
      <c r="F161" s="14" t="e">
        <v>#N/A</v>
      </c>
      <c r="G161" s="14" t="s">
        <v>2124</v>
      </c>
      <c r="H161" s="9" t="s">
        <v>2123</v>
      </c>
      <c r="I161" s="3">
        <v>0</v>
      </c>
      <c r="J161" s="3">
        <v>0</v>
      </c>
      <c r="K161" s="3">
        <f t="shared" si="6"/>
        <v>0</v>
      </c>
      <c r="L161" s="3">
        <f>IFERROR(INDEX('CHIRP Payment Calc'!K:K,MATCH(A:A,'CHIRP Payment Calc'!A:A,0)),0)</f>
        <v>0</v>
      </c>
      <c r="M161" s="3">
        <f t="shared" si="7"/>
        <v>0</v>
      </c>
    </row>
    <row r="162" spans="1:13">
      <c r="A162" s="9" t="s">
        <v>2326</v>
      </c>
      <c r="B162" s="9" t="s">
        <v>300</v>
      </c>
      <c r="C162" s="9" t="s">
        <v>222</v>
      </c>
      <c r="D162" s="4" t="s">
        <v>1466</v>
      </c>
      <c r="E162" s="14" t="s">
        <v>2326</v>
      </c>
      <c r="F162" s="14" t="e">
        <v>#N/A</v>
      </c>
      <c r="G162" s="14" t="s">
        <v>2326</v>
      </c>
      <c r="H162" s="9" t="s">
        <v>1467</v>
      </c>
      <c r="I162" s="3">
        <v>0</v>
      </c>
      <c r="J162" s="3">
        <v>0</v>
      </c>
      <c r="K162" s="3">
        <f t="shared" si="6"/>
        <v>0</v>
      </c>
      <c r="L162" s="3">
        <f>IFERROR(INDEX('CHIRP Payment Calc'!K:K,MATCH(A:A,'CHIRP Payment Calc'!A:A,0)),0)</f>
        <v>0</v>
      </c>
      <c r="M162" s="3">
        <f t="shared" si="7"/>
        <v>0</v>
      </c>
    </row>
    <row r="163" spans="1:13">
      <c r="A163" s="9" t="s">
        <v>1614</v>
      </c>
      <c r="B163" s="9" t="s">
        <v>300</v>
      </c>
      <c r="C163" s="9" t="s">
        <v>222</v>
      </c>
      <c r="D163" s="4" t="s">
        <v>1615</v>
      </c>
      <c r="E163" s="14" t="s">
        <v>1615</v>
      </c>
      <c r="F163" s="14" t="s">
        <v>1761</v>
      </c>
      <c r="G163" s="14" t="s">
        <v>1614</v>
      </c>
      <c r="H163" s="9" t="s">
        <v>2122</v>
      </c>
      <c r="I163" s="3">
        <v>10929981.312279847</v>
      </c>
      <c r="J163" s="3">
        <v>8361463.9740544381</v>
      </c>
      <c r="K163" s="3">
        <f t="shared" si="6"/>
        <v>19291445.286334284</v>
      </c>
      <c r="L163" s="3">
        <f>IFERROR(INDEX('CHIRP Payment Calc'!K:K,MATCH(A:A,'CHIRP Payment Calc'!A:A,0)),0)</f>
        <v>23651990.016696882</v>
      </c>
      <c r="M163" s="3">
        <f t="shared" si="7"/>
        <v>-4360544.7303625979</v>
      </c>
    </row>
    <row r="164" spans="1:13">
      <c r="A164" s="9" t="s">
        <v>282</v>
      </c>
      <c r="B164" s="9" t="s">
        <v>300</v>
      </c>
      <c r="C164" s="9" t="s">
        <v>222</v>
      </c>
      <c r="D164" s="4" t="s">
        <v>2121</v>
      </c>
      <c r="E164" s="14" t="s">
        <v>283</v>
      </c>
      <c r="F164" s="14" t="s">
        <v>284</v>
      </c>
      <c r="G164" s="14" t="s">
        <v>282</v>
      </c>
      <c r="H164" s="9" t="s">
        <v>2120</v>
      </c>
      <c r="I164" s="3">
        <v>0</v>
      </c>
      <c r="J164" s="3">
        <v>0</v>
      </c>
      <c r="K164" s="3">
        <f t="shared" si="6"/>
        <v>0</v>
      </c>
      <c r="L164" s="3">
        <f>IFERROR(INDEX('CHIRP Payment Calc'!K:K,MATCH(A:A,'CHIRP Payment Calc'!A:A,0)),0)</f>
        <v>0</v>
      </c>
      <c r="M164" s="3">
        <f t="shared" si="7"/>
        <v>0</v>
      </c>
    </row>
    <row r="165" spans="1:13">
      <c r="A165" s="9" t="s">
        <v>557</v>
      </c>
      <c r="B165" s="9" t="s">
        <v>300</v>
      </c>
      <c r="C165" s="9" t="s">
        <v>222</v>
      </c>
      <c r="D165" s="4" t="s">
        <v>558</v>
      </c>
      <c r="E165" s="14" t="s">
        <v>558</v>
      </c>
      <c r="F165" s="14" t="s">
        <v>559</v>
      </c>
      <c r="G165" s="14" t="s">
        <v>557</v>
      </c>
      <c r="H165" s="9" t="s">
        <v>2119</v>
      </c>
      <c r="I165" s="3">
        <v>16504617.225100929</v>
      </c>
      <c r="J165" s="3">
        <v>6398245.864598278</v>
      </c>
      <c r="K165" s="3">
        <f t="shared" si="6"/>
        <v>22902863.089699209</v>
      </c>
      <c r="L165" s="3">
        <f>IFERROR(INDEX('CHIRP Payment Calc'!K:K,MATCH(A:A,'CHIRP Payment Calc'!A:A,0)),0)</f>
        <v>34132972.510620691</v>
      </c>
      <c r="M165" s="3">
        <f t="shared" si="7"/>
        <v>-11230109.420921482</v>
      </c>
    </row>
    <row r="166" spans="1:13">
      <c r="A166" s="9" t="s">
        <v>2117</v>
      </c>
      <c r="B166" s="9" t="s">
        <v>300</v>
      </c>
      <c r="C166" s="9" t="s">
        <v>222</v>
      </c>
      <c r="D166" s="4" t="s">
        <v>2118</v>
      </c>
      <c r="E166" s="14" t="s">
        <v>2118</v>
      </c>
      <c r="F166" s="14" t="e">
        <v>#N/A</v>
      </c>
      <c r="G166" s="14" t="s">
        <v>2117</v>
      </c>
      <c r="H166" s="9" t="s">
        <v>2116</v>
      </c>
      <c r="I166" s="3">
        <v>0</v>
      </c>
      <c r="J166" s="3">
        <v>0</v>
      </c>
      <c r="K166" s="3">
        <f t="shared" si="6"/>
        <v>0</v>
      </c>
      <c r="L166" s="3">
        <f>IFERROR(INDEX('CHIRP Payment Calc'!K:K,MATCH(A:A,'CHIRP Payment Calc'!A:A,0)),0)</f>
        <v>0</v>
      </c>
      <c r="M166" s="3">
        <f t="shared" si="7"/>
        <v>0</v>
      </c>
    </row>
    <row r="167" spans="1:13">
      <c r="A167" s="9" t="s">
        <v>258</v>
      </c>
      <c r="B167" s="9" t="s">
        <v>300</v>
      </c>
      <c r="C167" s="9" t="s">
        <v>222</v>
      </c>
      <c r="D167" s="4" t="s">
        <v>259</v>
      </c>
      <c r="E167" s="14" t="s">
        <v>259</v>
      </c>
      <c r="F167" s="14" t="s">
        <v>260</v>
      </c>
      <c r="G167" s="14" t="s">
        <v>258</v>
      </c>
      <c r="H167" s="9" t="s">
        <v>2115</v>
      </c>
      <c r="I167" s="3">
        <v>1018140.0908645066</v>
      </c>
      <c r="J167" s="3">
        <v>0</v>
      </c>
      <c r="K167" s="3">
        <f t="shared" si="6"/>
        <v>1018140.0908645066</v>
      </c>
      <c r="L167" s="3">
        <f>IFERROR(INDEX('CHIRP Payment Calc'!K:K,MATCH(A:A,'CHIRP Payment Calc'!A:A,0)),0)</f>
        <v>2198957.9567414536</v>
      </c>
      <c r="M167" s="3">
        <f t="shared" si="7"/>
        <v>-1180817.8658769471</v>
      </c>
    </row>
    <row r="168" spans="1:13">
      <c r="A168" s="9" t="s">
        <v>1041</v>
      </c>
      <c r="B168" s="9" t="s">
        <v>300</v>
      </c>
      <c r="C168" s="9" t="s">
        <v>222</v>
      </c>
      <c r="D168" s="4" t="s">
        <v>1042</v>
      </c>
      <c r="E168" s="14" t="s">
        <v>1042</v>
      </c>
      <c r="F168" s="14" t="s">
        <v>1043</v>
      </c>
      <c r="G168" s="14" t="s">
        <v>1041</v>
      </c>
      <c r="H168" s="9" t="s">
        <v>1043</v>
      </c>
      <c r="I168" s="3">
        <v>3608329.376411892</v>
      </c>
      <c r="J168" s="3">
        <v>21844527.025333319</v>
      </c>
      <c r="K168" s="3">
        <f t="shared" si="6"/>
        <v>25452856.401745211</v>
      </c>
      <c r="L168" s="3">
        <f>IFERROR(INDEX('CHIRP Payment Calc'!K:K,MATCH(A:A,'CHIRP Payment Calc'!A:A,0)),0)</f>
        <v>28147093.199509602</v>
      </c>
      <c r="M168" s="3">
        <f t="shared" si="7"/>
        <v>-2694236.7977643907</v>
      </c>
    </row>
    <row r="169" spans="1:13">
      <c r="A169" s="9" t="e">
        <v>#N/A</v>
      </c>
      <c r="B169" s="9" t="s">
        <v>300</v>
      </c>
      <c r="C169" s="9" t="s">
        <v>222</v>
      </c>
      <c r="D169" s="4" t="s">
        <v>2114</v>
      </c>
      <c r="E169" s="14" t="e">
        <v>#N/A</v>
      </c>
      <c r="F169" s="14" t="e">
        <v>#N/A</v>
      </c>
      <c r="G169" s="14" t="e">
        <v>#N/A</v>
      </c>
      <c r="H169" s="9" t="s">
        <v>2113</v>
      </c>
      <c r="I169" s="3">
        <v>0</v>
      </c>
      <c r="J169" s="3">
        <v>0</v>
      </c>
      <c r="K169" s="3">
        <f t="shared" si="6"/>
        <v>0</v>
      </c>
      <c r="L169" s="3">
        <f>IFERROR(INDEX('CHIRP Payment Calc'!K:K,MATCH(A:A,'CHIRP Payment Calc'!A:A,0)),0)</f>
        <v>0</v>
      </c>
      <c r="M169" s="3">
        <f t="shared" si="7"/>
        <v>0</v>
      </c>
    </row>
    <row r="170" spans="1:13">
      <c r="A170" s="9" t="s">
        <v>416</v>
      </c>
      <c r="B170" s="9" t="s">
        <v>300</v>
      </c>
      <c r="C170" s="9" t="s">
        <v>222</v>
      </c>
      <c r="D170" s="4" t="s">
        <v>417</v>
      </c>
      <c r="E170" s="14" t="s">
        <v>417</v>
      </c>
      <c r="F170" s="14" t="s">
        <v>418</v>
      </c>
      <c r="G170" s="14" t="s">
        <v>416</v>
      </c>
      <c r="H170" s="9" t="s">
        <v>2112</v>
      </c>
      <c r="I170" s="3">
        <v>80429.763666891493</v>
      </c>
      <c r="J170" s="3">
        <v>98002.058304221297</v>
      </c>
      <c r="K170" s="3">
        <f t="shared" si="6"/>
        <v>178431.8219711128</v>
      </c>
      <c r="L170" s="3">
        <f>IFERROR(INDEX('CHIRP Payment Calc'!K:K,MATCH(A:A,'CHIRP Payment Calc'!A:A,0)),0)</f>
        <v>285480.60870025685</v>
      </c>
      <c r="M170" s="3">
        <f t="shared" si="7"/>
        <v>-107048.78672914405</v>
      </c>
    </row>
    <row r="171" spans="1:13">
      <c r="A171" s="9" t="s">
        <v>1456</v>
      </c>
      <c r="B171" s="9" t="s">
        <v>300</v>
      </c>
      <c r="C171" s="9" t="s">
        <v>222</v>
      </c>
      <c r="D171" s="4" t="s">
        <v>1457</v>
      </c>
      <c r="E171" s="14" t="s">
        <v>1457</v>
      </c>
      <c r="F171" s="14" t="s">
        <v>1458</v>
      </c>
      <c r="G171" s="14" t="s">
        <v>1456</v>
      </c>
      <c r="H171" s="9" t="s">
        <v>2111</v>
      </c>
      <c r="I171" s="3">
        <v>0</v>
      </c>
      <c r="J171" s="3">
        <v>0</v>
      </c>
      <c r="K171" s="3">
        <f t="shared" si="6"/>
        <v>0</v>
      </c>
      <c r="L171" s="3">
        <f>IFERROR(INDEX('CHIRP Payment Calc'!K:K,MATCH(A:A,'CHIRP Payment Calc'!A:A,0)),0)</f>
        <v>0</v>
      </c>
      <c r="M171" s="3">
        <f t="shared" si="7"/>
        <v>0</v>
      </c>
    </row>
    <row r="172" spans="1:13">
      <c r="A172" s="9" t="s">
        <v>584</v>
      </c>
      <c r="B172" s="9" t="s">
        <v>300</v>
      </c>
      <c r="C172" s="9" t="s">
        <v>222</v>
      </c>
      <c r="D172" s="4" t="s">
        <v>2110</v>
      </c>
      <c r="E172" s="14" t="s">
        <v>585</v>
      </c>
      <c r="F172" s="14" t="s">
        <v>586</v>
      </c>
      <c r="G172" s="14" t="s">
        <v>584</v>
      </c>
      <c r="H172" s="9" t="s">
        <v>2109</v>
      </c>
      <c r="I172" s="3">
        <v>0</v>
      </c>
      <c r="J172" s="3">
        <v>0</v>
      </c>
      <c r="K172" s="3">
        <f t="shared" si="6"/>
        <v>0</v>
      </c>
      <c r="L172" s="3">
        <f>IFERROR(INDEX('CHIRP Payment Calc'!K:K,MATCH(A:A,'CHIRP Payment Calc'!A:A,0)),0)</f>
        <v>0</v>
      </c>
      <c r="M172" s="3">
        <f t="shared" si="7"/>
        <v>0</v>
      </c>
    </row>
    <row r="173" spans="1:13">
      <c r="A173" s="9" t="s">
        <v>569</v>
      </c>
      <c r="B173" s="9" t="s">
        <v>300</v>
      </c>
      <c r="C173" s="9" t="s">
        <v>222</v>
      </c>
      <c r="D173" s="4" t="s">
        <v>570</v>
      </c>
      <c r="E173" s="14" t="s">
        <v>570</v>
      </c>
      <c r="F173" s="14" t="s">
        <v>571</v>
      </c>
      <c r="G173" s="14" t="s">
        <v>569</v>
      </c>
      <c r="H173" s="9" t="s">
        <v>2108</v>
      </c>
      <c r="I173" s="3">
        <v>8456218.6585107446</v>
      </c>
      <c r="J173" s="3">
        <v>5278804.0326463841</v>
      </c>
      <c r="K173" s="3">
        <f t="shared" si="6"/>
        <v>13735022.691157129</v>
      </c>
      <c r="L173" s="3">
        <f>IFERROR(INDEX('CHIRP Payment Calc'!K:K,MATCH(A:A,'CHIRP Payment Calc'!A:A,0)),0)</f>
        <v>18155448.29247053</v>
      </c>
      <c r="M173" s="3">
        <f t="shared" si="7"/>
        <v>-4420425.601313401</v>
      </c>
    </row>
    <row r="174" spans="1:13">
      <c r="A174" s="9" t="s">
        <v>1434</v>
      </c>
      <c r="B174" s="9" t="s">
        <v>300</v>
      </c>
      <c r="C174" s="9" t="s">
        <v>222</v>
      </c>
      <c r="D174" s="4" t="s">
        <v>1435</v>
      </c>
      <c r="E174" s="14" t="s">
        <v>1435</v>
      </c>
      <c r="F174" s="14" t="s">
        <v>1436</v>
      </c>
      <c r="G174" s="14" t="s">
        <v>1434</v>
      </c>
      <c r="H174" s="9" t="s">
        <v>2107</v>
      </c>
      <c r="I174" s="3">
        <v>0</v>
      </c>
      <c r="J174" s="3">
        <v>0</v>
      </c>
      <c r="K174" s="3">
        <f t="shared" si="6"/>
        <v>0</v>
      </c>
      <c r="L174" s="3">
        <f>IFERROR(INDEX('CHIRP Payment Calc'!K:K,MATCH(A:A,'CHIRP Payment Calc'!A:A,0)),0)</f>
        <v>0</v>
      </c>
      <c r="M174" s="3">
        <f t="shared" si="7"/>
        <v>0</v>
      </c>
    </row>
    <row r="175" spans="1:13">
      <c r="A175" s="9" t="s">
        <v>450</v>
      </c>
      <c r="B175" s="9" t="s">
        <v>300</v>
      </c>
      <c r="C175" s="9" t="s">
        <v>222</v>
      </c>
      <c r="D175" s="4" t="s">
        <v>451</v>
      </c>
      <c r="E175" s="14" t="s">
        <v>451</v>
      </c>
      <c r="F175" s="14" t="s">
        <v>452</v>
      </c>
      <c r="G175" s="14" t="s">
        <v>450</v>
      </c>
      <c r="H175" s="9" t="s">
        <v>2106</v>
      </c>
      <c r="I175" s="3">
        <v>0</v>
      </c>
      <c r="J175" s="3">
        <v>0</v>
      </c>
      <c r="K175" s="3">
        <f t="shared" si="6"/>
        <v>0</v>
      </c>
      <c r="L175" s="3">
        <f>IFERROR(INDEX('CHIRP Payment Calc'!K:K,MATCH(A:A,'CHIRP Payment Calc'!A:A,0)),0)</f>
        <v>0</v>
      </c>
      <c r="M175" s="3">
        <f t="shared" si="7"/>
        <v>0</v>
      </c>
    </row>
    <row r="176" spans="1:13">
      <c r="A176" s="9" t="s">
        <v>2326</v>
      </c>
      <c r="B176" s="9" t="s">
        <v>300</v>
      </c>
      <c r="C176" s="9" t="s">
        <v>222</v>
      </c>
      <c r="D176" s="4" t="s">
        <v>1480</v>
      </c>
      <c r="E176" s="14" t="s">
        <v>2326</v>
      </c>
      <c r="F176" s="14" t="e">
        <v>#N/A</v>
      </c>
      <c r="G176" s="14" t="s">
        <v>2326</v>
      </c>
      <c r="H176" s="9" t="s">
        <v>2105</v>
      </c>
      <c r="I176" s="3">
        <v>0</v>
      </c>
      <c r="J176" s="3">
        <v>0</v>
      </c>
      <c r="K176" s="3">
        <f t="shared" si="6"/>
        <v>0</v>
      </c>
      <c r="L176" s="3">
        <f>IFERROR(INDEX('CHIRP Payment Calc'!K:K,MATCH(A:A,'CHIRP Payment Calc'!A:A,0)),0)</f>
        <v>0</v>
      </c>
      <c r="M176" s="3">
        <f t="shared" si="7"/>
        <v>0</v>
      </c>
    </row>
    <row r="177" spans="1:13">
      <c r="A177" s="9" t="s">
        <v>246</v>
      </c>
      <c r="B177" s="9" t="s">
        <v>300</v>
      </c>
      <c r="C177" s="9" t="s">
        <v>222</v>
      </c>
      <c r="D177" s="4" t="s">
        <v>247</v>
      </c>
      <c r="E177" s="14" t="s">
        <v>247</v>
      </c>
      <c r="F177" s="14" t="s">
        <v>248</v>
      </c>
      <c r="G177" s="14" t="s">
        <v>246</v>
      </c>
      <c r="H177" s="9" t="s">
        <v>2104</v>
      </c>
      <c r="I177" s="3">
        <v>6284313.8291833531</v>
      </c>
      <c r="J177" s="3">
        <v>1662749.8439773736</v>
      </c>
      <c r="K177" s="3">
        <f t="shared" si="6"/>
        <v>7947063.6731607262</v>
      </c>
      <c r="L177" s="3">
        <f>IFERROR(INDEX('CHIRP Payment Calc'!K:K,MATCH(A:A,'CHIRP Payment Calc'!A:A,0)),0)</f>
        <v>11443903.008662309</v>
      </c>
      <c r="M177" s="3">
        <f t="shared" si="7"/>
        <v>-3496839.3355015833</v>
      </c>
    </row>
    <row r="178" spans="1:13">
      <c r="A178" s="9" t="s">
        <v>243</v>
      </c>
      <c r="B178" s="9" t="s">
        <v>300</v>
      </c>
      <c r="C178" s="9" t="s">
        <v>222</v>
      </c>
      <c r="D178" s="4" t="s">
        <v>244</v>
      </c>
      <c r="E178" s="14" t="s">
        <v>244</v>
      </c>
      <c r="F178" s="14" t="s">
        <v>245</v>
      </c>
      <c r="G178" s="14" t="s">
        <v>243</v>
      </c>
      <c r="H178" s="9" t="s">
        <v>2103</v>
      </c>
      <c r="I178" s="3">
        <v>7380227.9542904384</v>
      </c>
      <c r="J178" s="3">
        <v>5091909.9670989579</v>
      </c>
      <c r="K178" s="3">
        <f t="shared" si="6"/>
        <v>12472137.921389397</v>
      </c>
      <c r="L178" s="3">
        <f>IFERROR(INDEX('CHIRP Payment Calc'!K:K,MATCH(A:A,'CHIRP Payment Calc'!A:A,0)),0)</f>
        <v>17240452.601140119</v>
      </c>
      <c r="M178" s="3">
        <f t="shared" si="7"/>
        <v>-4768314.6797507219</v>
      </c>
    </row>
    <row r="179" spans="1:13">
      <c r="A179" s="9" t="s">
        <v>180</v>
      </c>
      <c r="B179" s="9" t="s">
        <v>300</v>
      </c>
      <c r="C179" s="9" t="s">
        <v>222</v>
      </c>
      <c r="D179" s="4" t="s">
        <v>181</v>
      </c>
      <c r="E179" s="14" t="s">
        <v>181</v>
      </c>
      <c r="F179" s="14" t="s">
        <v>182</v>
      </c>
      <c r="G179" s="14" t="s">
        <v>180</v>
      </c>
      <c r="H179" s="9" t="s">
        <v>2102</v>
      </c>
      <c r="I179" s="3">
        <v>0</v>
      </c>
      <c r="J179" s="3">
        <v>0</v>
      </c>
      <c r="K179" s="3">
        <f t="shared" si="6"/>
        <v>0</v>
      </c>
      <c r="L179" s="3">
        <f>IFERROR(INDEX('CHIRP Payment Calc'!K:K,MATCH(A:A,'CHIRP Payment Calc'!A:A,0)),0)</f>
        <v>0</v>
      </c>
      <c r="M179" s="3">
        <f t="shared" si="7"/>
        <v>0</v>
      </c>
    </row>
    <row r="180" spans="1:13">
      <c r="A180" s="9" t="s">
        <v>249</v>
      </c>
      <c r="B180" s="9" t="s">
        <v>300</v>
      </c>
      <c r="C180" s="9" t="s">
        <v>222</v>
      </c>
      <c r="D180" s="4" t="s">
        <v>250</v>
      </c>
      <c r="E180" s="14" t="s">
        <v>250</v>
      </c>
      <c r="F180" s="14" t="s">
        <v>251</v>
      </c>
      <c r="G180" s="14" t="s">
        <v>249</v>
      </c>
      <c r="H180" s="9" t="s">
        <v>1661</v>
      </c>
      <c r="I180" s="3">
        <v>55847.088485461471</v>
      </c>
      <c r="J180" s="3">
        <v>32489.187477707845</v>
      </c>
      <c r="K180" s="3">
        <f t="shared" si="6"/>
        <v>88336.275963169319</v>
      </c>
      <c r="L180" s="3">
        <f>IFERROR(INDEX('CHIRP Payment Calc'!K:K,MATCH(A:A,'CHIRP Payment Calc'!A:A,0)),0)</f>
        <v>0</v>
      </c>
      <c r="M180" s="3">
        <f t="shared" si="7"/>
        <v>88336.275963169319</v>
      </c>
    </row>
    <row r="181" spans="1:13">
      <c r="A181" s="9" t="s">
        <v>1453</v>
      </c>
      <c r="B181" s="9" t="s">
        <v>300</v>
      </c>
      <c r="C181" s="9" t="s">
        <v>222</v>
      </c>
      <c r="D181" s="4" t="s">
        <v>1454</v>
      </c>
      <c r="E181" s="14" t="s">
        <v>1454</v>
      </c>
      <c r="F181" s="14" t="s">
        <v>1455</v>
      </c>
      <c r="G181" s="14" t="s">
        <v>1453</v>
      </c>
      <c r="H181" s="9" t="s">
        <v>2101</v>
      </c>
      <c r="I181" s="3">
        <v>0</v>
      </c>
      <c r="J181" s="3">
        <v>0</v>
      </c>
      <c r="K181" s="3">
        <f t="shared" si="6"/>
        <v>0</v>
      </c>
      <c r="L181" s="3">
        <f>IFERROR(INDEX('CHIRP Payment Calc'!K:K,MATCH(A:A,'CHIRP Payment Calc'!A:A,0)),0)</f>
        <v>0</v>
      </c>
      <c r="M181" s="3">
        <f t="shared" si="7"/>
        <v>0</v>
      </c>
    </row>
    <row r="182" spans="1:13">
      <c r="A182" s="9" t="s">
        <v>19</v>
      </c>
      <c r="B182" s="9" t="s">
        <v>300</v>
      </c>
      <c r="C182" s="9" t="s">
        <v>222</v>
      </c>
      <c r="D182" s="4" t="s">
        <v>20</v>
      </c>
      <c r="E182" s="14" t="s">
        <v>20</v>
      </c>
      <c r="F182" s="14" t="s">
        <v>21</v>
      </c>
      <c r="G182" s="14" t="s">
        <v>19</v>
      </c>
      <c r="H182" s="9" t="s">
        <v>2100</v>
      </c>
      <c r="I182" s="3">
        <v>0</v>
      </c>
      <c r="J182" s="3">
        <v>0</v>
      </c>
      <c r="K182" s="3">
        <f t="shared" si="6"/>
        <v>0</v>
      </c>
      <c r="L182" s="3">
        <f>IFERROR(INDEX('CHIRP Payment Calc'!K:K,MATCH(A:A,'CHIRP Payment Calc'!A:A,0)),0)</f>
        <v>0</v>
      </c>
      <c r="M182" s="3">
        <f t="shared" si="7"/>
        <v>0</v>
      </c>
    </row>
    <row r="183" spans="1:13">
      <c r="A183" s="9" t="s">
        <v>419</v>
      </c>
      <c r="B183" s="9" t="s">
        <v>300</v>
      </c>
      <c r="C183" s="9" t="s">
        <v>222</v>
      </c>
      <c r="D183" s="4" t="s">
        <v>420</v>
      </c>
      <c r="E183" s="14" t="s">
        <v>420</v>
      </c>
      <c r="F183" s="14" t="s">
        <v>421</v>
      </c>
      <c r="G183" s="14" t="s">
        <v>419</v>
      </c>
      <c r="H183" s="9" t="s">
        <v>2099</v>
      </c>
      <c r="I183" s="3">
        <v>79941.515916383796</v>
      </c>
      <c r="J183" s="3">
        <v>735403.05346669175</v>
      </c>
      <c r="K183" s="3">
        <f t="shared" si="6"/>
        <v>815344.56938307558</v>
      </c>
      <c r="L183" s="3">
        <f>IFERROR(INDEX('CHIRP Payment Calc'!K:K,MATCH(A:A,'CHIRP Payment Calc'!A:A,0)),0)</f>
        <v>967513.88477062189</v>
      </c>
      <c r="M183" s="3">
        <f t="shared" si="7"/>
        <v>-152169.31538754632</v>
      </c>
    </row>
    <row r="184" spans="1:13">
      <c r="A184" s="9" t="s">
        <v>1521</v>
      </c>
      <c r="B184" s="9" t="s">
        <v>300</v>
      </c>
      <c r="C184" s="9" t="s">
        <v>222</v>
      </c>
      <c r="D184" s="4" t="s">
        <v>1522</v>
      </c>
      <c r="E184" s="14" t="s">
        <v>1522</v>
      </c>
      <c r="F184" s="14" t="s">
        <v>1523</v>
      </c>
      <c r="G184" s="14" t="s">
        <v>1521</v>
      </c>
      <c r="H184" s="9" t="s">
        <v>2098</v>
      </c>
      <c r="I184" s="3">
        <v>0</v>
      </c>
      <c r="J184" s="3">
        <v>0</v>
      </c>
      <c r="K184" s="3">
        <f t="shared" si="6"/>
        <v>0</v>
      </c>
      <c r="L184" s="3">
        <f>IFERROR(INDEX('CHIRP Payment Calc'!K:K,MATCH(A:A,'CHIRP Payment Calc'!A:A,0)),0)</f>
        <v>0</v>
      </c>
      <c r="M184" s="3">
        <f t="shared" si="7"/>
        <v>0</v>
      </c>
    </row>
    <row r="185" spans="1:13">
      <c r="A185" s="9" t="s">
        <v>1196</v>
      </c>
      <c r="B185" s="9" t="s">
        <v>300</v>
      </c>
      <c r="C185" s="9" t="s">
        <v>222</v>
      </c>
      <c r="D185" s="4" t="s">
        <v>1197</v>
      </c>
      <c r="E185" s="14" t="s">
        <v>1197</v>
      </c>
      <c r="F185" s="14" t="s">
        <v>1198</v>
      </c>
      <c r="G185" s="14" t="s">
        <v>1196</v>
      </c>
      <c r="H185" s="9" t="s">
        <v>2097</v>
      </c>
      <c r="I185" s="3">
        <v>0</v>
      </c>
      <c r="J185" s="3">
        <v>0</v>
      </c>
      <c r="K185" s="3">
        <f t="shared" si="6"/>
        <v>0</v>
      </c>
      <c r="L185" s="3">
        <f>IFERROR(INDEX('CHIRP Payment Calc'!K:K,MATCH(A:A,'CHIRP Payment Calc'!A:A,0)),0)</f>
        <v>0</v>
      </c>
      <c r="M185" s="3">
        <f t="shared" si="7"/>
        <v>0</v>
      </c>
    </row>
    <row r="186" spans="1:13">
      <c r="A186" s="9" t="s">
        <v>1632</v>
      </c>
      <c r="B186" s="9" t="s">
        <v>300</v>
      </c>
      <c r="C186" s="9" t="s">
        <v>222</v>
      </c>
      <c r="D186" s="4" t="s">
        <v>1633</v>
      </c>
      <c r="E186" s="14" t="s">
        <v>1633</v>
      </c>
      <c r="F186" s="14" t="s">
        <v>1764</v>
      </c>
      <c r="G186" s="14" t="s">
        <v>1632</v>
      </c>
      <c r="H186" s="9" t="s">
        <v>1631</v>
      </c>
      <c r="I186" s="3">
        <v>0</v>
      </c>
      <c r="J186" s="3">
        <v>12194.372119659969</v>
      </c>
      <c r="K186" s="3">
        <f t="shared" si="6"/>
        <v>12194.372119659969</v>
      </c>
      <c r="L186" s="3">
        <f>IFERROR(INDEX('CHIRP Payment Calc'!K:K,MATCH(A:A,'CHIRP Payment Calc'!A:A,0)),0)</f>
        <v>0</v>
      </c>
      <c r="M186" s="3">
        <f t="shared" si="7"/>
        <v>12194.372119659969</v>
      </c>
    </row>
    <row r="187" spans="1:13">
      <c r="A187" s="9" t="s">
        <v>1428</v>
      </c>
      <c r="B187" s="9" t="s">
        <v>300</v>
      </c>
      <c r="C187" s="9" t="s">
        <v>222</v>
      </c>
      <c r="D187" s="4" t="s">
        <v>1429</v>
      </c>
      <c r="E187" s="14" t="s">
        <v>1429</v>
      </c>
      <c r="F187" s="14" t="s">
        <v>1430</v>
      </c>
      <c r="G187" s="14" t="s">
        <v>1428</v>
      </c>
      <c r="H187" s="9" t="s">
        <v>1430</v>
      </c>
      <c r="I187" s="3">
        <v>0</v>
      </c>
      <c r="J187" s="3">
        <v>0</v>
      </c>
      <c r="K187" s="3">
        <f t="shared" si="6"/>
        <v>0</v>
      </c>
      <c r="L187" s="3">
        <f>IFERROR(INDEX('CHIRP Payment Calc'!K:K,MATCH(A:A,'CHIRP Payment Calc'!A:A,0)),0)</f>
        <v>0</v>
      </c>
      <c r="M187" s="3">
        <f t="shared" si="7"/>
        <v>0</v>
      </c>
    </row>
    <row r="188" spans="1:13">
      <c r="A188" s="9" t="s">
        <v>273</v>
      </c>
      <c r="B188" s="9" t="s">
        <v>300</v>
      </c>
      <c r="C188" s="9" t="s">
        <v>222</v>
      </c>
      <c r="D188" s="4" t="s">
        <v>274</v>
      </c>
      <c r="E188" s="14" t="s">
        <v>274</v>
      </c>
      <c r="F188" s="14" t="s">
        <v>275</v>
      </c>
      <c r="G188" s="14" t="s">
        <v>273</v>
      </c>
      <c r="H188" s="9" t="s">
        <v>2096</v>
      </c>
      <c r="I188" s="3">
        <v>3691726.4067103602</v>
      </c>
      <c r="J188" s="3">
        <v>0</v>
      </c>
      <c r="K188" s="3">
        <f t="shared" si="6"/>
        <v>3691726.4067103602</v>
      </c>
      <c r="L188" s="3">
        <f>IFERROR(INDEX('CHIRP Payment Calc'!K:K,MATCH(A:A,'CHIRP Payment Calc'!A:A,0)),0)</f>
        <v>3075202.5349794049</v>
      </c>
      <c r="M188" s="3">
        <f t="shared" si="7"/>
        <v>616523.87173095532</v>
      </c>
    </row>
    <row r="189" spans="1:13">
      <c r="A189" s="9" t="s">
        <v>1450</v>
      </c>
      <c r="B189" s="9" t="s">
        <v>300</v>
      </c>
      <c r="C189" s="9" t="s">
        <v>222</v>
      </c>
      <c r="D189" s="4" t="s">
        <v>1451</v>
      </c>
      <c r="E189" s="14" t="s">
        <v>1451</v>
      </c>
      <c r="F189" s="14" t="s">
        <v>1452</v>
      </c>
      <c r="G189" s="14" t="s">
        <v>1450</v>
      </c>
      <c r="H189" s="9" t="s">
        <v>2095</v>
      </c>
      <c r="I189" s="3">
        <v>0</v>
      </c>
      <c r="J189" s="3">
        <v>0</v>
      </c>
      <c r="K189" s="3">
        <f t="shared" si="6"/>
        <v>0</v>
      </c>
      <c r="L189" s="3">
        <f>IFERROR(INDEX('CHIRP Payment Calc'!K:K,MATCH(A:A,'CHIRP Payment Calc'!A:A,0)),0)</f>
        <v>0</v>
      </c>
      <c r="M189" s="3">
        <f t="shared" si="7"/>
        <v>0</v>
      </c>
    </row>
    <row r="190" spans="1:13">
      <c r="A190" s="9" t="s">
        <v>1580</v>
      </c>
      <c r="B190" s="9" t="s">
        <v>300</v>
      </c>
      <c r="C190" s="9" t="s">
        <v>222</v>
      </c>
      <c r="D190" s="4" t="s">
        <v>1581</v>
      </c>
      <c r="E190" s="14" t="s">
        <v>1581</v>
      </c>
      <c r="F190" s="14" t="s">
        <v>1739</v>
      </c>
      <c r="G190" s="14" t="s">
        <v>1580</v>
      </c>
      <c r="H190" s="9" t="s">
        <v>2094</v>
      </c>
      <c r="I190" s="3">
        <v>0</v>
      </c>
      <c r="J190" s="3">
        <v>0</v>
      </c>
      <c r="K190" s="3">
        <f t="shared" si="6"/>
        <v>0</v>
      </c>
      <c r="L190" s="3">
        <f>IFERROR(INDEX('CHIRP Payment Calc'!K:K,MATCH(A:A,'CHIRP Payment Calc'!A:A,0)),0)</f>
        <v>0</v>
      </c>
      <c r="M190" s="3">
        <f t="shared" si="7"/>
        <v>0</v>
      </c>
    </row>
    <row r="191" spans="1:13">
      <c r="A191" s="9" t="s">
        <v>1137</v>
      </c>
      <c r="B191" s="9" t="s">
        <v>300</v>
      </c>
      <c r="C191" s="9" t="s">
        <v>222</v>
      </c>
      <c r="D191" s="4" t="s">
        <v>1138</v>
      </c>
      <c r="E191" s="14" t="s">
        <v>1138</v>
      </c>
      <c r="F191" s="14" t="s">
        <v>1139</v>
      </c>
      <c r="G191" s="14" t="s">
        <v>1137</v>
      </c>
      <c r="H191" s="9" t="s">
        <v>1592</v>
      </c>
      <c r="I191" s="3">
        <v>4544092.715698286</v>
      </c>
      <c r="J191" s="3">
        <v>5080603.7263867399</v>
      </c>
      <c r="K191" s="3">
        <f t="shared" si="6"/>
        <v>9624696.4420850258</v>
      </c>
      <c r="L191" s="3">
        <f>IFERROR(INDEX('CHIRP Payment Calc'!K:K,MATCH(A:A,'CHIRP Payment Calc'!A:A,0)),0)</f>
        <v>18983670.234527037</v>
      </c>
      <c r="M191" s="3">
        <f t="shared" si="7"/>
        <v>-9358973.7924420107</v>
      </c>
    </row>
    <row r="192" spans="1:13">
      <c r="A192" s="9" t="s">
        <v>566</v>
      </c>
      <c r="B192" s="9" t="s">
        <v>300</v>
      </c>
      <c r="C192" s="9" t="s">
        <v>222</v>
      </c>
      <c r="D192" s="4" t="s">
        <v>567</v>
      </c>
      <c r="E192" s="14" t="s">
        <v>567</v>
      </c>
      <c r="F192" s="14" t="s">
        <v>568</v>
      </c>
      <c r="G192" s="14" t="s">
        <v>566</v>
      </c>
      <c r="H192" s="9" t="s">
        <v>2093</v>
      </c>
      <c r="I192" s="3">
        <v>623150.82964537328</v>
      </c>
      <c r="J192" s="3">
        <v>1535670.7592339341</v>
      </c>
      <c r="K192" s="3">
        <f t="shared" si="6"/>
        <v>2158821.5888793073</v>
      </c>
      <c r="L192" s="3">
        <f>IFERROR(INDEX('CHIRP Payment Calc'!K:K,MATCH(A:A,'CHIRP Payment Calc'!A:A,0)),0)</f>
        <v>2579982.5098944809</v>
      </c>
      <c r="M192" s="3">
        <f t="shared" si="7"/>
        <v>-421160.92101517366</v>
      </c>
    </row>
    <row r="193" spans="1:13">
      <c r="A193" s="9" t="s">
        <v>447</v>
      </c>
      <c r="B193" s="9" t="s">
        <v>300</v>
      </c>
      <c r="C193" s="9" t="s">
        <v>222</v>
      </c>
      <c r="D193" s="4" t="s">
        <v>448</v>
      </c>
      <c r="E193" s="14" t="s">
        <v>448</v>
      </c>
      <c r="F193" s="14" t="s">
        <v>449</v>
      </c>
      <c r="G193" s="14" t="s">
        <v>447</v>
      </c>
      <c r="H193" s="9" t="s">
        <v>2092</v>
      </c>
      <c r="I193" s="3">
        <v>0</v>
      </c>
      <c r="J193" s="3">
        <v>0</v>
      </c>
      <c r="K193" s="3">
        <f t="shared" si="6"/>
        <v>0</v>
      </c>
      <c r="L193" s="3">
        <f>IFERROR(INDEX('CHIRP Payment Calc'!K:K,MATCH(A:A,'CHIRP Payment Calc'!A:A,0)),0)</f>
        <v>0</v>
      </c>
      <c r="M193" s="3">
        <f t="shared" si="7"/>
        <v>0</v>
      </c>
    </row>
    <row r="194" spans="1:13">
      <c r="A194" s="9" t="e">
        <v>#N/A</v>
      </c>
      <c r="B194" s="9" t="s">
        <v>300</v>
      </c>
      <c r="C194" s="9" t="s">
        <v>222</v>
      </c>
      <c r="D194" s="4" t="s">
        <v>2091</v>
      </c>
      <c r="E194" s="14" t="e">
        <v>#N/A</v>
      </c>
      <c r="F194" s="14" t="e">
        <v>#N/A</v>
      </c>
      <c r="G194" s="14" t="e">
        <v>#N/A</v>
      </c>
      <c r="H194" s="9" t="s">
        <v>2090</v>
      </c>
      <c r="I194" s="3">
        <v>0</v>
      </c>
      <c r="J194" s="3">
        <v>0</v>
      </c>
      <c r="K194" s="3">
        <f t="shared" si="6"/>
        <v>0</v>
      </c>
      <c r="L194" s="3">
        <f>IFERROR(INDEX('CHIRP Payment Calc'!K:K,MATCH(A:A,'CHIRP Payment Calc'!A:A,0)),0)</f>
        <v>0</v>
      </c>
      <c r="M194" s="3">
        <f t="shared" si="7"/>
        <v>0</v>
      </c>
    </row>
    <row r="195" spans="1:13">
      <c r="A195" s="9" t="s">
        <v>410</v>
      </c>
      <c r="B195" s="9" t="s">
        <v>300</v>
      </c>
      <c r="C195" s="9" t="s">
        <v>222</v>
      </c>
      <c r="D195" s="4" t="s">
        <v>411</v>
      </c>
      <c r="E195" s="14" t="s">
        <v>411</v>
      </c>
      <c r="F195" s="14" t="s">
        <v>412</v>
      </c>
      <c r="G195" s="14" t="s">
        <v>410</v>
      </c>
      <c r="H195" s="9" t="s">
        <v>2089</v>
      </c>
      <c r="I195" s="3">
        <v>1823544.5939564065</v>
      </c>
      <c r="J195" s="3">
        <v>1686029.722477576</v>
      </c>
      <c r="K195" s="3">
        <f t="shared" si="6"/>
        <v>3509574.3164339825</v>
      </c>
      <c r="L195" s="3">
        <f>IFERROR(INDEX('CHIRP Payment Calc'!K:K,MATCH(A:A,'CHIRP Payment Calc'!A:A,0)),0)</f>
        <v>4540610.6442219401</v>
      </c>
      <c r="M195" s="3">
        <f t="shared" si="7"/>
        <v>-1031036.3277879576</v>
      </c>
    </row>
    <row r="196" spans="1:13">
      <c r="A196" s="9" t="s">
        <v>4</v>
      </c>
      <c r="B196" s="9" t="s">
        <v>300</v>
      </c>
      <c r="C196" s="9" t="s">
        <v>222</v>
      </c>
      <c r="D196" s="4" t="s">
        <v>5</v>
      </c>
      <c r="E196" s="14" t="s">
        <v>5</v>
      </c>
      <c r="F196" s="14" t="s">
        <v>6</v>
      </c>
      <c r="G196" s="14" t="s">
        <v>4</v>
      </c>
      <c r="H196" s="9" t="s">
        <v>2088</v>
      </c>
      <c r="I196" s="3">
        <v>301454.26540954347</v>
      </c>
      <c r="J196" s="3">
        <v>313825.29377139919</v>
      </c>
      <c r="K196" s="3">
        <f t="shared" si="6"/>
        <v>615279.5591809426</v>
      </c>
      <c r="L196" s="3">
        <f>IFERROR(INDEX('CHIRP Payment Calc'!K:K,MATCH(A:A,'CHIRP Payment Calc'!A:A,0)),0)</f>
        <v>0</v>
      </c>
      <c r="M196" s="3">
        <f t="shared" si="7"/>
        <v>615279.5591809426</v>
      </c>
    </row>
    <row r="197" spans="1:13">
      <c r="A197" s="9" t="s">
        <v>1610</v>
      </c>
      <c r="B197" s="9" t="s">
        <v>300</v>
      </c>
      <c r="C197" s="9" t="s">
        <v>222</v>
      </c>
      <c r="D197" s="4" t="s">
        <v>1611</v>
      </c>
      <c r="E197" s="14" t="s">
        <v>1611</v>
      </c>
      <c r="F197" s="14" t="s">
        <v>1763</v>
      </c>
      <c r="G197" s="14" t="s">
        <v>1610</v>
      </c>
      <c r="H197" s="9" t="s">
        <v>1609</v>
      </c>
      <c r="I197" s="3">
        <v>2177808.5868345019</v>
      </c>
      <c r="J197" s="3">
        <v>992600.43264179688</v>
      </c>
      <c r="K197" s="3">
        <f t="shared" si="6"/>
        <v>3170409.0194762987</v>
      </c>
      <c r="L197" s="3">
        <f>IFERROR(INDEX('CHIRP Payment Calc'!K:K,MATCH(A:A,'CHIRP Payment Calc'!A:A,0)),0)</f>
        <v>5007331.8827728219</v>
      </c>
      <c r="M197" s="3">
        <f t="shared" si="7"/>
        <v>-1836922.8632965232</v>
      </c>
    </row>
    <row r="198" spans="1:13">
      <c r="A198" s="9" t="s">
        <v>1662</v>
      </c>
      <c r="B198" s="9" t="s">
        <v>300</v>
      </c>
      <c r="C198" s="9" t="s">
        <v>222</v>
      </c>
      <c r="D198" s="4" t="s">
        <v>1663</v>
      </c>
      <c r="E198" s="14" t="s">
        <v>1663</v>
      </c>
      <c r="F198" s="14" t="s">
        <v>1762</v>
      </c>
      <c r="G198" s="14" t="s">
        <v>1662</v>
      </c>
      <c r="H198" s="9" t="s">
        <v>2087</v>
      </c>
      <c r="I198" s="3">
        <v>275327.49975058984</v>
      </c>
      <c r="J198" s="3">
        <v>913957.96672211902</v>
      </c>
      <c r="K198" s="3">
        <f t="shared" si="6"/>
        <v>1189285.4664727089</v>
      </c>
      <c r="L198" s="3">
        <f>IFERROR(INDEX('CHIRP Payment Calc'!K:K,MATCH(A:A,'CHIRP Payment Calc'!A:A,0)),0)</f>
        <v>1479291.0117671513</v>
      </c>
      <c r="M198" s="3">
        <f t="shared" si="7"/>
        <v>-290005.54529444245</v>
      </c>
    </row>
    <row r="199" spans="1:13">
      <c r="A199" s="9" t="s">
        <v>453</v>
      </c>
      <c r="B199" s="9" t="s">
        <v>300</v>
      </c>
      <c r="C199" s="9" t="s">
        <v>222</v>
      </c>
      <c r="D199" s="4" t="s">
        <v>454</v>
      </c>
      <c r="E199" s="14" t="s">
        <v>454</v>
      </c>
      <c r="F199" s="14" t="s">
        <v>455</v>
      </c>
      <c r="G199" s="14" t="s">
        <v>453</v>
      </c>
      <c r="H199" s="9" t="s">
        <v>2086</v>
      </c>
      <c r="I199" s="3">
        <v>0</v>
      </c>
      <c r="J199" s="3">
        <v>0</v>
      </c>
      <c r="K199" s="3">
        <f t="shared" si="6"/>
        <v>0</v>
      </c>
      <c r="L199" s="3">
        <f>IFERROR(INDEX('CHIRP Payment Calc'!K:K,MATCH(A:A,'CHIRP Payment Calc'!A:A,0)),0)</f>
        <v>0</v>
      </c>
      <c r="M199" s="3">
        <f t="shared" si="7"/>
        <v>0</v>
      </c>
    </row>
    <row r="200" spans="1:13">
      <c r="A200" s="9" t="s">
        <v>13</v>
      </c>
      <c r="B200" s="9" t="s">
        <v>300</v>
      </c>
      <c r="C200" s="9" t="s">
        <v>222</v>
      </c>
      <c r="D200" s="4" t="s">
        <v>14</v>
      </c>
      <c r="E200" s="14" t="s">
        <v>14</v>
      </c>
      <c r="F200" s="14" t="s">
        <v>15</v>
      </c>
      <c r="G200" s="14" t="s">
        <v>13</v>
      </c>
      <c r="H200" s="9" t="s">
        <v>2085</v>
      </c>
      <c r="I200" s="3">
        <v>42794802.438506342</v>
      </c>
      <c r="J200" s="3">
        <v>26283269.458489452</v>
      </c>
      <c r="K200" s="3">
        <f t="shared" ref="K200:K263" si="8">I200+J200</f>
        <v>69078071.896995798</v>
      </c>
      <c r="L200" s="3">
        <f>IFERROR(INDEX('CHIRP Payment Calc'!K:K,MATCH(A:A,'CHIRP Payment Calc'!A:A,0)),0)</f>
        <v>90690360.828099564</v>
      </c>
      <c r="M200" s="3">
        <f t="shared" ref="M200:M263" si="9">K200-L200</f>
        <v>-21612288.931103766</v>
      </c>
    </row>
    <row r="201" spans="1:13">
      <c r="A201" s="9" t="s">
        <v>838</v>
      </c>
      <c r="B201" s="9" t="s">
        <v>300</v>
      </c>
      <c r="C201" s="9" t="s">
        <v>222</v>
      </c>
      <c r="D201" s="4" t="s">
        <v>839</v>
      </c>
      <c r="E201" s="14" t="s">
        <v>839</v>
      </c>
      <c r="F201" s="14" t="s">
        <v>840</v>
      </c>
      <c r="G201" s="14" t="s">
        <v>838</v>
      </c>
      <c r="H201" s="9" t="s">
        <v>2084</v>
      </c>
      <c r="I201" s="3">
        <v>7639805.3792064143</v>
      </c>
      <c r="J201" s="3">
        <v>4301744.9953290019</v>
      </c>
      <c r="K201" s="3">
        <f t="shared" si="8"/>
        <v>11941550.374535415</v>
      </c>
      <c r="L201" s="3">
        <f>IFERROR(INDEX('CHIRP Payment Calc'!K:K,MATCH(A:A,'CHIRP Payment Calc'!A:A,0)),0)</f>
        <v>16753909.54247516</v>
      </c>
      <c r="M201" s="3">
        <f t="shared" si="9"/>
        <v>-4812359.1679397449</v>
      </c>
    </row>
    <row r="202" spans="1:13">
      <c r="A202" s="9" t="s">
        <v>759</v>
      </c>
      <c r="B202" s="9" t="s">
        <v>300</v>
      </c>
      <c r="C202" s="9" t="s">
        <v>222</v>
      </c>
      <c r="D202" s="4" t="s">
        <v>760</v>
      </c>
      <c r="E202" s="14" t="s">
        <v>760</v>
      </c>
      <c r="F202" s="14" t="s">
        <v>761</v>
      </c>
      <c r="G202" s="14" t="s">
        <v>759</v>
      </c>
      <c r="H202" s="9" t="s">
        <v>2083</v>
      </c>
      <c r="I202" s="3">
        <v>10272228.902350813</v>
      </c>
      <c r="J202" s="3">
        <v>6166784.6190993572</v>
      </c>
      <c r="K202" s="3">
        <f t="shared" si="8"/>
        <v>16439013.521450169</v>
      </c>
      <c r="L202" s="3">
        <f>IFERROR(INDEX('CHIRP Payment Calc'!K:K,MATCH(A:A,'CHIRP Payment Calc'!A:A,0)),0)</f>
        <v>21012512.468000591</v>
      </c>
      <c r="M202" s="3">
        <f t="shared" si="9"/>
        <v>-4573498.9465504214</v>
      </c>
    </row>
    <row r="203" spans="1:13">
      <c r="A203" s="9" t="s">
        <v>771</v>
      </c>
      <c r="B203" s="9" t="s">
        <v>300</v>
      </c>
      <c r="C203" s="9" t="s">
        <v>222</v>
      </c>
      <c r="D203" s="4" t="s">
        <v>772</v>
      </c>
      <c r="E203" s="14" t="s">
        <v>772</v>
      </c>
      <c r="F203" s="14" t="s">
        <v>773</v>
      </c>
      <c r="G203" s="14" t="s">
        <v>771</v>
      </c>
      <c r="H203" s="9" t="s">
        <v>2081</v>
      </c>
      <c r="I203" s="3">
        <v>13636372.151255779</v>
      </c>
      <c r="J203" s="3">
        <v>8719313.944277538</v>
      </c>
      <c r="K203" s="3">
        <f t="shared" si="8"/>
        <v>22355686.095533319</v>
      </c>
      <c r="L203" s="3">
        <f>IFERROR(INDEX('CHIRP Payment Calc'!K:K,MATCH(A:A,'CHIRP Payment Calc'!A:A,0)),0)</f>
        <v>31359851.87610336</v>
      </c>
      <c r="M203" s="3">
        <f t="shared" si="9"/>
        <v>-9004165.7805700414</v>
      </c>
    </row>
    <row r="204" spans="1:13">
      <c r="A204" s="9" t="s">
        <v>140</v>
      </c>
      <c r="B204" s="9" t="s">
        <v>300</v>
      </c>
      <c r="C204" s="9" t="s">
        <v>222</v>
      </c>
      <c r="D204" s="4" t="s">
        <v>141</v>
      </c>
      <c r="E204" s="14" t="s">
        <v>141</v>
      </c>
      <c r="F204" s="14" t="s">
        <v>142</v>
      </c>
      <c r="G204" s="14" t="s">
        <v>140</v>
      </c>
      <c r="H204" s="9" t="s">
        <v>2080</v>
      </c>
      <c r="I204" s="3">
        <v>0</v>
      </c>
      <c r="J204" s="3">
        <v>0</v>
      </c>
      <c r="K204" s="3">
        <f t="shared" si="8"/>
        <v>0</v>
      </c>
      <c r="L204" s="3">
        <f>IFERROR(INDEX('CHIRP Payment Calc'!K:K,MATCH(A:A,'CHIRP Payment Calc'!A:A,0)),0)</f>
        <v>0</v>
      </c>
      <c r="M204" s="3">
        <f t="shared" si="9"/>
        <v>0</v>
      </c>
    </row>
    <row r="205" spans="1:13">
      <c r="A205" s="9" t="s">
        <v>1386</v>
      </c>
      <c r="B205" s="9" t="s">
        <v>300</v>
      </c>
      <c r="C205" s="9" t="s">
        <v>222</v>
      </c>
      <c r="D205" s="4" t="s">
        <v>1387</v>
      </c>
      <c r="E205" s="14" t="s">
        <v>1387</v>
      </c>
      <c r="F205" s="14" t="s">
        <v>1388</v>
      </c>
      <c r="G205" s="14" t="s">
        <v>1386</v>
      </c>
      <c r="H205" s="9" t="s">
        <v>2079</v>
      </c>
      <c r="I205" s="3">
        <v>0</v>
      </c>
      <c r="J205" s="3">
        <v>0</v>
      </c>
      <c r="K205" s="3">
        <f t="shared" si="8"/>
        <v>0</v>
      </c>
      <c r="L205" s="3">
        <f>IFERROR(INDEX('CHIRP Payment Calc'!K:K,MATCH(A:A,'CHIRP Payment Calc'!A:A,0)),0)</f>
        <v>0</v>
      </c>
      <c r="M205" s="3">
        <f t="shared" si="9"/>
        <v>0</v>
      </c>
    </row>
    <row r="206" spans="1:13">
      <c r="A206" s="9" t="s">
        <v>276</v>
      </c>
      <c r="B206" s="9" t="s">
        <v>300</v>
      </c>
      <c r="C206" s="9" t="s">
        <v>222</v>
      </c>
      <c r="D206" s="4" t="s">
        <v>277</v>
      </c>
      <c r="E206" s="14" t="s">
        <v>277</v>
      </c>
      <c r="F206" s="14" t="s">
        <v>278</v>
      </c>
      <c r="G206" s="14" t="s">
        <v>276</v>
      </c>
      <c r="H206" s="9" t="s">
        <v>2078</v>
      </c>
      <c r="I206" s="3">
        <v>10755952.091321182</v>
      </c>
      <c r="J206" s="3">
        <v>0</v>
      </c>
      <c r="K206" s="3">
        <f t="shared" si="8"/>
        <v>10755952.091321182</v>
      </c>
      <c r="L206" s="3">
        <f>IFERROR(INDEX('CHIRP Payment Calc'!K:K,MATCH(A:A,'CHIRP Payment Calc'!A:A,0)),0)</f>
        <v>18674673.908304989</v>
      </c>
      <c r="M206" s="3">
        <f t="shared" si="9"/>
        <v>-7918721.8169838078</v>
      </c>
    </row>
    <row r="207" spans="1:13">
      <c r="A207" s="9" t="s">
        <v>481</v>
      </c>
      <c r="B207" s="9" t="s">
        <v>300</v>
      </c>
      <c r="C207" s="9" t="s">
        <v>222</v>
      </c>
      <c r="D207" s="4" t="s">
        <v>482</v>
      </c>
      <c r="E207" s="14" t="s">
        <v>482</v>
      </c>
      <c r="F207" s="14" t="s">
        <v>483</v>
      </c>
      <c r="G207" s="14" t="s">
        <v>481</v>
      </c>
      <c r="H207" s="9" t="s">
        <v>2077</v>
      </c>
      <c r="I207" s="3">
        <v>0</v>
      </c>
      <c r="J207" s="3">
        <v>243613.50484655274</v>
      </c>
      <c r="K207" s="3">
        <f t="shared" si="8"/>
        <v>243613.50484655274</v>
      </c>
      <c r="L207" s="3">
        <f>IFERROR(INDEX('CHIRP Payment Calc'!K:K,MATCH(A:A,'CHIRP Payment Calc'!A:A,0)),0)</f>
        <v>0</v>
      </c>
      <c r="M207" s="3">
        <f t="shared" si="9"/>
        <v>243613.50484655274</v>
      </c>
    </row>
    <row r="208" spans="1:13">
      <c r="A208" s="9" t="s">
        <v>689</v>
      </c>
      <c r="B208" s="9" t="s">
        <v>300</v>
      </c>
      <c r="C208" s="9" t="s">
        <v>222</v>
      </c>
      <c r="D208" s="4" t="s">
        <v>690</v>
      </c>
      <c r="E208" s="14" t="s">
        <v>690</v>
      </c>
      <c r="F208" s="14" t="s">
        <v>691</v>
      </c>
      <c r="G208" s="14" t="s">
        <v>689</v>
      </c>
      <c r="H208" s="9" t="s">
        <v>2076</v>
      </c>
      <c r="I208" s="3">
        <v>2671752.8979548551</v>
      </c>
      <c r="J208" s="3">
        <v>1513977.7999439409</v>
      </c>
      <c r="K208" s="3">
        <f t="shared" si="8"/>
        <v>4185730.6978987958</v>
      </c>
      <c r="L208" s="3">
        <f>IFERROR(INDEX('CHIRP Payment Calc'!K:K,MATCH(A:A,'CHIRP Payment Calc'!A:A,0)),0)</f>
        <v>0</v>
      </c>
      <c r="M208" s="3">
        <f t="shared" si="9"/>
        <v>4185730.6978987958</v>
      </c>
    </row>
    <row r="209" spans="1:13">
      <c r="A209" s="9" t="s">
        <v>1564</v>
      </c>
      <c r="B209" s="9" t="s">
        <v>300</v>
      </c>
      <c r="C209" s="9" t="s">
        <v>222</v>
      </c>
      <c r="D209" s="4" t="s">
        <v>1277</v>
      </c>
      <c r="E209" s="14" t="s">
        <v>1277</v>
      </c>
      <c r="F209" s="14" t="s">
        <v>1278</v>
      </c>
      <c r="G209" s="14" t="s">
        <v>1564</v>
      </c>
      <c r="H209" s="9" t="s">
        <v>2075</v>
      </c>
      <c r="I209" s="3">
        <v>8881682.7941727787</v>
      </c>
      <c r="J209" s="3">
        <v>0</v>
      </c>
      <c r="K209" s="3">
        <f t="shared" si="8"/>
        <v>8881682.7941727787</v>
      </c>
      <c r="L209" s="3">
        <f>IFERROR(INDEX('CHIRP Payment Calc'!K:K,MATCH(A:A,'CHIRP Payment Calc'!A:A,0)),0)</f>
        <v>19719644.71134527</v>
      </c>
      <c r="M209" s="3">
        <f t="shared" si="9"/>
        <v>-10837961.917172492</v>
      </c>
    </row>
    <row r="210" spans="1:13">
      <c r="A210" s="9" t="s">
        <v>240</v>
      </c>
      <c r="B210" s="9" t="s">
        <v>300</v>
      </c>
      <c r="C210" s="9" t="s">
        <v>222</v>
      </c>
      <c r="D210" s="4" t="s">
        <v>241</v>
      </c>
      <c r="E210" s="14" t="s">
        <v>241</v>
      </c>
      <c r="F210" s="14" t="s">
        <v>242</v>
      </c>
      <c r="G210" s="14" t="s">
        <v>240</v>
      </c>
      <c r="H210" s="9" t="s">
        <v>2074</v>
      </c>
      <c r="I210" s="3">
        <v>3454082.7031435887</v>
      </c>
      <c r="J210" s="3">
        <v>2387252.1755449562</v>
      </c>
      <c r="K210" s="3">
        <f t="shared" si="8"/>
        <v>5841334.878688545</v>
      </c>
      <c r="L210" s="3">
        <f>IFERROR(INDEX('CHIRP Payment Calc'!K:K,MATCH(A:A,'CHIRP Payment Calc'!A:A,0)),0)</f>
        <v>7877114.7777425004</v>
      </c>
      <c r="M210" s="3">
        <f t="shared" si="9"/>
        <v>-2035779.8990539555</v>
      </c>
    </row>
    <row r="211" spans="1:13">
      <c r="A211" s="9" t="s">
        <v>1315</v>
      </c>
      <c r="B211" s="9" t="s">
        <v>300</v>
      </c>
      <c r="C211" s="9" t="s">
        <v>222</v>
      </c>
      <c r="D211" s="4" t="s">
        <v>1316</v>
      </c>
      <c r="E211" s="14" t="s">
        <v>1316</v>
      </c>
      <c r="F211" s="14" t="s">
        <v>1317</v>
      </c>
      <c r="G211" s="14" t="s">
        <v>1315</v>
      </c>
      <c r="H211" s="9" t="s">
        <v>2073</v>
      </c>
      <c r="I211" s="3">
        <v>3333503.7373366142</v>
      </c>
      <c r="J211" s="3">
        <v>2305827.88233743</v>
      </c>
      <c r="K211" s="3">
        <f t="shared" si="8"/>
        <v>5639331.6196740437</v>
      </c>
      <c r="L211" s="3">
        <f>IFERROR(INDEX('CHIRP Payment Calc'!K:K,MATCH(A:A,'CHIRP Payment Calc'!A:A,0)),0)</f>
        <v>7810441.3203080017</v>
      </c>
      <c r="M211" s="3">
        <f t="shared" si="9"/>
        <v>-2171109.700633958</v>
      </c>
    </row>
    <row r="212" spans="1:13">
      <c r="A212" s="9" t="s">
        <v>216</v>
      </c>
      <c r="B212" s="9" t="s">
        <v>300</v>
      </c>
      <c r="C212" s="9" t="s">
        <v>222</v>
      </c>
      <c r="D212" s="4" t="s">
        <v>217</v>
      </c>
      <c r="E212" s="14" t="s">
        <v>217</v>
      </c>
      <c r="F212" s="14" t="s">
        <v>218</v>
      </c>
      <c r="G212" s="14" t="s">
        <v>216</v>
      </c>
      <c r="H212" s="9" t="s">
        <v>2072</v>
      </c>
      <c r="I212" s="3">
        <v>0</v>
      </c>
      <c r="J212" s="3">
        <v>0</v>
      </c>
      <c r="K212" s="3">
        <f t="shared" si="8"/>
        <v>0</v>
      </c>
      <c r="L212" s="3">
        <f>IFERROR(INDEX('CHIRP Payment Calc'!K:K,MATCH(A:A,'CHIRP Payment Calc'!A:A,0)),0)</f>
        <v>0</v>
      </c>
      <c r="M212" s="3">
        <f t="shared" si="9"/>
        <v>0</v>
      </c>
    </row>
    <row r="213" spans="1:13">
      <c r="A213" s="9" t="s">
        <v>183</v>
      </c>
      <c r="B213" s="9" t="s">
        <v>300</v>
      </c>
      <c r="C213" s="9" t="s">
        <v>222</v>
      </c>
      <c r="D213" s="4" t="s">
        <v>184</v>
      </c>
      <c r="E213" s="14" t="s">
        <v>184</v>
      </c>
      <c r="F213" s="14" t="s">
        <v>185</v>
      </c>
      <c r="G213" s="14" t="s">
        <v>183</v>
      </c>
      <c r="H213" s="9" t="s">
        <v>2071</v>
      </c>
      <c r="I213" s="3">
        <v>3555624.139176771</v>
      </c>
      <c r="J213" s="3">
        <v>909856.95765149058</v>
      </c>
      <c r="K213" s="3">
        <f t="shared" si="8"/>
        <v>4465481.0968282614</v>
      </c>
      <c r="L213" s="3">
        <f>IFERROR(INDEX('CHIRP Payment Calc'!K:K,MATCH(A:A,'CHIRP Payment Calc'!A:A,0)),0)</f>
        <v>6317105.2428715359</v>
      </c>
      <c r="M213" s="3">
        <f t="shared" si="9"/>
        <v>-1851624.1460432746</v>
      </c>
    </row>
    <row r="214" spans="1:13">
      <c r="A214" s="9" t="s">
        <v>563</v>
      </c>
      <c r="B214" s="9" t="s">
        <v>300</v>
      </c>
      <c r="C214" s="9" t="s">
        <v>222</v>
      </c>
      <c r="D214" s="4" t="s">
        <v>564</v>
      </c>
      <c r="E214" s="14" t="s">
        <v>564</v>
      </c>
      <c r="F214" s="14" t="s">
        <v>565</v>
      </c>
      <c r="G214" s="14" t="s">
        <v>563</v>
      </c>
      <c r="H214" s="9" t="s">
        <v>2070</v>
      </c>
      <c r="I214" s="3">
        <v>9061851.7920339108</v>
      </c>
      <c r="J214" s="3">
        <v>4990602.1781760724</v>
      </c>
      <c r="K214" s="3">
        <f t="shared" si="8"/>
        <v>14052453.970209982</v>
      </c>
      <c r="L214" s="3">
        <f>IFERROR(INDEX('CHIRP Payment Calc'!K:K,MATCH(A:A,'CHIRP Payment Calc'!A:A,0)),0)</f>
        <v>20045148.189590588</v>
      </c>
      <c r="M214" s="3">
        <f t="shared" si="9"/>
        <v>-5992694.219380606</v>
      </c>
    </row>
    <row r="215" spans="1:13">
      <c r="A215" s="9" t="s">
        <v>1389</v>
      </c>
      <c r="B215" s="9" t="s">
        <v>300</v>
      </c>
      <c r="C215" s="9" t="s">
        <v>222</v>
      </c>
      <c r="D215" s="4" t="s">
        <v>1390</v>
      </c>
      <c r="E215" s="14" t="s">
        <v>1390</v>
      </c>
      <c r="F215" s="14" t="s">
        <v>1391</v>
      </c>
      <c r="G215" s="14" t="s">
        <v>1389</v>
      </c>
      <c r="H215" s="9" t="s">
        <v>2069</v>
      </c>
      <c r="I215" s="3">
        <v>0</v>
      </c>
      <c r="J215" s="3">
        <v>0</v>
      </c>
      <c r="K215" s="3">
        <f t="shared" si="8"/>
        <v>0</v>
      </c>
      <c r="L215" s="3">
        <f>IFERROR(INDEX('CHIRP Payment Calc'!K:K,MATCH(A:A,'CHIRP Payment Calc'!A:A,0)),0)</f>
        <v>0</v>
      </c>
      <c r="M215" s="3">
        <f t="shared" si="9"/>
        <v>0</v>
      </c>
    </row>
    <row r="216" spans="1:13">
      <c r="A216" s="9" t="s">
        <v>647</v>
      </c>
      <c r="B216" s="9" t="s">
        <v>300</v>
      </c>
      <c r="C216" s="9" t="s">
        <v>222</v>
      </c>
      <c r="D216" s="4" t="s">
        <v>648</v>
      </c>
      <c r="E216" s="14" t="s">
        <v>648</v>
      </c>
      <c r="F216" s="14" t="s">
        <v>649</v>
      </c>
      <c r="G216" s="14" t="s">
        <v>647</v>
      </c>
      <c r="H216" s="9" t="s">
        <v>2068</v>
      </c>
      <c r="I216" s="3">
        <v>1980304.2455496946</v>
      </c>
      <c r="J216" s="3">
        <v>1095195.5316232801</v>
      </c>
      <c r="K216" s="3">
        <f t="shared" si="8"/>
        <v>3075499.7771729748</v>
      </c>
      <c r="L216" s="3">
        <f>IFERROR(INDEX('CHIRP Payment Calc'!K:K,MATCH(A:A,'CHIRP Payment Calc'!A:A,0)),0)</f>
        <v>3328496.7814142788</v>
      </c>
      <c r="M216" s="3">
        <f t="shared" si="9"/>
        <v>-252997.00424130401</v>
      </c>
    </row>
    <row r="217" spans="1:13">
      <c r="A217" s="9" t="s">
        <v>835</v>
      </c>
      <c r="B217" s="9" t="s">
        <v>300</v>
      </c>
      <c r="C217" s="9" t="s">
        <v>222</v>
      </c>
      <c r="D217" s="4" t="s">
        <v>836</v>
      </c>
      <c r="E217" s="14" t="s">
        <v>836</v>
      </c>
      <c r="F217" s="14" t="s">
        <v>837</v>
      </c>
      <c r="G217" s="14" t="s">
        <v>835</v>
      </c>
      <c r="H217" s="9" t="s">
        <v>2067</v>
      </c>
      <c r="I217" s="3">
        <v>103062258.74855186</v>
      </c>
      <c r="J217" s="3">
        <v>26891498.769425526</v>
      </c>
      <c r="K217" s="3">
        <f t="shared" si="8"/>
        <v>129953757.51797739</v>
      </c>
      <c r="L217" s="3">
        <f>IFERROR(INDEX('CHIRP Payment Calc'!K:K,MATCH(A:A,'CHIRP Payment Calc'!A:A,0)),0)</f>
        <v>178487197.65881532</v>
      </c>
      <c r="M217" s="3">
        <f t="shared" si="9"/>
        <v>-48533440.140837938</v>
      </c>
    </row>
    <row r="218" spans="1:13">
      <c r="A218" s="9" t="s">
        <v>123</v>
      </c>
      <c r="B218" s="9" t="s">
        <v>300</v>
      </c>
      <c r="C218" s="9" t="s">
        <v>1479</v>
      </c>
      <c r="D218" s="4" t="s">
        <v>124</v>
      </c>
      <c r="E218" s="14" t="s">
        <v>124</v>
      </c>
      <c r="F218" s="14" t="s">
        <v>125</v>
      </c>
      <c r="G218" s="14" t="s">
        <v>123</v>
      </c>
      <c r="H218" s="9" t="s">
        <v>2066</v>
      </c>
      <c r="I218" s="3">
        <v>767728.50861974922</v>
      </c>
      <c r="J218" s="3">
        <v>271210.42735256476</v>
      </c>
      <c r="K218" s="3">
        <f t="shared" si="8"/>
        <v>1038938.935972314</v>
      </c>
      <c r="L218" s="3">
        <f>IFERROR(INDEX('CHIRP Payment Calc'!K:K,MATCH(A:A,'CHIRP Payment Calc'!A:A,0)),0)</f>
        <v>1300839.5741399885</v>
      </c>
      <c r="M218" s="3">
        <f t="shared" si="9"/>
        <v>-261900.63816767454</v>
      </c>
    </row>
    <row r="219" spans="1:13">
      <c r="A219" s="9" t="s">
        <v>530</v>
      </c>
      <c r="B219" s="9" t="s">
        <v>300</v>
      </c>
      <c r="C219" s="9" t="s">
        <v>1479</v>
      </c>
      <c r="D219" s="4" t="s">
        <v>531</v>
      </c>
      <c r="E219" s="14" t="s">
        <v>531</v>
      </c>
      <c r="F219" s="14" t="s">
        <v>532</v>
      </c>
      <c r="G219" s="14" t="s">
        <v>530</v>
      </c>
      <c r="H219" s="9" t="s">
        <v>2065</v>
      </c>
      <c r="I219" s="3">
        <v>245744.83954993339</v>
      </c>
      <c r="J219" s="3">
        <v>80797.337641081991</v>
      </c>
      <c r="K219" s="3">
        <f t="shared" si="8"/>
        <v>326542.17719101539</v>
      </c>
      <c r="L219" s="3">
        <f>IFERROR(INDEX('CHIRP Payment Calc'!K:K,MATCH(A:A,'CHIRP Payment Calc'!A:A,0)),0)</f>
        <v>367332.81834570359</v>
      </c>
      <c r="M219" s="3">
        <f t="shared" si="9"/>
        <v>-40790.641154688201</v>
      </c>
    </row>
    <row r="220" spans="1:13">
      <c r="A220" s="9" t="s">
        <v>953</v>
      </c>
      <c r="B220" s="9" t="s">
        <v>300</v>
      </c>
      <c r="C220" s="9" t="s">
        <v>1479</v>
      </c>
      <c r="D220" s="4" t="s">
        <v>954</v>
      </c>
      <c r="E220" s="14" t="s">
        <v>954</v>
      </c>
      <c r="F220" s="14" t="s">
        <v>955</v>
      </c>
      <c r="G220" s="14" t="s">
        <v>953</v>
      </c>
      <c r="H220" s="9" t="s">
        <v>1644</v>
      </c>
      <c r="I220" s="3">
        <v>124506.91232233048</v>
      </c>
      <c r="J220" s="3">
        <v>38456.452481902539</v>
      </c>
      <c r="K220" s="3">
        <f t="shared" si="8"/>
        <v>162963.36480423302</v>
      </c>
      <c r="L220" s="3">
        <f>IFERROR(INDEX('CHIRP Payment Calc'!K:K,MATCH(A:A,'CHIRP Payment Calc'!A:A,0)),0)</f>
        <v>290979.45077196648</v>
      </c>
      <c r="M220" s="3">
        <f t="shared" si="9"/>
        <v>-128016.08596773347</v>
      </c>
    </row>
    <row r="221" spans="1:13">
      <c r="A221" s="9" t="s">
        <v>1072</v>
      </c>
      <c r="B221" s="9" t="s">
        <v>300</v>
      </c>
      <c r="C221" s="9" t="s">
        <v>1545</v>
      </c>
      <c r="D221" s="4" t="s">
        <v>1073</v>
      </c>
      <c r="E221" s="14" t="s">
        <v>1073</v>
      </c>
      <c r="F221" s="14" t="s">
        <v>1074</v>
      </c>
      <c r="G221" s="14" t="s">
        <v>1072</v>
      </c>
      <c r="H221" s="9" t="s">
        <v>1601</v>
      </c>
      <c r="I221" s="3">
        <v>397211.11106598499</v>
      </c>
      <c r="J221" s="3">
        <v>415291.3331832267</v>
      </c>
      <c r="K221" s="3">
        <f t="shared" si="8"/>
        <v>812502.44424921169</v>
      </c>
      <c r="L221" s="3">
        <f>IFERROR(INDEX('CHIRP Payment Calc'!K:K,MATCH(A:A,'CHIRP Payment Calc'!A:A,0)),0)</f>
        <v>1052331.9415017946</v>
      </c>
      <c r="M221" s="3">
        <f t="shared" si="9"/>
        <v>-239829.49725258292</v>
      </c>
    </row>
    <row r="222" spans="1:13">
      <c r="A222" s="9" t="s">
        <v>822</v>
      </c>
      <c r="B222" s="9" t="s">
        <v>300</v>
      </c>
      <c r="C222" s="9" t="s">
        <v>1545</v>
      </c>
      <c r="D222" s="4" t="s">
        <v>823</v>
      </c>
      <c r="E222" s="14" t="s">
        <v>823</v>
      </c>
      <c r="F222" s="14" t="s">
        <v>824</v>
      </c>
      <c r="G222" s="14" t="s">
        <v>822</v>
      </c>
      <c r="H222" s="9" t="s">
        <v>2064</v>
      </c>
      <c r="I222" s="3">
        <v>3276063.5548169687</v>
      </c>
      <c r="J222" s="3">
        <v>1208784.8161505638</v>
      </c>
      <c r="K222" s="3">
        <f t="shared" si="8"/>
        <v>4484848.3709675325</v>
      </c>
      <c r="L222" s="3">
        <f>IFERROR(INDEX('CHIRP Payment Calc'!K:K,MATCH(A:A,'CHIRP Payment Calc'!A:A,0)),0)</f>
        <v>7242167.7667520577</v>
      </c>
      <c r="M222" s="3">
        <f t="shared" si="9"/>
        <v>-2757319.3957845252</v>
      </c>
    </row>
    <row r="223" spans="1:13">
      <c r="A223" s="9" t="s">
        <v>738</v>
      </c>
      <c r="B223" s="9" t="s">
        <v>300</v>
      </c>
      <c r="C223" s="9" t="s">
        <v>1554</v>
      </c>
      <c r="D223" s="4" t="s">
        <v>739</v>
      </c>
      <c r="E223" s="14" t="s">
        <v>739</v>
      </c>
      <c r="F223" s="14" t="s">
        <v>740</v>
      </c>
      <c r="G223" s="14" t="s">
        <v>738</v>
      </c>
      <c r="H223" s="9" t="s">
        <v>1680</v>
      </c>
      <c r="I223" s="3">
        <v>17679471.934180588</v>
      </c>
      <c r="J223" s="3">
        <v>28922171.817361128</v>
      </c>
      <c r="K223" s="3">
        <f t="shared" si="8"/>
        <v>46601643.751541719</v>
      </c>
      <c r="L223" s="3">
        <f>IFERROR(INDEX('CHIRP Payment Calc'!K:K,MATCH(A:A,'CHIRP Payment Calc'!A:A,0)),0)</f>
        <v>37053374.348742783</v>
      </c>
      <c r="M223" s="3">
        <f t="shared" si="9"/>
        <v>9548269.4027989358</v>
      </c>
    </row>
    <row r="224" spans="1:13">
      <c r="A224" s="9" t="s">
        <v>1330</v>
      </c>
      <c r="B224" s="9" t="s">
        <v>1514</v>
      </c>
      <c r="C224" s="9" t="s">
        <v>1801</v>
      </c>
      <c r="D224" s="4" t="s">
        <v>1331</v>
      </c>
      <c r="E224" s="14" t="s">
        <v>1331</v>
      </c>
      <c r="F224" s="14" t="s">
        <v>1332</v>
      </c>
      <c r="G224" s="14" t="s">
        <v>1330</v>
      </c>
      <c r="H224" s="9" t="s">
        <v>2063</v>
      </c>
      <c r="I224" s="3">
        <v>1920257.9789250519</v>
      </c>
      <c r="J224" s="3">
        <v>0</v>
      </c>
      <c r="K224" s="3">
        <f t="shared" si="8"/>
        <v>1920257.9789250519</v>
      </c>
      <c r="L224" s="3">
        <f>IFERROR(INDEX('CHIRP Payment Calc'!K:K,MATCH(A:A,'CHIRP Payment Calc'!A:A,0)),0)</f>
        <v>2563439.2429037536</v>
      </c>
      <c r="M224" s="3">
        <f t="shared" si="9"/>
        <v>-643181.26397870178</v>
      </c>
    </row>
    <row r="225" spans="1:13">
      <c r="A225" s="9" t="s">
        <v>1722</v>
      </c>
      <c r="C225" s="9" t="s">
        <v>222</v>
      </c>
      <c r="D225" s="4" t="s">
        <v>1723</v>
      </c>
      <c r="E225" s="14" t="s">
        <v>1723</v>
      </c>
      <c r="F225" s="14" t="e">
        <v>#N/A</v>
      </c>
      <c r="G225" s="14" t="s">
        <v>1722</v>
      </c>
      <c r="H225" s="9" t="s">
        <v>1721</v>
      </c>
      <c r="I225" s="3">
        <v>0</v>
      </c>
      <c r="J225" s="3">
        <v>104.03253134809725</v>
      </c>
      <c r="K225" s="3">
        <f t="shared" si="8"/>
        <v>104.03253134809725</v>
      </c>
      <c r="L225" s="3">
        <f>IFERROR(INDEX('CHIRP Payment Calc'!K:K,MATCH(A:A,'CHIRP Payment Calc'!A:A,0)),0)</f>
        <v>0</v>
      </c>
      <c r="M225" s="3">
        <f t="shared" si="9"/>
        <v>104.03253134809725</v>
      </c>
    </row>
    <row r="226" spans="1:13">
      <c r="A226" s="9" t="s">
        <v>644</v>
      </c>
      <c r="B226" s="9" t="s">
        <v>1514</v>
      </c>
      <c r="C226" s="9" t="s">
        <v>222</v>
      </c>
      <c r="D226" s="4" t="s">
        <v>645</v>
      </c>
      <c r="E226" s="14" t="s">
        <v>645</v>
      </c>
      <c r="F226" s="14" t="s">
        <v>646</v>
      </c>
      <c r="G226" s="14" t="s">
        <v>644</v>
      </c>
      <c r="H226" s="9" t="s">
        <v>2059</v>
      </c>
      <c r="I226" s="3">
        <v>10202499.404488385</v>
      </c>
      <c r="J226" s="3">
        <v>2567145.5054468708</v>
      </c>
      <c r="K226" s="3">
        <f t="shared" si="8"/>
        <v>12769644.909935255</v>
      </c>
      <c r="L226" s="3">
        <f>IFERROR(INDEX('CHIRP Payment Calc'!K:K,MATCH(A:A,'CHIRP Payment Calc'!A:A,0)),0)</f>
        <v>16462005.807875006</v>
      </c>
      <c r="M226" s="3">
        <f t="shared" si="9"/>
        <v>-3692360.8979397509</v>
      </c>
    </row>
    <row r="227" spans="1:13">
      <c r="A227" s="9" t="s">
        <v>1318</v>
      </c>
      <c r="B227" s="9" t="s">
        <v>1514</v>
      </c>
      <c r="C227" s="9" t="s">
        <v>222</v>
      </c>
      <c r="D227" s="4" t="s">
        <v>1319</v>
      </c>
      <c r="E227" s="14" t="s">
        <v>1319</v>
      </c>
      <c r="F227" s="14" t="s">
        <v>1320</v>
      </c>
      <c r="G227" s="14" t="s">
        <v>1318</v>
      </c>
      <c r="H227" s="9" t="s">
        <v>2058</v>
      </c>
      <c r="I227" s="3">
        <v>50717711.776930489</v>
      </c>
      <c r="J227" s="3">
        <v>13218019.742867328</v>
      </c>
      <c r="K227" s="3">
        <f t="shared" si="8"/>
        <v>63935731.519797817</v>
      </c>
      <c r="L227" s="3">
        <f>IFERROR(INDEX('CHIRP Payment Calc'!K:K,MATCH(A:A,'CHIRP Payment Calc'!A:A,0)),0)</f>
        <v>82841321.857111424</v>
      </c>
      <c r="M227" s="3">
        <f t="shared" si="9"/>
        <v>-18905590.337313607</v>
      </c>
    </row>
    <row r="228" spans="1:13">
      <c r="A228" s="9" t="s">
        <v>1508</v>
      </c>
      <c r="B228" s="9" t="s">
        <v>1514</v>
      </c>
      <c r="C228" s="9" t="s">
        <v>222</v>
      </c>
      <c r="D228" s="4" t="s">
        <v>1509</v>
      </c>
      <c r="E228" s="14" t="s">
        <v>1509</v>
      </c>
      <c r="F228" s="14" t="s">
        <v>1510</v>
      </c>
      <c r="G228" s="14" t="s">
        <v>1508</v>
      </c>
      <c r="H228" s="9" t="s">
        <v>2057</v>
      </c>
      <c r="I228" s="3">
        <v>60437.491062900655</v>
      </c>
      <c r="J228" s="3">
        <v>244240.71576997516</v>
      </c>
      <c r="K228" s="3">
        <f t="shared" si="8"/>
        <v>304678.20683287579</v>
      </c>
      <c r="L228" s="3">
        <f>IFERROR(INDEX('CHIRP Payment Calc'!K:K,MATCH(A:A,'CHIRP Payment Calc'!A:A,0)),0)</f>
        <v>0</v>
      </c>
      <c r="M228" s="3">
        <f t="shared" si="9"/>
        <v>304678.20683287579</v>
      </c>
    </row>
    <row r="229" spans="1:13">
      <c r="A229" s="9" t="s">
        <v>1369</v>
      </c>
      <c r="B229" s="9" t="s">
        <v>1514</v>
      </c>
      <c r="C229" s="9" t="s">
        <v>222</v>
      </c>
      <c r="D229" s="4" t="s">
        <v>1370</v>
      </c>
      <c r="E229" s="14" t="s">
        <v>1370</v>
      </c>
      <c r="F229" s="14" t="s">
        <v>1371</v>
      </c>
      <c r="G229" s="14" t="s">
        <v>1369</v>
      </c>
      <c r="H229" s="9" t="s">
        <v>1753</v>
      </c>
      <c r="I229" s="3">
        <v>15927554.372090233</v>
      </c>
      <c r="J229" s="3">
        <v>7162040.4568082877</v>
      </c>
      <c r="K229" s="3">
        <f t="shared" si="8"/>
        <v>23089594.828898519</v>
      </c>
      <c r="L229" s="3">
        <f>IFERROR(INDEX('CHIRP Payment Calc'!K:K,MATCH(A:A,'CHIRP Payment Calc'!A:A,0)),0)</f>
        <v>29195358.130638056</v>
      </c>
      <c r="M229" s="3">
        <f t="shared" si="9"/>
        <v>-6105763.3017395362</v>
      </c>
    </row>
    <row r="230" spans="1:13">
      <c r="A230" s="9" t="s">
        <v>1158</v>
      </c>
      <c r="B230" s="9" t="s">
        <v>1514</v>
      </c>
      <c r="C230" s="9" t="s">
        <v>222</v>
      </c>
      <c r="D230" s="4" t="s">
        <v>1159</v>
      </c>
      <c r="E230" s="14" t="s">
        <v>1159</v>
      </c>
      <c r="F230" s="14" t="s">
        <v>1160</v>
      </c>
      <c r="G230" s="14" t="s">
        <v>1158</v>
      </c>
      <c r="H230" s="9" t="s">
        <v>2056</v>
      </c>
      <c r="I230" s="3">
        <v>9759543.8405791782</v>
      </c>
      <c r="J230" s="3">
        <v>3871947.7889704658</v>
      </c>
      <c r="K230" s="3">
        <f t="shared" si="8"/>
        <v>13631491.629549645</v>
      </c>
      <c r="L230" s="3">
        <f>IFERROR(INDEX('CHIRP Payment Calc'!K:K,MATCH(A:A,'CHIRP Payment Calc'!A:A,0)),0)</f>
        <v>18829819.683145761</v>
      </c>
      <c r="M230" s="3">
        <f t="shared" si="9"/>
        <v>-5198328.0535961166</v>
      </c>
    </row>
    <row r="231" spans="1:13">
      <c r="A231" s="9" t="s">
        <v>590</v>
      </c>
      <c r="B231" s="9" t="s">
        <v>1514</v>
      </c>
      <c r="C231" s="9" t="s">
        <v>222</v>
      </c>
      <c r="D231" s="4" t="s">
        <v>591</v>
      </c>
      <c r="E231" s="14" t="s">
        <v>591</v>
      </c>
      <c r="F231" s="14" t="s">
        <v>592</v>
      </c>
      <c r="G231" s="14" t="s">
        <v>590</v>
      </c>
      <c r="H231" s="9" t="s">
        <v>2055</v>
      </c>
      <c r="I231" s="3">
        <v>9464620.1213527117</v>
      </c>
      <c r="J231" s="3">
        <v>2365052.2823093138</v>
      </c>
      <c r="K231" s="3">
        <f t="shared" si="8"/>
        <v>11829672.403662026</v>
      </c>
      <c r="L231" s="3">
        <f>IFERROR(INDEX('CHIRP Payment Calc'!K:K,MATCH(A:A,'CHIRP Payment Calc'!A:A,0)),0)</f>
        <v>14623075.488575101</v>
      </c>
      <c r="M231" s="3">
        <f t="shared" si="9"/>
        <v>-2793403.084913075</v>
      </c>
    </row>
    <row r="232" spans="1:13">
      <c r="A232" s="9" t="s">
        <v>231</v>
      </c>
      <c r="B232" s="9" t="s">
        <v>1514</v>
      </c>
      <c r="C232" s="9" t="s">
        <v>222</v>
      </c>
      <c r="D232" s="4" t="s">
        <v>232</v>
      </c>
      <c r="E232" s="14" t="s">
        <v>232</v>
      </c>
      <c r="F232" s="14" t="s">
        <v>233</v>
      </c>
      <c r="G232" s="14" t="s">
        <v>231</v>
      </c>
      <c r="H232" s="9" t="s">
        <v>2054</v>
      </c>
      <c r="I232" s="3">
        <v>0</v>
      </c>
      <c r="J232" s="3">
        <v>0</v>
      </c>
      <c r="K232" s="3">
        <f t="shared" si="8"/>
        <v>0</v>
      </c>
      <c r="L232" s="3">
        <f>IFERROR(INDEX('CHIRP Payment Calc'!K:K,MATCH(A:A,'CHIRP Payment Calc'!A:A,0)),0)</f>
        <v>0</v>
      </c>
      <c r="M232" s="3">
        <f t="shared" si="9"/>
        <v>0</v>
      </c>
    </row>
    <row r="233" spans="1:13">
      <c r="A233" s="9" t="s">
        <v>662</v>
      </c>
      <c r="B233" s="9" t="s">
        <v>1514</v>
      </c>
      <c r="C233" s="9" t="s">
        <v>222</v>
      </c>
      <c r="D233" s="4" t="s">
        <v>663</v>
      </c>
      <c r="E233" s="14" t="s">
        <v>663</v>
      </c>
      <c r="F233" s="14" t="s">
        <v>664</v>
      </c>
      <c r="G233" s="14" t="s">
        <v>662</v>
      </c>
      <c r="H233" s="9" t="s">
        <v>1703</v>
      </c>
      <c r="I233" s="3">
        <v>378868.18253344577</v>
      </c>
      <c r="J233" s="3">
        <v>219097.36353693725</v>
      </c>
      <c r="K233" s="3">
        <f t="shared" si="8"/>
        <v>597965.54607038305</v>
      </c>
      <c r="L233" s="3">
        <f>IFERROR(INDEX('CHIRP Payment Calc'!K:K,MATCH(A:A,'CHIRP Payment Calc'!A:A,0)),0)</f>
        <v>916029.80727240886</v>
      </c>
      <c r="M233" s="3">
        <f t="shared" si="9"/>
        <v>-318064.26120202581</v>
      </c>
    </row>
    <row r="234" spans="1:13">
      <c r="A234" s="9" t="s">
        <v>792</v>
      </c>
      <c r="B234" s="9" t="s">
        <v>1514</v>
      </c>
      <c r="C234" s="9" t="s">
        <v>222</v>
      </c>
      <c r="D234" s="4" t="s">
        <v>793</v>
      </c>
      <c r="E234" s="14" t="s">
        <v>793</v>
      </c>
      <c r="F234" s="14" t="s">
        <v>794</v>
      </c>
      <c r="G234" s="14" t="s">
        <v>792</v>
      </c>
      <c r="H234" s="9" t="s">
        <v>2053</v>
      </c>
      <c r="I234" s="3">
        <v>11375816.186112061</v>
      </c>
      <c r="J234" s="3">
        <v>2957112.9111658707</v>
      </c>
      <c r="K234" s="3">
        <f t="shared" si="8"/>
        <v>14332929.097277932</v>
      </c>
      <c r="L234" s="3">
        <f>IFERROR(INDEX('CHIRP Payment Calc'!K:K,MATCH(A:A,'CHIRP Payment Calc'!A:A,0)),0)</f>
        <v>19441536.906308278</v>
      </c>
      <c r="M234" s="3">
        <f t="shared" si="9"/>
        <v>-5108607.8090303466</v>
      </c>
    </row>
    <row r="235" spans="1:13">
      <c r="A235" s="9" t="s">
        <v>1542</v>
      </c>
      <c r="B235" s="9" t="s">
        <v>1514</v>
      </c>
      <c r="C235" s="9" t="s">
        <v>222</v>
      </c>
      <c r="D235" s="4" t="s">
        <v>1543</v>
      </c>
      <c r="E235" s="14" t="s">
        <v>1543</v>
      </c>
      <c r="F235" s="14" t="s">
        <v>1544</v>
      </c>
      <c r="G235" s="14" t="s">
        <v>1542</v>
      </c>
      <c r="H235" s="9" t="s">
        <v>2052</v>
      </c>
      <c r="I235" s="3">
        <v>0</v>
      </c>
      <c r="J235" s="3">
        <v>8990.686169760409</v>
      </c>
      <c r="K235" s="3">
        <f t="shared" si="8"/>
        <v>8990.686169760409</v>
      </c>
      <c r="L235" s="3">
        <f>IFERROR(INDEX('CHIRP Payment Calc'!K:K,MATCH(A:A,'CHIRP Payment Calc'!A:A,0)),0)</f>
        <v>0</v>
      </c>
      <c r="M235" s="3">
        <f t="shared" si="9"/>
        <v>8990.686169760409</v>
      </c>
    </row>
    <row r="236" spans="1:13">
      <c r="A236" s="9" t="s">
        <v>789</v>
      </c>
      <c r="B236" s="9" t="s">
        <v>1514</v>
      </c>
      <c r="C236" s="9" t="s">
        <v>222</v>
      </c>
      <c r="D236" s="4" t="s">
        <v>790</v>
      </c>
      <c r="E236" s="14" t="s">
        <v>790</v>
      </c>
      <c r="F236" s="14" t="s">
        <v>791</v>
      </c>
      <c r="G236" s="14" t="s">
        <v>789</v>
      </c>
      <c r="H236" s="9" t="s">
        <v>1671</v>
      </c>
      <c r="I236" s="3">
        <v>11522254.554969426</v>
      </c>
      <c r="J236" s="3">
        <v>5703610.7366879787</v>
      </c>
      <c r="K236" s="3">
        <f t="shared" si="8"/>
        <v>17225865.291657403</v>
      </c>
      <c r="L236" s="3">
        <f>IFERROR(INDEX('CHIRP Payment Calc'!K:K,MATCH(A:A,'CHIRP Payment Calc'!A:A,0)),0)</f>
        <v>24335736.133641161</v>
      </c>
      <c r="M236" s="3">
        <f t="shared" si="9"/>
        <v>-7109870.8419837579</v>
      </c>
    </row>
    <row r="237" spans="1:13">
      <c r="A237" s="9" t="s">
        <v>401</v>
      </c>
      <c r="B237" s="9" t="s">
        <v>1514</v>
      </c>
      <c r="C237" s="9" t="s">
        <v>222</v>
      </c>
      <c r="D237" s="4" t="s">
        <v>402</v>
      </c>
      <c r="E237" s="14" t="s">
        <v>402</v>
      </c>
      <c r="F237" s="14" t="s">
        <v>403</v>
      </c>
      <c r="G237" s="14" t="s">
        <v>401</v>
      </c>
      <c r="H237" s="9" t="s">
        <v>2051</v>
      </c>
      <c r="I237" s="3">
        <v>0</v>
      </c>
      <c r="J237" s="3">
        <v>0</v>
      </c>
      <c r="K237" s="3">
        <f t="shared" si="8"/>
        <v>0</v>
      </c>
      <c r="L237" s="3">
        <f>IFERROR(INDEX('CHIRP Payment Calc'!K:K,MATCH(A:A,'CHIRP Payment Calc'!A:A,0)),0)</f>
        <v>0</v>
      </c>
      <c r="M237" s="3">
        <f t="shared" si="9"/>
        <v>0</v>
      </c>
    </row>
    <row r="238" spans="1:13">
      <c r="A238" s="9" t="s">
        <v>641</v>
      </c>
      <c r="B238" s="9" t="s">
        <v>1514</v>
      </c>
      <c r="C238" s="9" t="s">
        <v>222</v>
      </c>
      <c r="D238" s="4" t="s">
        <v>642</v>
      </c>
      <c r="E238" s="14" t="s">
        <v>642</v>
      </c>
      <c r="F238" s="14" t="s">
        <v>643</v>
      </c>
      <c r="G238" s="14" t="s">
        <v>641</v>
      </c>
      <c r="H238" s="9" t="s">
        <v>2050</v>
      </c>
      <c r="I238" s="3">
        <v>16908261.350439269</v>
      </c>
      <c r="J238" s="3">
        <v>3705384.6189447083</v>
      </c>
      <c r="K238" s="3">
        <f t="shared" si="8"/>
        <v>20613645.969383977</v>
      </c>
      <c r="L238" s="3">
        <f>IFERROR(INDEX('CHIRP Payment Calc'!K:K,MATCH(A:A,'CHIRP Payment Calc'!A:A,0)),0)</f>
        <v>27865971.4478219</v>
      </c>
      <c r="M238" s="3">
        <f t="shared" si="9"/>
        <v>-7252325.4784379229</v>
      </c>
    </row>
    <row r="239" spans="1:13">
      <c r="A239" s="9" t="s">
        <v>2048</v>
      </c>
      <c r="B239" s="9" t="s">
        <v>1514</v>
      </c>
      <c r="C239" s="9" t="s">
        <v>222</v>
      </c>
      <c r="D239" s="4" t="s">
        <v>2049</v>
      </c>
      <c r="E239" s="14" t="s">
        <v>2049</v>
      </c>
      <c r="F239" s="14" t="e">
        <v>#N/A</v>
      </c>
      <c r="G239" s="14" t="s">
        <v>2048</v>
      </c>
      <c r="H239" s="9" t="s">
        <v>2047</v>
      </c>
      <c r="I239" s="3">
        <v>0</v>
      </c>
      <c r="J239" s="3">
        <v>0</v>
      </c>
      <c r="K239" s="3">
        <f t="shared" si="8"/>
        <v>0</v>
      </c>
      <c r="L239" s="3">
        <f>IFERROR(INDEX('CHIRP Payment Calc'!K:K,MATCH(A:A,'CHIRP Payment Calc'!A:A,0)),0)</f>
        <v>0</v>
      </c>
      <c r="M239" s="3">
        <f t="shared" si="9"/>
        <v>0</v>
      </c>
    </row>
    <row r="240" spans="1:13">
      <c r="A240" s="9" t="s">
        <v>1468</v>
      </c>
      <c r="B240" s="9" t="s">
        <v>1514</v>
      </c>
      <c r="C240" s="9" t="s">
        <v>222</v>
      </c>
      <c r="D240" s="4" t="s">
        <v>1469</v>
      </c>
      <c r="E240" s="14" t="s">
        <v>1469</v>
      </c>
      <c r="F240" s="14" t="s">
        <v>1470</v>
      </c>
      <c r="G240" s="14" t="s">
        <v>1468</v>
      </c>
      <c r="H240" s="9" t="s">
        <v>2046</v>
      </c>
      <c r="I240" s="3">
        <v>0</v>
      </c>
      <c r="J240" s="3">
        <v>0</v>
      </c>
      <c r="K240" s="3">
        <f t="shared" si="8"/>
        <v>0</v>
      </c>
      <c r="L240" s="3">
        <f>IFERROR(INDEX('CHIRP Payment Calc'!K:K,MATCH(A:A,'CHIRP Payment Calc'!A:A,0)),0)</f>
        <v>0</v>
      </c>
      <c r="M240" s="3">
        <f t="shared" si="9"/>
        <v>0</v>
      </c>
    </row>
    <row r="241" spans="1:13">
      <c r="A241" s="9" t="s">
        <v>581</v>
      </c>
      <c r="B241" s="9" t="s">
        <v>1514</v>
      </c>
      <c r="C241" s="9" t="s">
        <v>222</v>
      </c>
      <c r="D241" s="4" t="s">
        <v>582</v>
      </c>
      <c r="E241" s="14" t="s">
        <v>582</v>
      </c>
      <c r="F241" s="14" t="s">
        <v>583</v>
      </c>
      <c r="G241" s="14" t="s">
        <v>581</v>
      </c>
      <c r="H241" s="9" t="s">
        <v>2045</v>
      </c>
      <c r="I241" s="3">
        <v>0</v>
      </c>
      <c r="J241" s="3">
        <v>0</v>
      </c>
      <c r="K241" s="3">
        <f t="shared" si="8"/>
        <v>0</v>
      </c>
      <c r="L241" s="3">
        <f>IFERROR(INDEX('CHIRP Payment Calc'!K:K,MATCH(A:A,'CHIRP Payment Calc'!A:A,0)),0)</f>
        <v>0</v>
      </c>
      <c r="M241" s="3">
        <f t="shared" si="9"/>
        <v>0</v>
      </c>
    </row>
    <row r="242" spans="1:13">
      <c r="A242" s="9" t="s">
        <v>1551</v>
      </c>
      <c r="B242" s="9" t="s">
        <v>1514</v>
      </c>
      <c r="C242" s="9" t="s">
        <v>222</v>
      </c>
      <c r="D242" s="4" t="s">
        <v>1613</v>
      </c>
      <c r="E242" s="14" t="s">
        <v>1613</v>
      </c>
      <c r="F242" s="14" t="s">
        <v>446</v>
      </c>
      <c r="G242" s="14" t="s">
        <v>1551</v>
      </c>
      <c r="H242" s="9" t="s">
        <v>1612</v>
      </c>
      <c r="I242" s="3">
        <v>29488558.221703362</v>
      </c>
      <c r="J242" s="3">
        <v>7148010.3231121683</v>
      </c>
      <c r="K242" s="3">
        <f t="shared" si="8"/>
        <v>36636568.544815533</v>
      </c>
      <c r="L242" s="3">
        <f>IFERROR(INDEX('CHIRP Payment Calc'!K:K,MATCH(A:A,'CHIRP Payment Calc'!A:A,0)),0)</f>
        <v>47224424.770255208</v>
      </c>
      <c r="M242" s="3">
        <f t="shared" si="9"/>
        <v>-10587856.225439675</v>
      </c>
    </row>
    <row r="243" spans="1:13">
      <c r="A243" s="9" t="s">
        <v>774</v>
      </c>
      <c r="B243" s="9" t="s">
        <v>1514</v>
      </c>
      <c r="C243" s="9" t="s">
        <v>222</v>
      </c>
      <c r="D243" s="4" t="s">
        <v>775</v>
      </c>
      <c r="E243" s="14" t="s">
        <v>775</v>
      </c>
      <c r="F243" s="14" t="s">
        <v>776</v>
      </c>
      <c r="G243" s="14" t="s">
        <v>774</v>
      </c>
      <c r="H243" s="9" t="s">
        <v>1674</v>
      </c>
      <c r="I243" s="3">
        <v>6655921.2589496849</v>
      </c>
      <c r="J243" s="3">
        <v>2455351.6669772677</v>
      </c>
      <c r="K243" s="3">
        <f t="shared" si="8"/>
        <v>9111272.9259269536</v>
      </c>
      <c r="L243" s="3">
        <f>IFERROR(INDEX('CHIRP Payment Calc'!K:K,MATCH(A:A,'CHIRP Payment Calc'!A:A,0)),0)</f>
        <v>11204900.16245834</v>
      </c>
      <c r="M243" s="3">
        <f t="shared" si="9"/>
        <v>-2093627.2365313862</v>
      </c>
    </row>
    <row r="244" spans="1:13">
      <c r="A244" s="9" t="s">
        <v>162</v>
      </c>
      <c r="B244" s="9" t="s">
        <v>1514</v>
      </c>
      <c r="C244" s="9" t="s">
        <v>222</v>
      </c>
      <c r="D244" s="4" t="s">
        <v>163</v>
      </c>
      <c r="E244" s="14" t="s">
        <v>163</v>
      </c>
      <c r="F244" s="14" t="s">
        <v>164</v>
      </c>
      <c r="G244" s="14" t="s">
        <v>162</v>
      </c>
      <c r="H244" s="9" t="s">
        <v>2044</v>
      </c>
      <c r="I244" s="3">
        <v>3263044.5309617189</v>
      </c>
      <c r="J244" s="3">
        <v>1621060.5546002525</v>
      </c>
      <c r="K244" s="3">
        <f t="shared" si="8"/>
        <v>4884105.0855619712</v>
      </c>
      <c r="L244" s="3">
        <f>IFERROR(INDEX('CHIRP Payment Calc'!K:K,MATCH(A:A,'CHIRP Payment Calc'!A:A,0)),0)</f>
        <v>5384889.0741405683</v>
      </c>
      <c r="M244" s="3">
        <f t="shared" si="9"/>
        <v>-500783.98857859708</v>
      </c>
    </row>
    <row r="245" spans="1:13">
      <c r="A245" s="9" t="s">
        <v>515</v>
      </c>
      <c r="B245" s="9" t="s">
        <v>1514</v>
      </c>
      <c r="C245" s="9" t="s">
        <v>1479</v>
      </c>
      <c r="D245" s="4" t="s">
        <v>516</v>
      </c>
      <c r="E245" s="14" t="s">
        <v>516</v>
      </c>
      <c r="F245" s="14" t="s">
        <v>517</v>
      </c>
      <c r="G245" s="14" t="s">
        <v>515</v>
      </c>
      <c r="H245" s="9" t="s">
        <v>2043</v>
      </c>
      <c r="I245" s="3">
        <v>5726024.1782649094</v>
      </c>
      <c r="J245" s="3">
        <v>1591247.5869653097</v>
      </c>
      <c r="K245" s="3">
        <f t="shared" si="8"/>
        <v>7317271.7652302189</v>
      </c>
      <c r="L245" s="3">
        <f>IFERROR(INDEX('CHIRP Payment Calc'!K:K,MATCH(A:A,'CHIRP Payment Calc'!A:A,0)),0)</f>
        <v>11777269.337523658</v>
      </c>
      <c r="M245" s="3">
        <f t="shared" si="9"/>
        <v>-4459997.5722934389</v>
      </c>
    </row>
    <row r="246" spans="1:13">
      <c r="A246" s="9" t="s">
        <v>1053</v>
      </c>
      <c r="B246" s="9" t="s">
        <v>1514</v>
      </c>
      <c r="C246" s="9" t="s">
        <v>1545</v>
      </c>
      <c r="D246" s="4" t="s">
        <v>1054</v>
      </c>
      <c r="E246" s="14" t="s">
        <v>1054</v>
      </c>
      <c r="F246" s="14" t="s">
        <v>1055</v>
      </c>
      <c r="G246" s="14" t="s">
        <v>1053</v>
      </c>
      <c r="H246" s="9" t="s">
        <v>1605</v>
      </c>
      <c r="I246" s="3">
        <v>2118808.9042169354</v>
      </c>
      <c r="J246" s="3">
        <v>941849.48149029072</v>
      </c>
      <c r="K246" s="3">
        <f t="shared" si="8"/>
        <v>3060658.3857072261</v>
      </c>
      <c r="L246" s="3">
        <f>IFERROR(INDEX('CHIRP Payment Calc'!K:K,MATCH(A:A,'CHIRP Payment Calc'!A:A,0)),0)</f>
        <v>4081881.2980156913</v>
      </c>
      <c r="M246" s="3">
        <f t="shared" si="9"/>
        <v>-1021222.9123084652</v>
      </c>
    </row>
    <row r="247" spans="1:13">
      <c r="A247" s="9" t="s">
        <v>503</v>
      </c>
      <c r="B247" s="9" t="s">
        <v>1550</v>
      </c>
      <c r="C247" s="9" t="s">
        <v>222</v>
      </c>
      <c r="D247" s="4" t="s">
        <v>504</v>
      </c>
      <c r="E247" s="14" t="s">
        <v>504</v>
      </c>
      <c r="F247" s="14" t="s">
        <v>505</v>
      </c>
      <c r="G247" s="14" t="s">
        <v>503</v>
      </c>
      <c r="H247" s="9" t="s">
        <v>2042</v>
      </c>
      <c r="I247" s="3">
        <v>5370363.790272749</v>
      </c>
      <c r="J247" s="3">
        <v>5316203.1325778151</v>
      </c>
      <c r="K247" s="3">
        <f t="shared" si="8"/>
        <v>10686566.922850564</v>
      </c>
      <c r="L247" s="3">
        <f>IFERROR(INDEX('CHIRP Payment Calc'!K:K,MATCH(A:A,'CHIRP Payment Calc'!A:A,0)),0)</f>
        <v>13611705.16199005</v>
      </c>
      <c r="M247" s="3">
        <f t="shared" si="9"/>
        <v>-2925138.2391394861</v>
      </c>
    </row>
    <row r="248" spans="1:13">
      <c r="A248" s="9" t="s">
        <v>1400</v>
      </c>
      <c r="B248" s="9" t="s">
        <v>1550</v>
      </c>
      <c r="C248" s="9" t="s">
        <v>222</v>
      </c>
      <c r="D248" s="4" t="s">
        <v>1401</v>
      </c>
      <c r="E248" s="14" t="s">
        <v>1401</v>
      </c>
      <c r="F248" s="14" t="s">
        <v>1402</v>
      </c>
      <c r="G248" s="14" t="s">
        <v>1400</v>
      </c>
      <c r="H248" s="9" t="s">
        <v>1720</v>
      </c>
      <c r="I248" s="3">
        <v>14948.657494126603</v>
      </c>
      <c r="J248" s="3">
        <v>27596.097755067505</v>
      </c>
      <c r="K248" s="3">
        <f t="shared" si="8"/>
        <v>42544.75524919411</v>
      </c>
      <c r="L248" s="3">
        <f>IFERROR(INDEX('CHIRP Payment Calc'!K:K,MATCH(A:A,'CHIRP Payment Calc'!A:A,0)),0)</f>
        <v>0</v>
      </c>
      <c r="M248" s="3">
        <f t="shared" si="9"/>
        <v>42544.75524919411</v>
      </c>
    </row>
    <row r="249" spans="1:13">
      <c r="A249" s="9" t="s">
        <v>2336</v>
      </c>
      <c r="B249" s="9" t="s">
        <v>1550</v>
      </c>
      <c r="C249" s="9" t="s">
        <v>222</v>
      </c>
      <c r="D249" s="4" t="s">
        <v>1166</v>
      </c>
      <c r="E249" s="14" t="s">
        <v>1166</v>
      </c>
      <c r="F249" s="14" t="s">
        <v>1167</v>
      </c>
      <c r="G249" s="14" t="s">
        <v>1165</v>
      </c>
      <c r="H249" s="9" t="s">
        <v>2041</v>
      </c>
      <c r="I249" s="3">
        <v>585353.60895941593</v>
      </c>
      <c r="J249" s="3">
        <v>1178913.8869824535</v>
      </c>
      <c r="K249" s="3">
        <f t="shared" si="8"/>
        <v>1764267.4959418694</v>
      </c>
      <c r="L249" s="3">
        <f>IFERROR(INDEX('CHIRP Payment Calc'!K:K,MATCH(A:A,'CHIRP Payment Calc'!A:A,0)),0)</f>
        <v>1507979.9834030005</v>
      </c>
      <c r="M249" s="3">
        <f t="shared" si="9"/>
        <v>256287.51253886893</v>
      </c>
    </row>
    <row r="250" spans="1:13">
      <c r="A250" s="9" t="s">
        <v>285</v>
      </c>
      <c r="B250" s="9" t="s">
        <v>1550</v>
      </c>
      <c r="C250" s="9" t="s">
        <v>222</v>
      </c>
      <c r="D250" s="4" t="s">
        <v>286</v>
      </c>
      <c r="E250" s="14" t="s">
        <v>286</v>
      </c>
      <c r="F250" s="14" t="s">
        <v>287</v>
      </c>
      <c r="G250" s="14" t="s">
        <v>285</v>
      </c>
      <c r="H250" s="9" t="s">
        <v>2040</v>
      </c>
      <c r="I250" s="3">
        <v>0</v>
      </c>
      <c r="J250" s="3">
        <v>0</v>
      </c>
      <c r="K250" s="3">
        <f t="shared" si="8"/>
        <v>0</v>
      </c>
      <c r="L250" s="3">
        <f>IFERROR(INDEX('CHIRP Payment Calc'!K:K,MATCH(A:A,'CHIRP Payment Calc'!A:A,0)),0)</f>
        <v>0</v>
      </c>
      <c r="M250" s="3">
        <f t="shared" si="9"/>
        <v>0</v>
      </c>
    </row>
    <row r="251" spans="1:13">
      <c r="A251" s="9" t="s">
        <v>593</v>
      </c>
      <c r="B251" s="9" t="s">
        <v>1550</v>
      </c>
      <c r="C251" s="9" t="s">
        <v>222</v>
      </c>
      <c r="D251" s="4" t="s">
        <v>594</v>
      </c>
      <c r="E251" s="14" t="s">
        <v>594</v>
      </c>
      <c r="F251" s="14" t="s">
        <v>595</v>
      </c>
      <c r="G251" s="14" t="s">
        <v>593</v>
      </c>
      <c r="H251" s="9" t="s">
        <v>2039</v>
      </c>
      <c r="I251" s="3">
        <v>5761256.2217080472</v>
      </c>
      <c r="J251" s="3">
        <v>6594067.2627158808</v>
      </c>
      <c r="K251" s="3">
        <f t="shared" si="8"/>
        <v>12355323.484423928</v>
      </c>
      <c r="L251" s="3">
        <f>IFERROR(INDEX('CHIRP Payment Calc'!K:K,MATCH(A:A,'CHIRP Payment Calc'!A:A,0)),0)</f>
        <v>17888584.281566098</v>
      </c>
      <c r="M251" s="3">
        <f t="shared" si="9"/>
        <v>-5533260.7971421704</v>
      </c>
    </row>
    <row r="252" spans="1:13">
      <c r="A252" s="9" t="s">
        <v>1487</v>
      </c>
      <c r="B252" s="9" t="s">
        <v>1550</v>
      </c>
      <c r="C252" s="9" t="s">
        <v>222</v>
      </c>
      <c r="D252" s="4" t="s">
        <v>1488</v>
      </c>
      <c r="E252" s="14" t="s">
        <v>1488</v>
      </c>
      <c r="F252" s="14" t="s">
        <v>1489</v>
      </c>
      <c r="G252" s="14" t="s">
        <v>1487</v>
      </c>
      <c r="H252" s="9" t="s">
        <v>2038</v>
      </c>
      <c r="I252" s="3">
        <v>2949.3754594370457</v>
      </c>
      <c r="J252" s="3">
        <v>0</v>
      </c>
      <c r="K252" s="3">
        <f t="shared" si="8"/>
        <v>2949.3754594370457</v>
      </c>
      <c r="L252" s="3">
        <f>IFERROR(INDEX('CHIRP Payment Calc'!K:K,MATCH(A:A,'CHIRP Payment Calc'!A:A,0)),0)</f>
        <v>0</v>
      </c>
      <c r="M252" s="3">
        <f t="shared" si="9"/>
        <v>2949.3754594370457</v>
      </c>
    </row>
    <row r="253" spans="1:13">
      <c r="A253" s="9" t="s">
        <v>1134</v>
      </c>
      <c r="B253" s="9" t="s">
        <v>1550</v>
      </c>
      <c r="C253" s="9" t="s">
        <v>222</v>
      </c>
      <c r="D253" s="4" t="s">
        <v>1135</v>
      </c>
      <c r="E253" s="14" t="s">
        <v>1135</v>
      </c>
      <c r="F253" s="14" t="s">
        <v>1136</v>
      </c>
      <c r="G253" s="14" t="s">
        <v>1134</v>
      </c>
      <c r="H253" s="9" t="s">
        <v>2037</v>
      </c>
      <c r="I253" s="3">
        <v>2690703.1991451136</v>
      </c>
      <c r="J253" s="3">
        <v>2637143.3503143159</v>
      </c>
      <c r="K253" s="3">
        <f t="shared" si="8"/>
        <v>5327846.5494594295</v>
      </c>
      <c r="L253" s="3">
        <f>IFERROR(INDEX('CHIRP Payment Calc'!K:K,MATCH(A:A,'CHIRP Payment Calc'!A:A,0)),0)</f>
        <v>8258804.8451764658</v>
      </c>
      <c r="M253" s="3">
        <f t="shared" si="9"/>
        <v>-2930958.2957170364</v>
      </c>
    </row>
    <row r="254" spans="1:13">
      <c r="A254" s="9" t="s">
        <v>234</v>
      </c>
      <c r="B254" s="9" t="s">
        <v>1550</v>
      </c>
      <c r="C254" s="9" t="s">
        <v>222</v>
      </c>
      <c r="D254" s="4" t="s">
        <v>235</v>
      </c>
      <c r="E254" s="14" t="s">
        <v>235</v>
      </c>
      <c r="F254" s="14" t="s">
        <v>236</v>
      </c>
      <c r="G254" s="14" t="s">
        <v>234</v>
      </c>
      <c r="H254" s="9" t="s">
        <v>2036</v>
      </c>
      <c r="I254" s="3">
        <v>0</v>
      </c>
      <c r="J254" s="3">
        <v>0</v>
      </c>
      <c r="K254" s="3">
        <f t="shared" si="8"/>
        <v>0</v>
      </c>
      <c r="L254" s="3">
        <f>IFERROR(INDEX('CHIRP Payment Calc'!K:K,MATCH(A:A,'CHIRP Payment Calc'!A:A,0)),0)</f>
        <v>0</v>
      </c>
      <c r="M254" s="3">
        <f t="shared" si="9"/>
        <v>0</v>
      </c>
    </row>
    <row r="255" spans="1:13">
      <c r="A255" s="9" t="s">
        <v>129</v>
      </c>
      <c r="B255" s="9" t="s">
        <v>1550</v>
      </c>
      <c r="C255" s="9" t="s">
        <v>222</v>
      </c>
      <c r="D255" s="4" t="s">
        <v>130</v>
      </c>
      <c r="E255" s="14" t="s">
        <v>130</v>
      </c>
      <c r="F255" s="14" t="s">
        <v>131</v>
      </c>
      <c r="G255" s="14" t="s">
        <v>129</v>
      </c>
      <c r="H255" s="9" t="s">
        <v>2035</v>
      </c>
      <c r="I255" s="3">
        <v>0</v>
      </c>
      <c r="J255" s="3">
        <v>0</v>
      </c>
      <c r="K255" s="3">
        <f t="shared" si="8"/>
        <v>0</v>
      </c>
      <c r="L255" s="3">
        <f>IFERROR(INDEX('CHIRP Payment Calc'!K:K,MATCH(A:A,'CHIRP Payment Calc'!A:A,0)),0)</f>
        <v>0</v>
      </c>
      <c r="M255" s="3">
        <f t="shared" si="9"/>
        <v>0</v>
      </c>
    </row>
    <row r="256" spans="1:13">
      <c r="A256" s="9" t="s">
        <v>1174</v>
      </c>
      <c r="B256" s="9" t="s">
        <v>1550</v>
      </c>
      <c r="C256" s="9" t="s">
        <v>1479</v>
      </c>
      <c r="D256" s="4" t="s">
        <v>1175</v>
      </c>
      <c r="E256" s="14" t="s">
        <v>1175</v>
      </c>
      <c r="F256" s="14" t="s">
        <v>1176</v>
      </c>
      <c r="G256" s="14" t="s">
        <v>1174</v>
      </c>
      <c r="H256" s="9" t="s">
        <v>1574</v>
      </c>
      <c r="I256" s="3">
        <v>137630.839234443</v>
      </c>
      <c r="J256" s="3">
        <v>92469.702972205298</v>
      </c>
      <c r="K256" s="3">
        <f t="shared" si="8"/>
        <v>230100.5422066483</v>
      </c>
      <c r="L256" s="3">
        <f>IFERROR(INDEX('CHIRP Payment Calc'!K:K,MATCH(A:A,'CHIRP Payment Calc'!A:A,0)),0)</f>
        <v>0</v>
      </c>
      <c r="M256" s="3">
        <f t="shared" si="9"/>
        <v>230100.5422066483</v>
      </c>
    </row>
    <row r="257" spans="1:13">
      <c r="A257" s="9" t="s">
        <v>599</v>
      </c>
      <c r="B257" s="9" t="s">
        <v>1550</v>
      </c>
      <c r="C257" s="9" t="s">
        <v>1479</v>
      </c>
      <c r="D257" s="4" t="s">
        <v>600</v>
      </c>
      <c r="E257" s="14" t="s">
        <v>600</v>
      </c>
      <c r="F257" s="14" t="s">
        <v>601</v>
      </c>
      <c r="G257" s="14" t="s">
        <v>599</v>
      </c>
      <c r="H257" s="9" t="s">
        <v>2034</v>
      </c>
      <c r="I257" s="3">
        <v>1270042.5242503725</v>
      </c>
      <c r="J257" s="3">
        <v>1180577.4188254024</v>
      </c>
      <c r="K257" s="3">
        <f t="shared" si="8"/>
        <v>2450619.9430757752</v>
      </c>
      <c r="L257" s="3">
        <f>IFERROR(INDEX('CHIRP Payment Calc'!K:K,MATCH(A:A,'CHIRP Payment Calc'!A:A,0)),0)</f>
        <v>2865984.0518241702</v>
      </c>
      <c r="M257" s="3">
        <f t="shared" si="9"/>
        <v>-415364.108748395</v>
      </c>
    </row>
    <row r="258" spans="1:13">
      <c r="A258" s="9" t="s">
        <v>847</v>
      </c>
      <c r="B258" s="9" t="s">
        <v>1550</v>
      </c>
      <c r="C258" s="9" t="s">
        <v>1479</v>
      </c>
      <c r="D258" s="4" t="s">
        <v>848</v>
      </c>
      <c r="E258" s="14" t="s">
        <v>848</v>
      </c>
      <c r="F258" s="14" t="s">
        <v>849</v>
      </c>
      <c r="G258" s="14" t="s">
        <v>847</v>
      </c>
      <c r="H258" s="9" t="s">
        <v>2033</v>
      </c>
      <c r="I258" s="3">
        <v>2246166.3920912468</v>
      </c>
      <c r="J258" s="3">
        <v>2037000.0258516271</v>
      </c>
      <c r="K258" s="3">
        <f t="shared" si="8"/>
        <v>4283166.4179428741</v>
      </c>
      <c r="L258" s="3">
        <f>IFERROR(INDEX('CHIRP Payment Calc'!K:K,MATCH(A:A,'CHIRP Payment Calc'!A:A,0)),0)</f>
        <v>7226008.3798696827</v>
      </c>
      <c r="M258" s="3">
        <f t="shared" si="9"/>
        <v>-2942841.9619268086</v>
      </c>
    </row>
    <row r="259" spans="1:13">
      <c r="A259" s="9" t="s">
        <v>947</v>
      </c>
      <c r="B259" s="9" t="s">
        <v>1550</v>
      </c>
      <c r="C259" s="9" t="s">
        <v>1479</v>
      </c>
      <c r="D259" s="4" t="s">
        <v>948</v>
      </c>
      <c r="E259" s="14" t="s">
        <v>948</v>
      </c>
      <c r="F259" s="14" t="s">
        <v>949</v>
      </c>
      <c r="G259" s="14" t="s">
        <v>947</v>
      </c>
      <c r="H259" s="9" t="s">
        <v>2032</v>
      </c>
      <c r="I259" s="3">
        <v>0</v>
      </c>
      <c r="J259" s="3">
        <v>0</v>
      </c>
      <c r="K259" s="3">
        <f t="shared" si="8"/>
        <v>0</v>
      </c>
      <c r="L259" s="3">
        <f>IFERROR(INDEX('CHIRP Payment Calc'!K:K,MATCH(A:A,'CHIRP Payment Calc'!A:A,0)),0)</f>
        <v>0</v>
      </c>
      <c r="M259" s="3">
        <f t="shared" si="9"/>
        <v>0</v>
      </c>
    </row>
    <row r="260" spans="1:13">
      <c r="A260" s="9" t="s">
        <v>798</v>
      </c>
      <c r="B260" s="9" t="s">
        <v>1550</v>
      </c>
      <c r="C260" s="9" t="s">
        <v>1545</v>
      </c>
      <c r="D260" s="4" t="s">
        <v>799</v>
      </c>
      <c r="E260" s="14" t="s">
        <v>799</v>
      </c>
      <c r="F260" s="14" t="s">
        <v>800</v>
      </c>
      <c r="G260" s="14" t="s">
        <v>798</v>
      </c>
      <c r="H260" s="9" t="s">
        <v>2031</v>
      </c>
      <c r="I260" s="3">
        <v>212261.82937096051</v>
      </c>
      <c r="J260" s="3">
        <v>193255.72247560305</v>
      </c>
      <c r="K260" s="3">
        <f t="shared" si="8"/>
        <v>405517.55184656358</v>
      </c>
      <c r="L260" s="3">
        <f>IFERROR(INDEX('CHIRP Payment Calc'!K:K,MATCH(A:A,'CHIRP Payment Calc'!A:A,0)),0)</f>
        <v>643545.54245444422</v>
      </c>
      <c r="M260" s="3">
        <f t="shared" si="9"/>
        <v>-238027.99060788064</v>
      </c>
    </row>
    <row r="261" spans="1:13">
      <c r="A261" s="9" t="s">
        <v>527</v>
      </c>
      <c r="B261" s="9" t="s">
        <v>1550</v>
      </c>
      <c r="C261" s="9" t="s">
        <v>1545</v>
      </c>
      <c r="D261" s="4" t="s">
        <v>528</v>
      </c>
      <c r="E261" s="14" t="s">
        <v>528</v>
      </c>
      <c r="F261" s="14" t="s">
        <v>529</v>
      </c>
      <c r="G261" s="14" t="s">
        <v>527</v>
      </c>
      <c r="H261" s="9" t="s">
        <v>2030</v>
      </c>
      <c r="I261" s="3">
        <v>214772.21566972978</v>
      </c>
      <c r="J261" s="3">
        <v>139591.97792752474</v>
      </c>
      <c r="K261" s="3">
        <f t="shared" si="8"/>
        <v>354364.19359725452</v>
      </c>
      <c r="L261" s="3">
        <f>IFERROR(INDEX('CHIRP Payment Calc'!K:K,MATCH(A:A,'CHIRP Payment Calc'!A:A,0)),0)</f>
        <v>594150.63051875541</v>
      </c>
      <c r="M261" s="3">
        <f t="shared" si="9"/>
        <v>-239786.43692150089</v>
      </c>
    </row>
    <row r="262" spans="1:13">
      <c r="A262" s="9" t="s">
        <v>1149</v>
      </c>
      <c r="B262" s="9" t="s">
        <v>1550</v>
      </c>
      <c r="C262" s="9" t="s">
        <v>1545</v>
      </c>
      <c r="D262" s="4" t="s">
        <v>1150</v>
      </c>
      <c r="E262" s="14" t="s">
        <v>1150</v>
      </c>
      <c r="F262" s="14" t="s">
        <v>1151</v>
      </c>
      <c r="G262" s="14" t="s">
        <v>1149</v>
      </c>
      <c r="H262" s="9" t="s">
        <v>1591</v>
      </c>
      <c r="I262" s="3">
        <v>150205.74164126915</v>
      </c>
      <c r="J262" s="3">
        <v>107094.98298594289</v>
      </c>
      <c r="K262" s="3">
        <f t="shared" si="8"/>
        <v>257300.72462721204</v>
      </c>
      <c r="L262" s="3">
        <f>IFERROR(INDEX('CHIRP Payment Calc'!K:K,MATCH(A:A,'CHIRP Payment Calc'!A:A,0)),0)</f>
        <v>0</v>
      </c>
      <c r="M262" s="3">
        <f t="shared" si="9"/>
        <v>257300.72462721204</v>
      </c>
    </row>
    <row r="263" spans="1:13">
      <c r="A263" s="9" t="s">
        <v>883</v>
      </c>
      <c r="B263" s="9" t="s">
        <v>1526</v>
      </c>
      <c r="C263" s="9" t="s">
        <v>1594</v>
      </c>
      <c r="D263" s="4" t="s">
        <v>884</v>
      </c>
      <c r="E263" s="14" t="s">
        <v>884</v>
      </c>
      <c r="F263" s="14" t="s">
        <v>885</v>
      </c>
      <c r="G263" s="14" t="s">
        <v>883</v>
      </c>
      <c r="H263" s="9" t="s">
        <v>2029</v>
      </c>
      <c r="I263" s="3">
        <v>34327999.300322428</v>
      </c>
      <c r="J263" s="3">
        <v>1970401.4164140641</v>
      </c>
      <c r="K263" s="3">
        <f t="shared" si="8"/>
        <v>36298400.716736495</v>
      </c>
      <c r="L263" s="3">
        <f>IFERROR(INDEX('CHIRP Payment Calc'!K:K,MATCH(A:A,'CHIRP Payment Calc'!A:A,0)),0)</f>
        <v>43121374.602138475</v>
      </c>
      <c r="M263" s="3">
        <f t="shared" si="9"/>
        <v>-6822973.8854019791</v>
      </c>
    </row>
    <row r="264" spans="1:13">
      <c r="A264" s="9" t="s">
        <v>1471</v>
      </c>
      <c r="C264" s="9" t="s">
        <v>222</v>
      </c>
      <c r="D264" s="4" t="s">
        <v>1472</v>
      </c>
      <c r="E264" s="14" t="e">
        <v>#N/A</v>
      </c>
      <c r="F264" s="14" t="e">
        <v>#N/A</v>
      </c>
      <c r="G264" s="14" t="e">
        <v>#N/A</v>
      </c>
      <c r="H264" s="9" t="s">
        <v>1473</v>
      </c>
      <c r="I264" s="3">
        <v>81056.034442114556</v>
      </c>
      <c r="J264" s="3">
        <v>95693.118134960809</v>
      </c>
      <c r="K264" s="3">
        <f t="shared" ref="K264:K327" si="10">I264+J264</f>
        <v>176749.15257707535</v>
      </c>
      <c r="L264" s="3">
        <f>IFERROR(INDEX('CHIRP Payment Calc'!K:K,MATCH(A:A,'CHIRP Payment Calc'!A:A,0)),0)</f>
        <v>369629.27964864887</v>
      </c>
      <c r="M264" s="3">
        <f t="shared" ref="M264:M327" si="11">K264-L264</f>
        <v>-192880.12707157352</v>
      </c>
    </row>
    <row r="265" spans="1:13">
      <c r="A265" s="9" t="s">
        <v>91</v>
      </c>
      <c r="B265" s="9" t="s">
        <v>1526</v>
      </c>
      <c r="C265" s="9" t="s">
        <v>222</v>
      </c>
      <c r="D265" s="4" t="s">
        <v>92</v>
      </c>
      <c r="E265" s="14" t="s">
        <v>92</v>
      </c>
      <c r="F265" s="14" t="s">
        <v>93</v>
      </c>
      <c r="G265" s="14" t="s">
        <v>91</v>
      </c>
      <c r="H265" s="9" t="s">
        <v>2027</v>
      </c>
      <c r="I265" s="3">
        <v>29584.910272892623</v>
      </c>
      <c r="J265" s="3">
        <v>0</v>
      </c>
      <c r="K265" s="3">
        <f t="shared" si="10"/>
        <v>29584.910272892623</v>
      </c>
      <c r="L265" s="3">
        <f>IFERROR(INDEX('CHIRP Payment Calc'!K:K,MATCH(A:A,'CHIRP Payment Calc'!A:A,0)),0)</f>
        <v>0</v>
      </c>
      <c r="M265" s="3">
        <f t="shared" si="11"/>
        <v>29584.910272892623</v>
      </c>
    </row>
    <row r="266" spans="1:13">
      <c r="A266" s="9" t="s">
        <v>474</v>
      </c>
      <c r="B266" s="9" t="s">
        <v>1526</v>
      </c>
      <c r="C266" s="9" t="s">
        <v>222</v>
      </c>
      <c r="D266" s="4" t="s">
        <v>475</v>
      </c>
      <c r="E266" s="14" t="s">
        <v>475</v>
      </c>
      <c r="F266" s="14" t="s">
        <v>476</v>
      </c>
      <c r="G266" s="14" t="s">
        <v>474</v>
      </c>
      <c r="H266" s="9" t="s">
        <v>2026</v>
      </c>
      <c r="I266" s="3">
        <v>0</v>
      </c>
      <c r="J266" s="3">
        <v>0</v>
      </c>
      <c r="K266" s="3">
        <f t="shared" si="10"/>
        <v>0</v>
      </c>
      <c r="L266" s="3">
        <f>IFERROR(INDEX('CHIRP Payment Calc'!K:K,MATCH(A:A,'CHIRP Payment Calc'!A:A,0)),0)</f>
        <v>0</v>
      </c>
      <c r="M266" s="3">
        <f t="shared" si="11"/>
        <v>0</v>
      </c>
    </row>
    <row r="267" spans="1:13">
      <c r="A267" s="9" t="s">
        <v>810</v>
      </c>
      <c r="B267" s="9" t="s">
        <v>1526</v>
      </c>
      <c r="C267" s="9" t="s">
        <v>222</v>
      </c>
      <c r="D267" s="4" t="s">
        <v>811</v>
      </c>
      <c r="E267" s="14" t="s">
        <v>811</v>
      </c>
      <c r="F267" s="14" t="s">
        <v>812</v>
      </c>
      <c r="G267" s="14" t="s">
        <v>810</v>
      </c>
      <c r="H267" s="9" t="s">
        <v>2025</v>
      </c>
      <c r="I267" s="3">
        <v>308396.68238806044</v>
      </c>
      <c r="J267" s="3">
        <v>191932.60202303651</v>
      </c>
      <c r="K267" s="3">
        <f t="shared" si="10"/>
        <v>500329.28441109695</v>
      </c>
      <c r="L267" s="3">
        <f>IFERROR(INDEX('CHIRP Payment Calc'!K:K,MATCH(A:A,'CHIRP Payment Calc'!A:A,0)),0)</f>
        <v>0</v>
      </c>
      <c r="M267" s="3">
        <f t="shared" si="11"/>
        <v>500329.28441109695</v>
      </c>
    </row>
    <row r="268" spans="1:13">
      <c r="A268" s="9" t="s">
        <v>46</v>
      </c>
      <c r="B268" s="9" t="s">
        <v>1526</v>
      </c>
      <c r="C268" s="9" t="s">
        <v>222</v>
      </c>
      <c r="D268" s="4" t="s">
        <v>47</v>
      </c>
      <c r="E268" s="14" t="s">
        <v>47</v>
      </c>
      <c r="F268" s="14" t="s">
        <v>48</v>
      </c>
      <c r="G268" s="14" t="s">
        <v>46</v>
      </c>
      <c r="H268" s="9" t="s">
        <v>2024</v>
      </c>
      <c r="I268" s="3">
        <v>6155122.5971305147</v>
      </c>
      <c r="J268" s="3">
        <v>4872860.1102554705</v>
      </c>
      <c r="K268" s="3">
        <f t="shared" si="10"/>
        <v>11027982.707385985</v>
      </c>
      <c r="L268" s="3">
        <f>IFERROR(INDEX('CHIRP Payment Calc'!K:K,MATCH(A:A,'CHIRP Payment Calc'!A:A,0)),0)</f>
        <v>13039347.06985083</v>
      </c>
      <c r="M268" s="3">
        <f t="shared" si="11"/>
        <v>-2011364.3624648452</v>
      </c>
    </row>
    <row r="269" spans="1:13">
      <c r="A269" s="9" t="s">
        <v>1563</v>
      </c>
      <c r="B269" s="9" t="s">
        <v>1526</v>
      </c>
      <c r="C269" s="9" t="s">
        <v>222</v>
      </c>
      <c r="D269" s="4" t="s">
        <v>1646</v>
      </c>
      <c r="E269" s="14" t="s">
        <v>1646</v>
      </c>
      <c r="F269" s="14" t="s">
        <v>1270</v>
      </c>
      <c r="G269" s="14" t="s">
        <v>1563</v>
      </c>
      <c r="H269" s="9" t="s">
        <v>2023</v>
      </c>
      <c r="I269" s="3">
        <v>19885749.325538397</v>
      </c>
      <c r="J269" s="3">
        <v>5124157.1020996254</v>
      </c>
      <c r="K269" s="3">
        <f t="shared" si="10"/>
        <v>25009906.427638024</v>
      </c>
      <c r="L269" s="3">
        <f>IFERROR(INDEX('CHIRP Payment Calc'!K:K,MATCH(A:A,'CHIRP Payment Calc'!A:A,0)),0)</f>
        <v>33504286.316800125</v>
      </c>
      <c r="M269" s="3">
        <f t="shared" si="11"/>
        <v>-8494379.8891621009</v>
      </c>
    </row>
    <row r="270" spans="1:13">
      <c r="A270" s="9" t="s">
        <v>1529</v>
      </c>
      <c r="B270" s="9" t="s">
        <v>1526</v>
      </c>
      <c r="C270" s="9" t="s">
        <v>222</v>
      </c>
      <c r="D270" s="4" t="s">
        <v>1530</v>
      </c>
      <c r="E270" s="14" t="s">
        <v>1530</v>
      </c>
      <c r="F270" s="14" t="s">
        <v>1531</v>
      </c>
      <c r="G270" s="14" t="s">
        <v>1529</v>
      </c>
      <c r="H270" s="9" t="s">
        <v>2022</v>
      </c>
      <c r="I270" s="3">
        <v>0</v>
      </c>
      <c r="J270" s="3">
        <v>0</v>
      </c>
      <c r="K270" s="3">
        <f t="shared" si="10"/>
        <v>0</v>
      </c>
      <c r="L270" s="3">
        <f>IFERROR(INDEX('CHIRP Payment Calc'!K:K,MATCH(A:A,'CHIRP Payment Calc'!A:A,0)),0)</f>
        <v>0</v>
      </c>
      <c r="M270" s="3">
        <f t="shared" si="11"/>
        <v>0</v>
      </c>
    </row>
    <row r="271" spans="1:13">
      <c r="A271" s="9" t="s">
        <v>2020</v>
      </c>
      <c r="B271" s="9" t="s">
        <v>1526</v>
      </c>
      <c r="C271" s="9" t="s">
        <v>222</v>
      </c>
      <c r="D271" s="4" t="s">
        <v>2021</v>
      </c>
      <c r="E271" s="14" t="s">
        <v>2021</v>
      </c>
      <c r="F271" s="14" t="e">
        <v>#N/A</v>
      </c>
      <c r="G271" s="14" t="s">
        <v>2020</v>
      </c>
      <c r="H271" s="9" t="s">
        <v>2019</v>
      </c>
      <c r="I271" s="3">
        <v>0</v>
      </c>
      <c r="J271" s="3">
        <v>0</v>
      </c>
      <c r="K271" s="3">
        <f t="shared" si="10"/>
        <v>0</v>
      </c>
      <c r="L271" s="3">
        <f>IFERROR(INDEX('CHIRP Payment Calc'!K:K,MATCH(A:A,'CHIRP Payment Calc'!A:A,0)),0)</f>
        <v>0</v>
      </c>
      <c r="M271" s="3">
        <f t="shared" si="11"/>
        <v>0</v>
      </c>
    </row>
    <row r="272" spans="1:13">
      <c r="A272" s="9" t="s">
        <v>317</v>
      </c>
      <c r="B272" s="9" t="s">
        <v>1526</v>
      </c>
      <c r="C272" s="9" t="s">
        <v>222</v>
      </c>
      <c r="D272" s="4" t="s">
        <v>318</v>
      </c>
      <c r="E272" s="14" t="s">
        <v>318</v>
      </c>
      <c r="F272" s="14" t="s">
        <v>319</v>
      </c>
      <c r="G272" s="14" t="s">
        <v>317</v>
      </c>
      <c r="H272" s="9" t="s">
        <v>2018</v>
      </c>
      <c r="I272" s="3">
        <v>121053.24043649244</v>
      </c>
      <c r="J272" s="3">
        <v>22904.750585964539</v>
      </c>
      <c r="K272" s="3">
        <f t="shared" si="10"/>
        <v>143957.99102245699</v>
      </c>
      <c r="L272" s="3">
        <f>IFERROR(INDEX('CHIRP Payment Calc'!K:K,MATCH(A:A,'CHIRP Payment Calc'!A:A,0)),0)</f>
        <v>218387.42374786982</v>
      </c>
      <c r="M272" s="3">
        <f t="shared" si="11"/>
        <v>-74429.432725412829</v>
      </c>
    </row>
    <row r="273" spans="1:13">
      <c r="A273" s="9" t="s">
        <v>237</v>
      </c>
      <c r="B273" s="9" t="s">
        <v>1526</v>
      </c>
      <c r="C273" s="9" t="s">
        <v>222</v>
      </c>
      <c r="D273" s="4" t="s">
        <v>238</v>
      </c>
      <c r="E273" s="14" t="s">
        <v>238</v>
      </c>
      <c r="F273" s="14" t="s">
        <v>239</v>
      </c>
      <c r="G273" s="14" t="s">
        <v>237</v>
      </c>
      <c r="H273" s="9" t="s">
        <v>2017</v>
      </c>
      <c r="I273" s="3">
        <v>2120.3985051246068</v>
      </c>
      <c r="J273" s="3">
        <v>20309.778957427599</v>
      </c>
      <c r="K273" s="3">
        <f t="shared" si="10"/>
        <v>22430.177462552205</v>
      </c>
      <c r="L273" s="3">
        <f>IFERROR(INDEX('CHIRP Payment Calc'!K:K,MATCH(A:A,'CHIRP Payment Calc'!A:A,0)),0)</f>
        <v>55827.847618364234</v>
      </c>
      <c r="M273" s="3">
        <f t="shared" si="11"/>
        <v>-33397.670155812026</v>
      </c>
    </row>
    <row r="274" spans="1:13">
      <c r="A274" s="9" t="s">
        <v>1570</v>
      </c>
      <c r="B274" s="9" t="s">
        <v>1526</v>
      </c>
      <c r="C274" s="9" t="s">
        <v>222</v>
      </c>
      <c r="D274" s="4" t="s">
        <v>1398</v>
      </c>
      <c r="E274" s="14" t="s">
        <v>1700</v>
      </c>
      <c r="F274" s="14" t="s">
        <v>1399</v>
      </c>
      <c r="G274" s="14" t="s">
        <v>1570</v>
      </c>
      <c r="H274" s="9" t="s">
        <v>2016</v>
      </c>
      <c r="I274" s="3">
        <v>244288.35455391306</v>
      </c>
      <c r="J274" s="3">
        <v>0</v>
      </c>
      <c r="K274" s="3">
        <f t="shared" si="10"/>
        <v>244288.35455391306</v>
      </c>
      <c r="L274" s="3">
        <f>IFERROR(INDEX('CHIRP Payment Calc'!K:K,MATCH(A:A,'CHIRP Payment Calc'!A:A,0)),0)</f>
        <v>0</v>
      </c>
      <c r="M274" s="3">
        <f t="shared" si="11"/>
        <v>244288.35455391306</v>
      </c>
    </row>
    <row r="275" spans="1:13">
      <c r="A275" s="9" t="s">
        <v>671</v>
      </c>
      <c r="B275" s="9" t="s">
        <v>1526</v>
      </c>
      <c r="C275" s="9" t="s">
        <v>222</v>
      </c>
      <c r="D275" s="4" t="s">
        <v>672</v>
      </c>
      <c r="E275" s="14" t="s">
        <v>672</v>
      </c>
      <c r="F275" s="14" t="s">
        <v>673</v>
      </c>
      <c r="G275" s="14" t="s">
        <v>671</v>
      </c>
      <c r="H275" s="9" t="s">
        <v>2015</v>
      </c>
      <c r="I275" s="3">
        <v>2210517.584365123</v>
      </c>
      <c r="J275" s="3">
        <v>3072546.0707428241</v>
      </c>
      <c r="K275" s="3">
        <f t="shared" si="10"/>
        <v>5283063.6551079471</v>
      </c>
      <c r="L275" s="3">
        <f>IFERROR(INDEX('CHIRP Payment Calc'!K:K,MATCH(A:A,'CHIRP Payment Calc'!A:A,0)),0)</f>
        <v>0</v>
      </c>
      <c r="M275" s="3">
        <f t="shared" si="11"/>
        <v>5283063.6551079471</v>
      </c>
    </row>
    <row r="276" spans="1:13">
      <c r="A276" s="9" t="s">
        <v>677</v>
      </c>
      <c r="B276" s="9" t="s">
        <v>1526</v>
      </c>
      <c r="C276" s="9" t="s">
        <v>1479</v>
      </c>
      <c r="D276" s="4" t="s">
        <v>678</v>
      </c>
      <c r="E276" s="14" t="s">
        <v>678</v>
      </c>
      <c r="F276" s="14" t="s">
        <v>679</v>
      </c>
      <c r="G276" s="14" t="s">
        <v>677</v>
      </c>
      <c r="H276" s="9" t="s">
        <v>1699</v>
      </c>
      <c r="I276" s="3">
        <v>108336.9353826389</v>
      </c>
      <c r="J276" s="3">
        <v>46965.88530600215</v>
      </c>
      <c r="K276" s="3">
        <f t="shared" si="10"/>
        <v>155302.82068864105</v>
      </c>
      <c r="L276" s="3">
        <f>IFERROR(INDEX('CHIRP Payment Calc'!K:K,MATCH(A:A,'CHIRP Payment Calc'!A:A,0)),0)</f>
        <v>0</v>
      </c>
      <c r="M276" s="3">
        <f t="shared" si="11"/>
        <v>155302.82068864105</v>
      </c>
    </row>
    <row r="277" spans="1:13">
      <c r="A277" s="9" t="s">
        <v>877</v>
      </c>
      <c r="B277" s="9" t="s">
        <v>1526</v>
      </c>
      <c r="C277" s="9" t="s">
        <v>1479</v>
      </c>
      <c r="D277" s="4" t="s">
        <v>878</v>
      </c>
      <c r="E277" s="14" t="s">
        <v>878</v>
      </c>
      <c r="F277" s="14" t="s">
        <v>879</v>
      </c>
      <c r="G277" s="14" t="s">
        <v>877</v>
      </c>
      <c r="H277" s="9" t="s">
        <v>2014</v>
      </c>
      <c r="I277" s="3">
        <v>2465466.4768559658</v>
      </c>
      <c r="J277" s="3">
        <v>357697.2983647022</v>
      </c>
      <c r="K277" s="3">
        <f t="shared" si="10"/>
        <v>2823163.7752206679</v>
      </c>
      <c r="L277" s="3">
        <f>IFERROR(INDEX('CHIRP Payment Calc'!K:K,MATCH(A:A,'CHIRP Payment Calc'!A:A,0)),0)</f>
        <v>4576539.6363991722</v>
      </c>
      <c r="M277" s="3">
        <f t="shared" si="11"/>
        <v>-1753375.8611785043</v>
      </c>
    </row>
    <row r="278" spans="1:13">
      <c r="A278" s="9" t="s">
        <v>871</v>
      </c>
      <c r="B278" s="9" t="s">
        <v>1526</v>
      </c>
      <c r="C278" s="9" t="s">
        <v>1479</v>
      </c>
      <c r="D278" s="4" t="s">
        <v>872</v>
      </c>
      <c r="E278" s="14" t="s">
        <v>872</v>
      </c>
      <c r="F278" s="14" t="s">
        <v>873</v>
      </c>
      <c r="G278" s="14" t="s">
        <v>871</v>
      </c>
      <c r="H278" s="9" t="s">
        <v>2013</v>
      </c>
      <c r="I278" s="3">
        <v>1640917.1041809272</v>
      </c>
      <c r="J278" s="3">
        <v>288627.48277881526</v>
      </c>
      <c r="K278" s="3">
        <f t="shared" si="10"/>
        <v>1929544.5869597425</v>
      </c>
      <c r="L278" s="3">
        <f>IFERROR(INDEX('CHIRP Payment Calc'!K:K,MATCH(A:A,'CHIRP Payment Calc'!A:A,0)),0)</f>
        <v>3004267.4134873562</v>
      </c>
      <c r="M278" s="3">
        <f t="shared" si="11"/>
        <v>-1074722.8265276137</v>
      </c>
    </row>
    <row r="279" spans="1:13">
      <c r="A279" s="9" t="s">
        <v>722</v>
      </c>
      <c r="B279" s="9" t="s">
        <v>1526</v>
      </c>
      <c r="C279" s="9" t="s">
        <v>1479</v>
      </c>
      <c r="D279" s="4" t="s">
        <v>723</v>
      </c>
      <c r="E279" s="14" t="s">
        <v>723</v>
      </c>
      <c r="F279" s="14" t="s">
        <v>724</v>
      </c>
      <c r="G279" s="14" t="s">
        <v>722</v>
      </c>
      <c r="H279" s="9" t="s">
        <v>2012</v>
      </c>
      <c r="I279" s="3">
        <v>1822901.5435792729</v>
      </c>
      <c r="J279" s="3">
        <v>208239.70587281891</v>
      </c>
      <c r="K279" s="3">
        <f t="shared" si="10"/>
        <v>2031141.2494520918</v>
      </c>
      <c r="L279" s="3">
        <f>IFERROR(INDEX('CHIRP Payment Calc'!K:K,MATCH(A:A,'CHIRP Payment Calc'!A:A,0)),0)</f>
        <v>3334734.5390716186</v>
      </c>
      <c r="M279" s="3">
        <f t="shared" si="11"/>
        <v>-1303593.2896195268</v>
      </c>
    </row>
    <row r="280" spans="1:13">
      <c r="A280" s="9" t="s">
        <v>1177</v>
      </c>
      <c r="B280" s="9" t="s">
        <v>1526</v>
      </c>
      <c r="C280" s="9" t="s">
        <v>1545</v>
      </c>
      <c r="D280" s="4" t="s">
        <v>1178</v>
      </c>
      <c r="E280" s="14" t="s">
        <v>1178</v>
      </c>
      <c r="F280" s="14" t="s">
        <v>1179</v>
      </c>
      <c r="G280" s="14" t="s">
        <v>1177</v>
      </c>
      <c r="H280" s="9" t="s">
        <v>1575</v>
      </c>
      <c r="I280" s="3">
        <v>282180.94814516098</v>
      </c>
      <c r="J280" s="3">
        <v>53994.649268879853</v>
      </c>
      <c r="K280" s="3">
        <f t="shared" si="10"/>
        <v>336175.59741404082</v>
      </c>
      <c r="L280" s="3">
        <f>IFERROR(INDEX('CHIRP Payment Calc'!K:K,MATCH(A:A,'CHIRP Payment Calc'!A:A,0)),0)</f>
        <v>389711.27868099755</v>
      </c>
      <c r="M280" s="3">
        <f t="shared" si="11"/>
        <v>-53535.68126695673</v>
      </c>
    </row>
    <row r="281" spans="1:13">
      <c r="A281" s="9" t="s">
        <v>1075</v>
      </c>
      <c r="B281" s="9" t="s">
        <v>1526</v>
      </c>
      <c r="C281" s="9" t="s">
        <v>1545</v>
      </c>
      <c r="D281" s="4" t="s">
        <v>1076</v>
      </c>
      <c r="E281" s="14" t="s">
        <v>1076</v>
      </c>
      <c r="F281" s="14" t="s">
        <v>1077</v>
      </c>
      <c r="G281" s="14" t="s">
        <v>1075</v>
      </c>
      <c r="H281" s="9" t="s">
        <v>2011</v>
      </c>
      <c r="I281" s="3">
        <v>235393.15791173824</v>
      </c>
      <c r="J281" s="3">
        <v>75164.153454578627</v>
      </c>
      <c r="K281" s="3">
        <f t="shared" si="10"/>
        <v>310557.31136631686</v>
      </c>
      <c r="L281" s="3">
        <f>IFERROR(INDEX('CHIRP Payment Calc'!K:K,MATCH(A:A,'CHIRP Payment Calc'!A:A,0)),0)</f>
        <v>380236.32799819496</v>
      </c>
      <c r="M281" s="3">
        <f t="shared" si="11"/>
        <v>-69679.016631878098</v>
      </c>
    </row>
    <row r="282" spans="1:13">
      <c r="A282" s="9" t="s">
        <v>683</v>
      </c>
      <c r="B282" s="9" t="s">
        <v>1526</v>
      </c>
      <c r="C282" s="9" t="s">
        <v>1545</v>
      </c>
      <c r="D282" s="4" t="s">
        <v>684</v>
      </c>
      <c r="E282" s="14" t="s">
        <v>684</v>
      </c>
      <c r="F282" s="14" t="s">
        <v>685</v>
      </c>
      <c r="G282" s="14" t="s">
        <v>683</v>
      </c>
      <c r="H282" s="9" t="s">
        <v>2010</v>
      </c>
      <c r="I282" s="3">
        <v>1569035.1370297181</v>
      </c>
      <c r="J282" s="3">
        <v>124969.04849284602</v>
      </c>
      <c r="K282" s="3">
        <f t="shared" si="10"/>
        <v>1694004.1855225642</v>
      </c>
      <c r="L282" s="3">
        <f>IFERROR(INDEX('CHIRP Payment Calc'!K:K,MATCH(A:A,'CHIRP Payment Calc'!A:A,0)),0)</f>
        <v>2524534.5779356612</v>
      </c>
      <c r="M282" s="3">
        <f t="shared" si="11"/>
        <v>-830530.39241309697</v>
      </c>
    </row>
    <row r="283" spans="1:13">
      <c r="A283" s="9" t="s">
        <v>786</v>
      </c>
      <c r="B283" s="9" t="s">
        <v>1526</v>
      </c>
      <c r="C283" s="9" t="s">
        <v>1545</v>
      </c>
      <c r="D283" s="4" t="s">
        <v>787</v>
      </c>
      <c r="E283" s="14" t="s">
        <v>787</v>
      </c>
      <c r="F283" s="14" t="s">
        <v>788</v>
      </c>
      <c r="G283" s="14" t="s">
        <v>786</v>
      </c>
      <c r="H283" s="9" t="s">
        <v>1672</v>
      </c>
      <c r="I283" s="3">
        <v>332286.71797208185</v>
      </c>
      <c r="J283" s="3">
        <v>65248.742783338341</v>
      </c>
      <c r="K283" s="3">
        <f t="shared" si="10"/>
        <v>397535.46075542021</v>
      </c>
      <c r="L283" s="3">
        <f>IFERROR(INDEX('CHIRP Payment Calc'!K:K,MATCH(A:A,'CHIRP Payment Calc'!A:A,0)),0)</f>
        <v>642407.92262796732</v>
      </c>
      <c r="M283" s="3">
        <f t="shared" si="11"/>
        <v>-244872.46187254711</v>
      </c>
    </row>
    <row r="284" spans="1:13">
      <c r="A284" s="9" t="s">
        <v>1086</v>
      </c>
      <c r="B284" s="9" t="s">
        <v>1526</v>
      </c>
      <c r="C284" s="9" t="s">
        <v>1545</v>
      </c>
      <c r="D284" s="4" t="s">
        <v>1087</v>
      </c>
      <c r="E284" s="14" t="s">
        <v>1087</v>
      </c>
      <c r="F284" s="14" t="s">
        <v>1088</v>
      </c>
      <c r="G284" s="14" t="s">
        <v>1086</v>
      </c>
      <c r="H284" s="9" t="s">
        <v>2009</v>
      </c>
      <c r="I284" s="3">
        <v>542903.67173780466</v>
      </c>
      <c r="J284" s="3">
        <v>195823.1424951845</v>
      </c>
      <c r="K284" s="3">
        <f t="shared" si="10"/>
        <v>738726.81423298921</v>
      </c>
      <c r="L284" s="3">
        <f>IFERROR(INDEX('CHIRP Payment Calc'!K:K,MATCH(A:A,'CHIRP Payment Calc'!A:A,0)),0)</f>
        <v>1190064.8468976691</v>
      </c>
      <c r="M284" s="3">
        <f t="shared" si="11"/>
        <v>-451338.03266467992</v>
      </c>
    </row>
    <row r="285" spans="1:13">
      <c r="A285" s="9" t="s">
        <v>813</v>
      </c>
      <c r="B285" s="9" t="s">
        <v>1526</v>
      </c>
      <c r="C285" s="9" t="s">
        <v>1545</v>
      </c>
      <c r="D285" s="4" t="s">
        <v>814</v>
      </c>
      <c r="E285" s="14" t="s">
        <v>814</v>
      </c>
      <c r="F285" s="14" t="s">
        <v>815</v>
      </c>
      <c r="G285" s="14" t="s">
        <v>813</v>
      </c>
      <c r="H285" s="9" t="s">
        <v>2008</v>
      </c>
      <c r="I285" s="3">
        <v>113072.77982644046</v>
      </c>
      <c r="J285" s="3">
        <v>52815.162862384474</v>
      </c>
      <c r="K285" s="3">
        <f t="shared" si="10"/>
        <v>165887.94268882493</v>
      </c>
      <c r="L285" s="3">
        <f>IFERROR(INDEX('CHIRP Payment Calc'!K:K,MATCH(A:A,'CHIRP Payment Calc'!A:A,0)),0)</f>
        <v>300536.47109243623</v>
      </c>
      <c r="M285" s="3">
        <f t="shared" si="11"/>
        <v>-134648.5284036113</v>
      </c>
    </row>
    <row r="286" spans="1:13">
      <c r="A286" s="9" t="s">
        <v>1152</v>
      </c>
      <c r="B286" s="9" t="s">
        <v>1526</v>
      </c>
      <c r="C286" s="9" t="s">
        <v>1554</v>
      </c>
      <c r="D286" s="4" t="s">
        <v>1153</v>
      </c>
      <c r="E286" s="14" t="s">
        <v>1153</v>
      </c>
      <c r="F286" s="14" t="s">
        <v>1154</v>
      </c>
      <c r="G286" s="14" t="s">
        <v>1152</v>
      </c>
      <c r="H286" s="9" t="s">
        <v>1588</v>
      </c>
      <c r="I286" s="3">
        <v>21566929.698444266</v>
      </c>
      <c r="J286" s="3">
        <v>11818238.551683938</v>
      </c>
      <c r="K286" s="3">
        <f t="shared" si="10"/>
        <v>33385168.250128202</v>
      </c>
      <c r="L286" s="3">
        <f>IFERROR(INDEX('CHIRP Payment Calc'!K:K,MATCH(A:A,'CHIRP Payment Calc'!A:A,0)),0)</f>
        <v>42907280.969923422</v>
      </c>
      <c r="M286" s="3">
        <f t="shared" si="11"/>
        <v>-9522112.7197952196</v>
      </c>
    </row>
    <row r="287" spans="1:13">
      <c r="A287" s="9" t="s">
        <v>1758</v>
      </c>
      <c r="B287" s="9" t="s">
        <v>1486</v>
      </c>
      <c r="C287" s="9" t="s">
        <v>1801</v>
      </c>
      <c r="D287" s="4" t="s">
        <v>1759</v>
      </c>
      <c r="E287" s="14" t="s">
        <v>1759</v>
      </c>
      <c r="F287" s="14" t="s">
        <v>1769</v>
      </c>
      <c r="G287" s="14" t="s">
        <v>1758</v>
      </c>
      <c r="H287" s="9" t="s">
        <v>2007</v>
      </c>
      <c r="I287" s="3">
        <v>581622.5779796635</v>
      </c>
      <c r="J287" s="3">
        <v>0</v>
      </c>
      <c r="K287" s="3">
        <f t="shared" si="10"/>
        <v>581622.5779796635</v>
      </c>
      <c r="L287" s="3">
        <f>IFERROR(INDEX('CHIRP Payment Calc'!K:K,MATCH(A:A,'CHIRP Payment Calc'!A:A,0)),0)</f>
        <v>0</v>
      </c>
      <c r="M287" s="3">
        <f t="shared" si="11"/>
        <v>581622.5779796635</v>
      </c>
    </row>
    <row r="288" spans="1:13">
      <c r="A288" s="9" t="s">
        <v>1259</v>
      </c>
      <c r="B288" s="9" t="s">
        <v>1486</v>
      </c>
      <c r="C288" s="9" t="s">
        <v>1801</v>
      </c>
      <c r="D288" s="4" t="s">
        <v>1260</v>
      </c>
      <c r="E288" s="14" t="s">
        <v>1260</v>
      </c>
      <c r="F288" s="14" t="s">
        <v>1261</v>
      </c>
      <c r="G288" s="14" t="s">
        <v>1259</v>
      </c>
      <c r="H288" s="9" t="s">
        <v>2006</v>
      </c>
      <c r="I288" s="3">
        <v>1664901.3700215635</v>
      </c>
      <c r="J288" s="3">
        <v>0</v>
      </c>
      <c r="K288" s="3">
        <f t="shared" si="10"/>
        <v>1664901.3700215635</v>
      </c>
      <c r="L288" s="3">
        <f>IFERROR(INDEX('CHIRP Payment Calc'!K:K,MATCH(A:A,'CHIRP Payment Calc'!A:A,0)),0)</f>
        <v>2330625.7615446094</v>
      </c>
      <c r="M288" s="3">
        <f t="shared" si="11"/>
        <v>-665724.39152304595</v>
      </c>
    </row>
    <row r="289" spans="1:13">
      <c r="A289" s="9" t="s">
        <v>1682</v>
      </c>
      <c r="B289" s="9" t="s">
        <v>227</v>
      </c>
      <c r="C289" s="9" t="s">
        <v>1545</v>
      </c>
      <c r="D289" s="4" t="s">
        <v>1683</v>
      </c>
      <c r="E289" s="14" t="s">
        <v>1683</v>
      </c>
      <c r="F289" s="14" t="e">
        <v>#N/A</v>
      </c>
      <c r="G289" s="14" t="s">
        <v>1682</v>
      </c>
      <c r="H289" s="9" t="s">
        <v>1900</v>
      </c>
      <c r="I289" s="3">
        <v>18016.174845078149</v>
      </c>
      <c r="J289" s="3">
        <v>0</v>
      </c>
      <c r="K289" s="3">
        <f t="shared" si="10"/>
        <v>18016.174845078149</v>
      </c>
      <c r="L289" s="3">
        <f>IFERROR(INDEX('CHIRP Payment Calc'!K:K,MATCH(A:A,'CHIRP Payment Calc'!A:A,0)),0)</f>
        <v>0</v>
      </c>
      <c r="M289" s="3">
        <f t="shared" si="11"/>
        <v>18016.174845078149</v>
      </c>
    </row>
    <row r="290" spans="1:13">
      <c r="A290" s="9" t="e">
        <v>#N/A</v>
      </c>
      <c r="B290" s="9" t="s">
        <v>1486</v>
      </c>
      <c r="C290" s="9" t="s">
        <v>222</v>
      </c>
      <c r="D290" s="4" t="s">
        <v>2004</v>
      </c>
      <c r="E290" s="14" t="e">
        <v>#N/A</v>
      </c>
      <c r="F290" s="14" t="e">
        <v>#N/A</v>
      </c>
      <c r="G290" s="14" t="e">
        <v>#N/A</v>
      </c>
      <c r="H290" s="9" t="s">
        <v>1708</v>
      </c>
      <c r="I290" s="3">
        <v>0</v>
      </c>
      <c r="J290" s="3">
        <v>0</v>
      </c>
      <c r="K290" s="3">
        <f t="shared" si="10"/>
        <v>0</v>
      </c>
      <c r="L290" s="3">
        <f>IFERROR(INDEX('CHIRP Payment Calc'!K:K,MATCH(A:A,'CHIRP Payment Calc'!A:A,0)),0)</f>
        <v>0</v>
      </c>
      <c r="M290" s="3">
        <f t="shared" si="11"/>
        <v>0</v>
      </c>
    </row>
    <row r="291" spans="1:13">
      <c r="A291" s="9" t="s">
        <v>983</v>
      </c>
      <c r="B291" s="9" t="s">
        <v>1486</v>
      </c>
      <c r="C291" s="9" t="s">
        <v>222</v>
      </c>
      <c r="D291" s="4" t="s">
        <v>984</v>
      </c>
      <c r="E291" s="14" t="s">
        <v>984</v>
      </c>
      <c r="F291" s="14" t="s">
        <v>985</v>
      </c>
      <c r="G291" s="14" t="s">
        <v>983</v>
      </c>
      <c r="H291" s="9" t="s">
        <v>2003</v>
      </c>
      <c r="I291" s="3">
        <v>4642980.1074892404</v>
      </c>
      <c r="J291" s="3">
        <v>5048232.9710146077</v>
      </c>
      <c r="K291" s="3">
        <f t="shared" si="10"/>
        <v>9691213.0785038471</v>
      </c>
      <c r="L291" s="3">
        <f>IFERROR(INDEX('CHIRP Payment Calc'!K:K,MATCH(A:A,'CHIRP Payment Calc'!A:A,0)),0)</f>
        <v>11969167.319525206</v>
      </c>
      <c r="M291" s="3">
        <f t="shared" si="11"/>
        <v>-2277954.2410213593</v>
      </c>
    </row>
    <row r="292" spans="1:13">
      <c r="A292" s="9" t="s">
        <v>1001</v>
      </c>
      <c r="B292" s="9" t="s">
        <v>1486</v>
      </c>
      <c r="C292" s="9" t="s">
        <v>222</v>
      </c>
      <c r="D292" s="4" t="s">
        <v>1002</v>
      </c>
      <c r="E292" s="14" t="s">
        <v>1002</v>
      </c>
      <c r="F292" s="14" t="s">
        <v>1003</v>
      </c>
      <c r="G292" s="14" t="s">
        <v>1001</v>
      </c>
      <c r="H292" s="9" t="s">
        <v>1003</v>
      </c>
      <c r="I292" s="3">
        <v>4107239.5974255716</v>
      </c>
      <c r="J292" s="3">
        <v>2093939.5822948362</v>
      </c>
      <c r="K292" s="3">
        <f t="shared" si="10"/>
        <v>6201179.1797204074</v>
      </c>
      <c r="L292" s="3">
        <f>IFERROR(INDEX('CHIRP Payment Calc'!K:K,MATCH(A:A,'CHIRP Payment Calc'!A:A,0)),0)</f>
        <v>7845743.4259802243</v>
      </c>
      <c r="M292" s="3">
        <f t="shared" si="11"/>
        <v>-1644564.2462598169</v>
      </c>
    </row>
    <row r="293" spans="1:13">
      <c r="A293" s="9" t="s">
        <v>1709</v>
      </c>
      <c r="B293" s="9" t="s">
        <v>1486</v>
      </c>
      <c r="C293" s="9" t="s">
        <v>222</v>
      </c>
      <c r="D293" s="4" t="s">
        <v>1710</v>
      </c>
      <c r="E293" s="14" t="s">
        <v>1710</v>
      </c>
      <c r="F293" s="14" t="s">
        <v>1708</v>
      </c>
      <c r="G293" s="14" t="s">
        <v>1709</v>
      </c>
      <c r="H293" s="9" t="s">
        <v>1708</v>
      </c>
      <c r="I293" s="3">
        <v>518463.84957458341</v>
      </c>
      <c r="J293" s="3">
        <v>848794.87115640775</v>
      </c>
      <c r="K293" s="3">
        <f t="shared" si="10"/>
        <v>1367258.7207309911</v>
      </c>
      <c r="L293" s="3">
        <f>IFERROR(INDEX('CHIRP Payment Calc'!K:K,MATCH(A:A,'CHIRP Payment Calc'!A:A,0)),0)</f>
        <v>0</v>
      </c>
      <c r="M293" s="3">
        <f t="shared" si="11"/>
        <v>1367258.7207309911</v>
      </c>
    </row>
    <row r="294" spans="1:13">
      <c r="A294" s="9" t="s">
        <v>1010</v>
      </c>
      <c r="B294" s="9" t="s">
        <v>1486</v>
      </c>
      <c r="C294" s="9" t="s">
        <v>222</v>
      </c>
      <c r="D294" s="4" t="s">
        <v>1011</v>
      </c>
      <c r="E294" s="14" t="s">
        <v>1011</v>
      </c>
      <c r="F294" s="14" t="s">
        <v>1012</v>
      </c>
      <c r="G294" s="14" t="s">
        <v>1010</v>
      </c>
      <c r="H294" s="9" t="s">
        <v>2002</v>
      </c>
      <c r="I294" s="3">
        <v>41915165.55581975</v>
      </c>
      <c r="J294" s="3">
        <v>23540180.050262332</v>
      </c>
      <c r="K294" s="3">
        <f t="shared" si="10"/>
        <v>65455345.606082082</v>
      </c>
      <c r="L294" s="3">
        <f>IFERROR(INDEX('CHIRP Payment Calc'!K:K,MATCH(A:A,'CHIRP Payment Calc'!A:A,0)),0)</f>
        <v>79184275.578117639</v>
      </c>
      <c r="M294" s="3">
        <f t="shared" si="11"/>
        <v>-13728929.972035557</v>
      </c>
    </row>
    <row r="295" spans="1:13">
      <c r="A295" s="9" t="s">
        <v>1586</v>
      </c>
      <c r="B295" s="9" t="s">
        <v>310</v>
      </c>
      <c r="C295" s="9" t="s">
        <v>1582</v>
      </c>
      <c r="D295" s="4" t="s">
        <v>1587</v>
      </c>
      <c r="E295" s="14" t="s">
        <v>1587</v>
      </c>
      <c r="F295" s="14" t="e">
        <v>#N/A</v>
      </c>
      <c r="G295" s="14" t="s">
        <v>1586</v>
      </c>
      <c r="H295" s="9" t="s">
        <v>1943</v>
      </c>
      <c r="I295" s="3">
        <v>705623.8059892942</v>
      </c>
      <c r="J295" s="3">
        <v>3231017.1790430392</v>
      </c>
      <c r="K295" s="3">
        <f t="shared" si="10"/>
        <v>3936640.9850323335</v>
      </c>
      <c r="L295" s="3">
        <f>IFERROR(INDEX('CHIRP Payment Calc'!K:K,MATCH(A:A,'CHIRP Payment Calc'!A:A,0)),0)</f>
        <v>3725111.3146477584</v>
      </c>
      <c r="M295" s="3">
        <f t="shared" si="11"/>
        <v>211529.67038457515</v>
      </c>
    </row>
    <row r="296" spans="1:13">
      <c r="A296" s="9" t="s">
        <v>886</v>
      </c>
      <c r="B296" s="9" t="s">
        <v>1486</v>
      </c>
      <c r="C296" s="9" t="s">
        <v>222</v>
      </c>
      <c r="D296" s="4" t="s">
        <v>887</v>
      </c>
      <c r="E296" s="14" t="s">
        <v>887</v>
      </c>
      <c r="F296" s="14" t="s">
        <v>888</v>
      </c>
      <c r="G296" s="14" t="s">
        <v>886</v>
      </c>
      <c r="H296" s="9" t="s">
        <v>2001</v>
      </c>
      <c r="I296" s="3">
        <v>5438461.8911098223</v>
      </c>
      <c r="J296" s="3">
        <v>2405628.4099425836</v>
      </c>
      <c r="K296" s="3">
        <f t="shared" si="10"/>
        <v>7844090.3010524064</v>
      </c>
      <c r="L296" s="3">
        <f>IFERROR(INDEX('CHIRP Payment Calc'!K:K,MATCH(A:A,'CHIRP Payment Calc'!A:A,0)),0)</f>
        <v>10534814.455133494</v>
      </c>
      <c r="M296" s="3">
        <f t="shared" si="11"/>
        <v>-2690724.1540810876</v>
      </c>
    </row>
    <row r="297" spans="1:13">
      <c r="A297" s="9" t="s">
        <v>43</v>
      </c>
      <c r="B297" s="9" t="s">
        <v>1486</v>
      </c>
      <c r="C297" s="9" t="s">
        <v>222</v>
      </c>
      <c r="D297" s="4" t="s">
        <v>44</v>
      </c>
      <c r="E297" s="14" t="s">
        <v>44</v>
      </c>
      <c r="F297" s="14" t="s">
        <v>45</v>
      </c>
      <c r="G297" s="14" t="s">
        <v>43</v>
      </c>
      <c r="H297" s="9" t="s">
        <v>2000</v>
      </c>
      <c r="I297" s="3">
        <v>173.08225770657069</v>
      </c>
      <c r="J297" s="3">
        <v>3127.5858901756687</v>
      </c>
      <c r="K297" s="3">
        <f t="shared" si="10"/>
        <v>3300.6681478822393</v>
      </c>
      <c r="L297" s="3">
        <f>IFERROR(INDEX('CHIRP Payment Calc'!K:K,MATCH(A:A,'CHIRP Payment Calc'!A:A,0)),0)</f>
        <v>0</v>
      </c>
      <c r="M297" s="3">
        <f t="shared" si="11"/>
        <v>3300.6681478822393</v>
      </c>
    </row>
    <row r="298" spans="1:13">
      <c r="A298" s="9" t="s">
        <v>750</v>
      </c>
      <c r="B298" s="9" t="s">
        <v>1486</v>
      </c>
      <c r="C298" s="9" t="s">
        <v>222</v>
      </c>
      <c r="D298" s="4" t="s">
        <v>751</v>
      </c>
      <c r="E298" s="14" t="s">
        <v>751</v>
      </c>
      <c r="F298" s="14" t="s">
        <v>752</v>
      </c>
      <c r="G298" s="14" t="s">
        <v>750</v>
      </c>
      <c r="H298" s="9" t="s">
        <v>1999</v>
      </c>
      <c r="I298" s="3">
        <v>4013904.1822172455</v>
      </c>
      <c r="J298" s="3">
        <v>1373674.4565468866</v>
      </c>
      <c r="K298" s="3">
        <f t="shared" si="10"/>
        <v>5387578.6387641318</v>
      </c>
      <c r="L298" s="3">
        <f>IFERROR(INDEX('CHIRP Payment Calc'!K:K,MATCH(A:A,'CHIRP Payment Calc'!A:A,0)),0)</f>
        <v>7582091.7977959001</v>
      </c>
      <c r="M298" s="3">
        <f t="shared" si="11"/>
        <v>-2194513.1590317683</v>
      </c>
    </row>
    <row r="299" spans="1:13">
      <c r="A299" s="9" t="s">
        <v>2326</v>
      </c>
      <c r="C299" s="9" t="s">
        <v>1801</v>
      </c>
      <c r="D299" s="4" t="s">
        <v>1805</v>
      </c>
      <c r="E299" s="14" t="s">
        <v>2326</v>
      </c>
      <c r="F299" s="14" t="e">
        <v>#N/A</v>
      </c>
      <c r="G299" s="14" t="s">
        <v>2326</v>
      </c>
      <c r="H299" s="9" t="s">
        <v>1804</v>
      </c>
      <c r="I299" s="3">
        <v>843613.62284534564</v>
      </c>
      <c r="J299" s="3">
        <v>0</v>
      </c>
      <c r="K299" s="3">
        <f t="shared" si="10"/>
        <v>843613.62284534564</v>
      </c>
      <c r="L299" s="3">
        <f>IFERROR(INDEX('CHIRP Payment Calc'!K:K,MATCH(A:A,'CHIRP Payment Calc'!A:A,0)),0)</f>
        <v>0</v>
      </c>
      <c r="M299" s="3">
        <f t="shared" si="11"/>
        <v>843613.62284534564</v>
      </c>
    </row>
    <row r="300" spans="1:13">
      <c r="A300" s="9" t="s">
        <v>1511</v>
      </c>
      <c r="B300" s="9" t="s">
        <v>1486</v>
      </c>
      <c r="C300" s="9" t="s">
        <v>222</v>
      </c>
      <c r="D300" s="4" t="s">
        <v>1512</v>
      </c>
      <c r="E300" s="14" t="s">
        <v>1512</v>
      </c>
      <c r="F300" s="14" t="s">
        <v>1513</v>
      </c>
      <c r="G300" s="14" t="s">
        <v>1511</v>
      </c>
      <c r="H300" s="9" t="s">
        <v>1997</v>
      </c>
      <c r="I300" s="3">
        <v>19882.357711723798</v>
      </c>
      <c r="J300" s="3">
        <v>125127.17178941591</v>
      </c>
      <c r="K300" s="3">
        <f t="shared" si="10"/>
        <v>145009.52950113971</v>
      </c>
      <c r="L300" s="3">
        <f>IFERROR(INDEX('CHIRP Payment Calc'!K:K,MATCH(A:A,'CHIRP Payment Calc'!A:A,0)),0)</f>
        <v>277707.83540715958</v>
      </c>
      <c r="M300" s="3">
        <f t="shared" si="11"/>
        <v>-132698.30590601987</v>
      </c>
    </row>
    <row r="301" spans="1:13">
      <c r="A301" s="9" t="s">
        <v>995</v>
      </c>
      <c r="B301" s="9" t="s">
        <v>1486</v>
      </c>
      <c r="C301" s="9" t="s">
        <v>222</v>
      </c>
      <c r="D301" s="4" t="s">
        <v>996</v>
      </c>
      <c r="E301" s="14" t="s">
        <v>996</v>
      </c>
      <c r="F301" s="14" t="s">
        <v>997</v>
      </c>
      <c r="G301" s="14" t="s">
        <v>995</v>
      </c>
      <c r="H301" s="9" t="s">
        <v>1625</v>
      </c>
      <c r="I301" s="3">
        <v>5798591.1754025333</v>
      </c>
      <c r="J301" s="3">
        <v>5626779.5684574097</v>
      </c>
      <c r="K301" s="3">
        <f t="shared" si="10"/>
        <v>11425370.743859943</v>
      </c>
      <c r="L301" s="3">
        <f>IFERROR(INDEX('CHIRP Payment Calc'!K:K,MATCH(A:A,'CHIRP Payment Calc'!A:A,0)),0)</f>
        <v>15207194.201072043</v>
      </c>
      <c r="M301" s="3">
        <f t="shared" si="11"/>
        <v>-3781823.4572120998</v>
      </c>
    </row>
    <row r="302" spans="1:13">
      <c r="A302" s="9" t="s">
        <v>1484</v>
      </c>
      <c r="B302" s="9" t="s">
        <v>1486</v>
      </c>
      <c r="C302" s="9" t="s">
        <v>1479</v>
      </c>
      <c r="D302" s="4" t="s">
        <v>915</v>
      </c>
      <c r="E302" s="14" t="s">
        <v>915</v>
      </c>
      <c r="F302" s="14" t="s">
        <v>916</v>
      </c>
      <c r="G302" s="14" t="s">
        <v>914</v>
      </c>
      <c r="H302" s="9" t="s">
        <v>1996</v>
      </c>
      <c r="I302" s="3">
        <v>912256.89023294509</v>
      </c>
      <c r="J302" s="3">
        <v>416137.52385825902</v>
      </c>
      <c r="K302" s="3">
        <f t="shared" si="10"/>
        <v>1328394.4140912041</v>
      </c>
      <c r="L302" s="3">
        <f>IFERROR(INDEX('CHIRP Payment Calc'!K:K,MATCH(A:A,'CHIRP Payment Calc'!A:A,0)),0)</f>
        <v>1361428.7722387896</v>
      </c>
      <c r="M302" s="3">
        <f t="shared" si="11"/>
        <v>-33034.358147585532</v>
      </c>
    </row>
    <row r="303" spans="1:13">
      <c r="A303" s="9" t="s">
        <v>1013</v>
      </c>
      <c r="B303" s="9" t="s">
        <v>1486</v>
      </c>
      <c r="C303" s="9" t="s">
        <v>1479</v>
      </c>
      <c r="D303" s="4" t="s">
        <v>1014</v>
      </c>
      <c r="E303" s="14" t="s">
        <v>1014</v>
      </c>
      <c r="F303" s="14" t="s">
        <v>1015</v>
      </c>
      <c r="G303" s="14" t="s">
        <v>1013</v>
      </c>
      <c r="H303" s="9" t="s">
        <v>1995</v>
      </c>
      <c r="I303" s="3">
        <v>1260375.0494781735</v>
      </c>
      <c r="J303" s="3">
        <v>808060.75542203593</v>
      </c>
      <c r="K303" s="3">
        <f t="shared" si="10"/>
        <v>2068435.8049002094</v>
      </c>
      <c r="L303" s="3">
        <f>IFERROR(INDEX('CHIRP Payment Calc'!K:K,MATCH(A:A,'CHIRP Payment Calc'!A:A,0)),0)</f>
        <v>3365293.891264678</v>
      </c>
      <c r="M303" s="3">
        <f t="shared" si="11"/>
        <v>-1296858.0863644686</v>
      </c>
    </row>
    <row r="304" spans="1:13">
      <c r="A304" s="9" t="s">
        <v>725</v>
      </c>
      <c r="B304" s="9" t="s">
        <v>1486</v>
      </c>
      <c r="C304" s="9" t="s">
        <v>1479</v>
      </c>
      <c r="D304" s="4" t="s">
        <v>726</v>
      </c>
      <c r="E304" s="14" t="s">
        <v>726</v>
      </c>
      <c r="F304" s="14" t="s">
        <v>727</v>
      </c>
      <c r="G304" s="14" t="s">
        <v>725</v>
      </c>
      <c r="H304" s="9" t="s">
        <v>1685</v>
      </c>
      <c r="I304" s="3">
        <v>368406.76492578047</v>
      </c>
      <c r="J304" s="3">
        <v>175806.38839404582</v>
      </c>
      <c r="K304" s="3">
        <f t="shared" si="10"/>
        <v>544213.15331982635</v>
      </c>
      <c r="L304" s="3">
        <f>IFERROR(INDEX('CHIRP Payment Calc'!K:K,MATCH(A:A,'CHIRP Payment Calc'!A:A,0)),0)</f>
        <v>796553.46160503244</v>
      </c>
      <c r="M304" s="3">
        <f t="shared" si="11"/>
        <v>-252340.30828520609</v>
      </c>
    </row>
    <row r="305" spans="1:13">
      <c r="A305" s="9" t="s">
        <v>545</v>
      </c>
      <c r="B305" s="9" t="s">
        <v>1486</v>
      </c>
      <c r="C305" s="9" t="s">
        <v>1479</v>
      </c>
      <c r="D305" s="4" t="s">
        <v>546</v>
      </c>
      <c r="E305" s="14" t="s">
        <v>546</v>
      </c>
      <c r="F305" s="14" t="s">
        <v>547</v>
      </c>
      <c r="G305" s="14" t="s">
        <v>545</v>
      </c>
      <c r="H305" s="9" t="s">
        <v>1994</v>
      </c>
      <c r="I305" s="3">
        <v>112949.76048118617</v>
      </c>
      <c r="J305" s="3">
        <v>151571.24406484253</v>
      </c>
      <c r="K305" s="3">
        <f t="shared" si="10"/>
        <v>264521.00454602868</v>
      </c>
      <c r="L305" s="3">
        <f>IFERROR(INDEX('CHIRP Payment Calc'!K:K,MATCH(A:A,'CHIRP Payment Calc'!A:A,0)),0)</f>
        <v>332554.03863951069</v>
      </c>
      <c r="M305" s="3">
        <f t="shared" si="11"/>
        <v>-68033.034093482012</v>
      </c>
    </row>
    <row r="306" spans="1:13">
      <c r="A306" s="9" t="s">
        <v>1627</v>
      </c>
      <c r="B306" s="9" t="s">
        <v>1486</v>
      </c>
      <c r="C306" s="9" t="s">
        <v>1479</v>
      </c>
      <c r="D306" s="4" t="s">
        <v>1628</v>
      </c>
      <c r="E306" s="14" t="s">
        <v>1628</v>
      </c>
      <c r="F306" s="14" t="e">
        <v>#N/A</v>
      </c>
      <c r="G306" s="14" t="s">
        <v>1627</v>
      </c>
      <c r="H306" s="9" t="s">
        <v>1993</v>
      </c>
      <c r="I306" s="3">
        <v>0</v>
      </c>
      <c r="J306" s="3">
        <v>0</v>
      </c>
      <c r="K306" s="3">
        <f t="shared" si="10"/>
        <v>0</v>
      </c>
      <c r="L306" s="3">
        <f>IFERROR(INDEX('CHIRP Payment Calc'!K:K,MATCH(A:A,'CHIRP Payment Calc'!A:A,0)),0)</f>
        <v>0</v>
      </c>
      <c r="M306" s="3">
        <f t="shared" si="11"/>
        <v>0</v>
      </c>
    </row>
    <row r="307" spans="1:13">
      <c r="A307" s="9" t="s">
        <v>371</v>
      </c>
      <c r="B307" s="9" t="s">
        <v>1486</v>
      </c>
      <c r="C307" s="9" t="s">
        <v>1479</v>
      </c>
      <c r="D307" s="4" t="s">
        <v>372</v>
      </c>
      <c r="E307" s="14" t="s">
        <v>372</v>
      </c>
      <c r="F307" s="14" t="s">
        <v>373</v>
      </c>
      <c r="G307" s="14" t="s">
        <v>371</v>
      </c>
      <c r="H307" s="9" t="s">
        <v>1992</v>
      </c>
      <c r="I307" s="3">
        <v>254825.00262315501</v>
      </c>
      <c r="J307" s="3">
        <v>133765.52133472444</v>
      </c>
      <c r="K307" s="3">
        <f t="shared" si="10"/>
        <v>388590.52395787946</v>
      </c>
      <c r="L307" s="3">
        <f>IFERROR(INDEX('CHIRP Payment Calc'!K:K,MATCH(A:A,'CHIRP Payment Calc'!A:A,0)),0)</f>
        <v>101518.74729192826</v>
      </c>
      <c r="M307" s="3">
        <f t="shared" si="11"/>
        <v>287071.77666595118</v>
      </c>
    </row>
    <row r="308" spans="1:13">
      <c r="A308" s="9" t="s">
        <v>1706</v>
      </c>
      <c r="B308" s="9" t="s">
        <v>1486</v>
      </c>
      <c r="C308" s="9" t="s">
        <v>1479</v>
      </c>
      <c r="D308" s="4" t="s">
        <v>1707</v>
      </c>
      <c r="E308" s="14" t="s">
        <v>1707</v>
      </c>
      <c r="F308" s="14" t="s">
        <v>1765</v>
      </c>
      <c r="G308" s="14" t="s">
        <v>1706</v>
      </c>
      <c r="H308" s="9" t="s">
        <v>1765</v>
      </c>
      <c r="I308" s="3">
        <v>249853.08289036312</v>
      </c>
      <c r="J308" s="3">
        <v>238658.89959904191</v>
      </c>
      <c r="K308" s="3">
        <f t="shared" si="10"/>
        <v>488511.98248940503</v>
      </c>
      <c r="L308" s="3">
        <f>IFERROR(INDEX('CHIRP Payment Calc'!K:K,MATCH(A:A,'CHIRP Payment Calc'!A:A,0)),0)</f>
        <v>662009.25061476987</v>
      </c>
      <c r="M308" s="3">
        <f t="shared" si="11"/>
        <v>-173497.26812536485</v>
      </c>
    </row>
    <row r="309" spans="1:13">
      <c r="A309" s="9" t="s">
        <v>962</v>
      </c>
      <c r="B309" s="9" t="s">
        <v>1486</v>
      </c>
      <c r="C309" s="9" t="s">
        <v>1479</v>
      </c>
      <c r="D309" s="4" t="s">
        <v>963</v>
      </c>
      <c r="E309" s="14" t="s">
        <v>963</v>
      </c>
      <c r="F309" s="14" t="s">
        <v>964</v>
      </c>
      <c r="G309" s="14" t="s">
        <v>962</v>
      </c>
      <c r="H309" s="9" t="s">
        <v>1639</v>
      </c>
      <c r="I309" s="3">
        <v>543166.04393519624</v>
      </c>
      <c r="J309" s="3">
        <v>279534.86499416851</v>
      </c>
      <c r="K309" s="3">
        <f t="shared" si="10"/>
        <v>822700.90892936476</v>
      </c>
      <c r="L309" s="3">
        <f>IFERROR(INDEX('CHIRP Payment Calc'!K:K,MATCH(A:A,'CHIRP Payment Calc'!A:A,0)),0)</f>
        <v>950428.18811217917</v>
      </c>
      <c r="M309" s="3">
        <f t="shared" si="11"/>
        <v>-127727.27918281441</v>
      </c>
    </row>
    <row r="310" spans="1:13">
      <c r="A310" s="9" t="s">
        <v>753</v>
      </c>
      <c r="B310" s="9" t="s">
        <v>1486</v>
      </c>
      <c r="C310" s="9" t="s">
        <v>1479</v>
      </c>
      <c r="D310" s="4" t="s">
        <v>754</v>
      </c>
      <c r="E310" s="14" t="s">
        <v>754</v>
      </c>
      <c r="F310" s="14" t="s">
        <v>755</v>
      </c>
      <c r="G310" s="14" t="s">
        <v>753</v>
      </c>
      <c r="H310" s="9" t="s">
        <v>1991</v>
      </c>
      <c r="I310" s="3">
        <v>1335291.8891015921</v>
      </c>
      <c r="J310" s="3">
        <v>389795.87805089168</v>
      </c>
      <c r="K310" s="3">
        <f t="shared" si="10"/>
        <v>1725087.7671524838</v>
      </c>
      <c r="L310" s="3">
        <f>IFERROR(INDEX('CHIRP Payment Calc'!K:K,MATCH(A:A,'CHIRP Payment Calc'!A:A,0)),0)</f>
        <v>2684831.0093385279</v>
      </c>
      <c r="M310" s="3">
        <f t="shared" si="11"/>
        <v>-959743.24218604411</v>
      </c>
    </row>
    <row r="311" spans="1:13">
      <c r="A311" s="9" t="s">
        <v>1668</v>
      </c>
      <c r="B311" s="9" t="s">
        <v>1486</v>
      </c>
      <c r="C311" s="9" t="s">
        <v>1479</v>
      </c>
      <c r="D311" s="4" t="s">
        <v>1669</v>
      </c>
      <c r="E311" s="14" t="s">
        <v>1669</v>
      </c>
      <c r="F311" s="14" t="e">
        <v>#N/A</v>
      </c>
      <c r="G311" s="14" t="s">
        <v>1668</v>
      </c>
      <c r="H311" s="9" t="s">
        <v>1667</v>
      </c>
      <c r="I311" s="3">
        <v>0</v>
      </c>
      <c r="J311" s="3">
        <v>0</v>
      </c>
      <c r="K311" s="3">
        <f t="shared" si="10"/>
        <v>0</v>
      </c>
      <c r="L311" s="3">
        <f>IFERROR(INDEX('CHIRP Payment Calc'!K:K,MATCH(A:A,'CHIRP Payment Calc'!A:A,0)),0)</f>
        <v>0</v>
      </c>
      <c r="M311" s="3">
        <f t="shared" si="11"/>
        <v>0</v>
      </c>
    </row>
    <row r="312" spans="1:13">
      <c r="A312" s="9" t="s">
        <v>76</v>
      </c>
      <c r="B312" s="9" t="s">
        <v>1486</v>
      </c>
      <c r="C312" s="9" t="s">
        <v>1479</v>
      </c>
      <c r="D312" s="4" t="s">
        <v>77</v>
      </c>
      <c r="E312" s="14" t="s">
        <v>77</v>
      </c>
      <c r="F312" s="14" t="s">
        <v>78</v>
      </c>
      <c r="G312" s="14" t="s">
        <v>76</v>
      </c>
      <c r="H312" s="9" t="s">
        <v>1990</v>
      </c>
      <c r="I312" s="3">
        <v>1091797.4669126451</v>
      </c>
      <c r="J312" s="3">
        <v>176533.56761278075</v>
      </c>
      <c r="K312" s="3">
        <f t="shared" si="10"/>
        <v>1268331.0345254259</v>
      </c>
      <c r="L312" s="3">
        <f>IFERROR(INDEX('CHIRP Payment Calc'!K:K,MATCH(A:A,'CHIRP Payment Calc'!A:A,0)),0)</f>
        <v>1947449.6181604704</v>
      </c>
      <c r="M312" s="3">
        <f t="shared" si="11"/>
        <v>-679118.58363504452</v>
      </c>
    </row>
    <row r="313" spans="1:13">
      <c r="A313" s="9" t="s">
        <v>542</v>
      </c>
      <c r="B313" s="9" t="s">
        <v>1486</v>
      </c>
      <c r="C313" s="9" t="s">
        <v>1479</v>
      </c>
      <c r="D313" s="4" t="s">
        <v>543</v>
      </c>
      <c r="E313" s="14" t="s">
        <v>543</v>
      </c>
      <c r="F313" s="14" t="s">
        <v>544</v>
      </c>
      <c r="G313" s="14" t="s">
        <v>542</v>
      </c>
      <c r="H313" s="9" t="s">
        <v>1989</v>
      </c>
      <c r="I313" s="3">
        <v>292668.74551867094</v>
      </c>
      <c r="J313" s="3">
        <v>191242.77363600905</v>
      </c>
      <c r="K313" s="3">
        <f t="shared" si="10"/>
        <v>483911.51915467996</v>
      </c>
      <c r="L313" s="3">
        <f>IFERROR(INDEX('CHIRP Payment Calc'!K:K,MATCH(A:A,'CHIRP Payment Calc'!A:A,0)),0)</f>
        <v>549221.50786151015</v>
      </c>
      <c r="M313" s="3">
        <f t="shared" si="11"/>
        <v>-65309.98870683019</v>
      </c>
    </row>
    <row r="314" spans="1:13">
      <c r="A314" s="9" t="s">
        <v>279</v>
      </c>
      <c r="B314" s="9" t="s">
        <v>1486</v>
      </c>
      <c r="C314" s="9" t="s">
        <v>1479</v>
      </c>
      <c r="D314" s="4" t="s">
        <v>280</v>
      </c>
      <c r="E314" s="14" t="s">
        <v>280</v>
      </c>
      <c r="F314" s="14" t="s">
        <v>281</v>
      </c>
      <c r="G314" s="14" t="s">
        <v>279</v>
      </c>
      <c r="H314" s="9" t="s">
        <v>1988</v>
      </c>
      <c r="I314" s="3">
        <v>313048.61270622024</v>
      </c>
      <c r="J314" s="3">
        <v>130002.98594222688</v>
      </c>
      <c r="K314" s="3">
        <f t="shared" si="10"/>
        <v>443051.59864844714</v>
      </c>
      <c r="L314" s="3">
        <f>IFERROR(INDEX('CHIRP Payment Calc'!K:K,MATCH(A:A,'CHIRP Payment Calc'!A:A,0)),0)</f>
        <v>632876.09271349583</v>
      </c>
      <c r="M314" s="3">
        <f t="shared" si="11"/>
        <v>-189824.4940650487</v>
      </c>
    </row>
    <row r="315" spans="1:13">
      <c r="A315" s="9" t="s">
        <v>816</v>
      </c>
      <c r="B315" s="9" t="s">
        <v>1486</v>
      </c>
      <c r="C315" s="9" t="s">
        <v>1479</v>
      </c>
      <c r="D315" s="4" t="s">
        <v>817</v>
      </c>
      <c r="E315" s="14" t="s">
        <v>817</v>
      </c>
      <c r="F315" s="14" t="s">
        <v>818</v>
      </c>
      <c r="G315" s="14" t="s">
        <v>816</v>
      </c>
      <c r="H315" s="9" t="s">
        <v>1666</v>
      </c>
      <c r="I315" s="3">
        <v>551902.54268797126</v>
      </c>
      <c r="J315" s="3">
        <v>150271.80577513209</v>
      </c>
      <c r="K315" s="3">
        <f t="shared" si="10"/>
        <v>702174.34846310341</v>
      </c>
      <c r="L315" s="3">
        <f>IFERROR(INDEX('CHIRP Payment Calc'!K:K,MATCH(A:A,'CHIRP Payment Calc'!A:A,0)),0)</f>
        <v>798028.73635883559</v>
      </c>
      <c r="M315" s="3">
        <f t="shared" si="11"/>
        <v>-95854.387895732187</v>
      </c>
    </row>
    <row r="316" spans="1:13">
      <c r="A316" s="9" t="s">
        <v>707</v>
      </c>
      <c r="B316" s="9" t="s">
        <v>1486</v>
      </c>
      <c r="C316" s="9" t="s">
        <v>1479</v>
      </c>
      <c r="D316" s="4" t="s">
        <v>708</v>
      </c>
      <c r="E316" s="14" t="s">
        <v>708</v>
      </c>
      <c r="F316" s="14" t="s">
        <v>709</v>
      </c>
      <c r="G316" s="14" t="s">
        <v>707</v>
      </c>
      <c r="H316" s="9" t="s">
        <v>1692</v>
      </c>
      <c r="I316" s="3">
        <v>261883.58096322443</v>
      </c>
      <c r="J316" s="3">
        <v>265072.62522249238</v>
      </c>
      <c r="K316" s="3">
        <f t="shared" si="10"/>
        <v>526956.20618571679</v>
      </c>
      <c r="L316" s="3">
        <f>IFERROR(INDEX('CHIRP Payment Calc'!K:K,MATCH(A:A,'CHIRP Payment Calc'!A:A,0)),0)</f>
        <v>632737.95120425196</v>
      </c>
      <c r="M316" s="3">
        <f t="shared" si="11"/>
        <v>-105781.74501853518</v>
      </c>
    </row>
    <row r="317" spans="1:13">
      <c r="A317" s="9" t="s">
        <v>1107</v>
      </c>
      <c r="B317" s="9" t="s">
        <v>1486</v>
      </c>
      <c r="C317" s="9" t="s">
        <v>1479</v>
      </c>
      <c r="D317" s="4" t="s">
        <v>1108</v>
      </c>
      <c r="E317" s="14" t="s">
        <v>1108</v>
      </c>
      <c r="F317" s="14" t="s">
        <v>1109</v>
      </c>
      <c r="G317" s="14" t="s">
        <v>1107</v>
      </c>
      <c r="H317" s="9" t="s">
        <v>1987</v>
      </c>
      <c r="I317" s="3">
        <v>1756400.5873024163</v>
      </c>
      <c r="J317" s="3">
        <v>766551.74168372434</v>
      </c>
      <c r="K317" s="3">
        <f t="shared" si="10"/>
        <v>2522952.3289861409</v>
      </c>
      <c r="L317" s="3">
        <f>IFERROR(INDEX('CHIRP Payment Calc'!K:K,MATCH(A:A,'CHIRP Payment Calc'!A:A,0)),0)</f>
        <v>2827502.2310508154</v>
      </c>
      <c r="M317" s="3">
        <f t="shared" si="11"/>
        <v>-304549.90206467453</v>
      </c>
    </row>
    <row r="318" spans="1:13">
      <c r="A318" s="9" t="s">
        <v>768</v>
      </c>
      <c r="B318" s="9" t="s">
        <v>1486</v>
      </c>
      <c r="C318" s="9" t="s">
        <v>1545</v>
      </c>
      <c r="D318" s="4" t="s">
        <v>769</v>
      </c>
      <c r="E318" s="14" t="s">
        <v>769</v>
      </c>
      <c r="F318" s="14" t="s">
        <v>770</v>
      </c>
      <c r="G318" s="14" t="s">
        <v>768</v>
      </c>
      <c r="H318" s="9" t="s">
        <v>1986</v>
      </c>
      <c r="I318" s="3">
        <v>492480.91654727765</v>
      </c>
      <c r="J318" s="3">
        <v>140232.03255222391</v>
      </c>
      <c r="K318" s="3">
        <f t="shared" si="10"/>
        <v>632712.94909950159</v>
      </c>
      <c r="L318" s="3">
        <f>IFERROR(INDEX('CHIRP Payment Calc'!K:K,MATCH(A:A,'CHIRP Payment Calc'!A:A,0)),0)</f>
        <v>932430.1032206004</v>
      </c>
      <c r="M318" s="3">
        <f t="shared" si="11"/>
        <v>-299717.15412109881</v>
      </c>
    </row>
    <row r="319" spans="1:13">
      <c r="A319" s="9" t="s">
        <v>2061</v>
      </c>
      <c r="B319" s="9" t="s">
        <v>1514</v>
      </c>
      <c r="C319" s="9" t="s">
        <v>1801</v>
      </c>
      <c r="D319" s="4" t="s">
        <v>2062</v>
      </c>
      <c r="E319" s="14" t="s">
        <v>2313</v>
      </c>
      <c r="F319" s="14" t="e">
        <v>#N/A</v>
      </c>
      <c r="G319" s="14" t="s">
        <v>2061</v>
      </c>
      <c r="H319" s="9" t="s">
        <v>2060</v>
      </c>
      <c r="I319" s="3">
        <v>0</v>
      </c>
      <c r="J319" s="3">
        <v>0</v>
      </c>
      <c r="K319" s="3">
        <f t="shared" si="10"/>
        <v>0</v>
      </c>
      <c r="L319" s="3">
        <f>IFERROR(INDEX('CHIRP Payment Calc'!K:K,MATCH(A:A,'CHIRP Payment Calc'!A:A,0)),0)</f>
        <v>3830.5887872679623</v>
      </c>
      <c r="M319" s="3">
        <f t="shared" si="11"/>
        <v>-3830.5887872679623</v>
      </c>
    </row>
    <row r="320" spans="1:13">
      <c r="A320" s="9" t="s">
        <v>159</v>
      </c>
      <c r="B320" s="9" t="s">
        <v>1486</v>
      </c>
      <c r="C320" s="9" t="s">
        <v>1545</v>
      </c>
      <c r="D320" s="4" t="s">
        <v>160</v>
      </c>
      <c r="E320" s="14" t="s">
        <v>160</v>
      </c>
      <c r="F320" s="14" t="s">
        <v>161</v>
      </c>
      <c r="G320" s="14" t="s">
        <v>159</v>
      </c>
      <c r="H320" s="9" t="s">
        <v>1984</v>
      </c>
      <c r="I320" s="3">
        <v>330433.93565917155</v>
      </c>
      <c r="J320" s="3">
        <v>316216.48456009908</v>
      </c>
      <c r="K320" s="3">
        <f t="shared" si="10"/>
        <v>646650.42021927063</v>
      </c>
      <c r="L320" s="3">
        <f>IFERROR(INDEX('CHIRP Payment Calc'!K:K,MATCH(A:A,'CHIRP Payment Calc'!A:A,0)),0)</f>
        <v>0</v>
      </c>
      <c r="M320" s="3">
        <f t="shared" si="11"/>
        <v>646650.42021927063</v>
      </c>
    </row>
    <row r="321" spans="1:13">
      <c r="A321" s="9" t="s">
        <v>97</v>
      </c>
      <c r="B321" s="9" t="s">
        <v>1486</v>
      </c>
      <c r="C321" s="9" t="s">
        <v>1545</v>
      </c>
      <c r="D321" s="4" t="s">
        <v>98</v>
      </c>
      <c r="E321" s="14" t="s">
        <v>98</v>
      </c>
      <c r="F321" s="14" t="s">
        <v>99</v>
      </c>
      <c r="G321" s="14" t="s">
        <v>97</v>
      </c>
      <c r="H321" s="9" t="s">
        <v>1698</v>
      </c>
      <c r="I321" s="3">
        <v>1246820.7021018348</v>
      </c>
      <c r="J321" s="3">
        <v>523841.01216475753</v>
      </c>
      <c r="K321" s="3">
        <f t="shared" si="10"/>
        <v>1770661.7142665924</v>
      </c>
      <c r="L321" s="3">
        <f>IFERROR(INDEX('CHIRP Payment Calc'!K:K,MATCH(A:A,'CHIRP Payment Calc'!A:A,0)),0)</f>
        <v>2583847.8563898234</v>
      </c>
      <c r="M321" s="3">
        <f t="shared" si="11"/>
        <v>-813186.14212323097</v>
      </c>
    </row>
    <row r="322" spans="1:13">
      <c r="A322" s="9" t="s">
        <v>1050</v>
      </c>
      <c r="B322" s="9" t="s">
        <v>1486</v>
      </c>
      <c r="C322" s="9" t="s">
        <v>1545</v>
      </c>
      <c r="D322" s="4" t="s">
        <v>1051</v>
      </c>
      <c r="E322" s="14" t="s">
        <v>1051</v>
      </c>
      <c r="F322" s="14" t="s">
        <v>1052</v>
      </c>
      <c r="G322" s="14" t="s">
        <v>1050</v>
      </c>
      <c r="H322" s="9" t="s">
        <v>1983</v>
      </c>
      <c r="I322" s="3">
        <v>152053.7996455206</v>
      </c>
      <c r="J322" s="3">
        <v>103882.70368588342</v>
      </c>
      <c r="K322" s="3">
        <f t="shared" si="10"/>
        <v>255936.503331404</v>
      </c>
      <c r="L322" s="3">
        <f>IFERROR(INDEX('CHIRP Payment Calc'!K:K,MATCH(A:A,'CHIRP Payment Calc'!A:A,0)),0)</f>
        <v>326061.94895793305</v>
      </c>
      <c r="M322" s="3">
        <f t="shared" si="11"/>
        <v>-70125.44562652905</v>
      </c>
    </row>
    <row r="323" spans="1:13">
      <c r="A323" s="9" t="s">
        <v>88</v>
      </c>
      <c r="B323" s="9" t="s">
        <v>1486</v>
      </c>
      <c r="C323" s="9" t="s">
        <v>1545</v>
      </c>
      <c r="D323" s="4" t="s">
        <v>89</v>
      </c>
      <c r="E323" s="14" t="s">
        <v>89</v>
      </c>
      <c r="F323" s="14" t="s">
        <v>90</v>
      </c>
      <c r="G323" s="14" t="s">
        <v>88</v>
      </c>
      <c r="H323" s="9" t="s">
        <v>1982</v>
      </c>
      <c r="I323" s="3">
        <v>453030.23254648573</v>
      </c>
      <c r="J323" s="3">
        <v>381638.3660866954</v>
      </c>
      <c r="K323" s="3">
        <f t="shared" si="10"/>
        <v>834668.59863318107</v>
      </c>
      <c r="L323" s="3">
        <f>IFERROR(INDEX('CHIRP Payment Calc'!K:K,MATCH(A:A,'CHIRP Payment Calc'!A:A,0)),0)</f>
        <v>1226651.7909902798</v>
      </c>
      <c r="M323" s="3">
        <f t="shared" si="11"/>
        <v>-391983.19235709868</v>
      </c>
    </row>
    <row r="324" spans="1:13">
      <c r="A324" s="9" t="s">
        <v>804</v>
      </c>
      <c r="B324" s="9" t="s">
        <v>1486</v>
      </c>
      <c r="C324" s="9" t="s">
        <v>1545</v>
      </c>
      <c r="D324" s="4" t="s">
        <v>805</v>
      </c>
      <c r="E324" s="14" t="s">
        <v>805</v>
      </c>
      <c r="F324" s="14" t="s">
        <v>806</v>
      </c>
      <c r="G324" s="14" t="s">
        <v>804</v>
      </c>
      <c r="H324" s="9" t="s">
        <v>1670</v>
      </c>
      <c r="I324" s="3">
        <v>648307.14057220356</v>
      </c>
      <c r="J324" s="3">
        <v>425141.21455731691</v>
      </c>
      <c r="K324" s="3">
        <f t="shared" si="10"/>
        <v>1073448.3551295204</v>
      </c>
      <c r="L324" s="3">
        <f>IFERROR(INDEX('CHIRP Payment Calc'!K:K,MATCH(A:A,'CHIRP Payment Calc'!A:A,0)),0)</f>
        <v>1392823.8468035744</v>
      </c>
      <c r="M324" s="3">
        <f t="shared" si="11"/>
        <v>-319375.49167405395</v>
      </c>
    </row>
    <row r="325" spans="1:13">
      <c r="A325" s="9" t="s">
        <v>1183</v>
      </c>
      <c r="B325" s="9" t="s">
        <v>1486</v>
      </c>
      <c r="C325" s="9" t="s">
        <v>1545</v>
      </c>
      <c r="D325" s="4" t="s">
        <v>1184</v>
      </c>
      <c r="E325" s="14" t="s">
        <v>1184</v>
      </c>
      <c r="F325" s="14" t="s">
        <v>1185</v>
      </c>
      <c r="G325" s="14" t="s">
        <v>1183</v>
      </c>
      <c r="H325" s="9" t="s">
        <v>1572</v>
      </c>
      <c r="I325" s="3">
        <v>318570.37228371372</v>
      </c>
      <c r="J325" s="3">
        <v>289579.65376946208</v>
      </c>
      <c r="K325" s="3">
        <f t="shared" si="10"/>
        <v>608150.0260531758</v>
      </c>
      <c r="L325" s="3">
        <f>IFERROR(INDEX('CHIRP Payment Calc'!K:K,MATCH(A:A,'CHIRP Payment Calc'!A:A,0)),0)</f>
        <v>821397.48451164528</v>
      </c>
      <c r="M325" s="3">
        <f t="shared" si="11"/>
        <v>-213247.45845846948</v>
      </c>
    </row>
    <row r="326" spans="1:13">
      <c r="A326" s="9" t="s">
        <v>719</v>
      </c>
      <c r="B326" s="9" t="s">
        <v>1486</v>
      </c>
      <c r="C326" s="9" t="s">
        <v>1545</v>
      </c>
      <c r="D326" s="4" t="s">
        <v>720</v>
      </c>
      <c r="E326" s="14" t="s">
        <v>720</v>
      </c>
      <c r="F326" s="14" t="s">
        <v>721</v>
      </c>
      <c r="G326" s="14" t="s">
        <v>719</v>
      </c>
      <c r="H326" s="9" t="s">
        <v>1981</v>
      </c>
      <c r="I326" s="3">
        <v>619749.15795878822</v>
      </c>
      <c r="J326" s="3">
        <v>294027.61397767789</v>
      </c>
      <c r="K326" s="3">
        <f t="shared" si="10"/>
        <v>913776.7719364661</v>
      </c>
      <c r="L326" s="3">
        <f>IFERROR(INDEX('CHIRP Payment Calc'!K:K,MATCH(A:A,'CHIRP Payment Calc'!A:A,0)),0)</f>
        <v>0</v>
      </c>
      <c r="M326" s="3">
        <f t="shared" si="11"/>
        <v>913776.7719364661</v>
      </c>
    </row>
    <row r="327" spans="1:13">
      <c r="A327" s="9" t="s">
        <v>40</v>
      </c>
      <c r="B327" s="9" t="s">
        <v>1486</v>
      </c>
      <c r="C327" s="9" t="s">
        <v>1545</v>
      </c>
      <c r="D327" s="4" t="s">
        <v>1686</v>
      </c>
      <c r="E327" s="14" t="s">
        <v>41</v>
      </c>
      <c r="F327" s="14" t="s">
        <v>42</v>
      </c>
      <c r="G327" s="14" t="s">
        <v>40</v>
      </c>
      <c r="H327" s="9" t="s">
        <v>1980</v>
      </c>
      <c r="I327" s="3">
        <v>394920.76762868924</v>
      </c>
      <c r="J327" s="3">
        <v>201954.7805788065</v>
      </c>
      <c r="K327" s="3">
        <f t="shared" si="10"/>
        <v>596875.54820749571</v>
      </c>
      <c r="L327" s="3">
        <f>IFERROR(INDEX('CHIRP Payment Calc'!K:K,MATCH(A:A,'CHIRP Payment Calc'!A:A,0)),0)</f>
        <v>127181.25450938485</v>
      </c>
      <c r="M327" s="3">
        <f t="shared" si="11"/>
        <v>469694.29369811085</v>
      </c>
    </row>
    <row r="328" spans="1:13">
      <c r="A328" s="9" t="s">
        <v>795</v>
      </c>
      <c r="B328" s="9" t="s">
        <v>1486</v>
      </c>
      <c r="C328" s="9" t="s">
        <v>1545</v>
      </c>
      <c r="D328" s="4" t="s">
        <v>796</v>
      </c>
      <c r="E328" s="14" t="s">
        <v>796</v>
      </c>
      <c r="F328" s="14" t="s">
        <v>797</v>
      </c>
      <c r="G328" s="14" t="s">
        <v>795</v>
      </c>
      <c r="H328" s="9" t="s">
        <v>1741</v>
      </c>
      <c r="I328" s="3">
        <v>146580.16697673849</v>
      </c>
      <c r="J328" s="3">
        <v>44218.377234495871</v>
      </c>
      <c r="K328" s="3">
        <f t="shared" ref="K328:K391" si="12">I328+J328</f>
        <v>190798.54421123437</v>
      </c>
      <c r="L328" s="3">
        <f>IFERROR(INDEX('CHIRP Payment Calc'!K:K,MATCH(A:A,'CHIRP Payment Calc'!A:A,0)),0)</f>
        <v>290258.18632801616</v>
      </c>
      <c r="M328" s="3">
        <f t="shared" ref="M328:M391" si="13">K328-L328</f>
        <v>-99459.64211678179</v>
      </c>
    </row>
    <row r="329" spans="1:13">
      <c r="A329" s="9" t="s">
        <v>1209</v>
      </c>
      <c r="B329" s="9" t="s">
        <v>310</v>
      </c>
      <c r="C329" s="9" t="s">
        <v>1801</v>
      </c>
      <c r="D329" s="4" t="s">
        <v>1210</v>
      </c>
      <c r="E329" s="14" t="s">
        <v>1210</v>
      </c>
      <c r="F329" s="14" t="s">
        <v>1211</v>
      </c>
      <c r="G329" s="14" t="s">
        <v>1209</v>
      </c>
      <c r="H329" s="9" t="s">
        <v>1979</v>
      </c>
      <c r="I329" s="3">
        <v>0</v>
      </c>
      <c r="J329" s="3">
        <v>0</v>
      </c>
      <c r="K329" s="3">
        <f t="shared" si="12"/>
        <v>0</v>
      </c>
      <c r="L329" s="3">
        <f>IFERROR(INDEX('CHIRP Payment Calc'!K:K,MATCH(A:A,'CHIRP Payment Calc'!A:A,0)),0)</f>
        <v>0</v>
      </c>
      <c r="M329" s="3">
        <f t="shared" si="13"/>
        <v>0</v>
      </c>
    </row>
    <row r="330" spans="1:13">
      <c r="A330" s="9" t="s">
        <v>1291</v>
      </c>
      <c r="B330" s="9" t="s">
        <v>310</v>
      </c>
      <c r="C330" s="9" t="s">
        <v>1801</v>
      </c>
      <c r="D330" s="4" t="s">
        <v>1292</v>
      </c>
      <c r="E330" s="14" t="s">
        <v>1292</v>
      </c>
      <c r="F330" s="14" t="s">
        <v>1293</v>
      </c>
      <c r="G330" s="14" t="s">
        <v>1291</v>
      </c>
      <c r="H330" s="9" t="s">
        <v>1978</v>
      </c>
      <c r="I330" s="3">
        <v>0</v>
      </c>
      <c r="J330" s="3">
        <v>0</v>
      </c>
      <c r="K330" s="3">
        <f t="shared" si="12"/>
        <v>0</v>
      </c>
      <c r="L330" s="3">
        <f>IFERROR(INDEX('CHIRP Payment Calc'!K:K,MATCH(A:A,'CHIRP Payment Calc'!A:A,0)),0)</f>
        <v>0</v>
      </c>
      <c r="M330" s="3">
        <f t="shared" si="13"/>
        <v>0</v>
      </c>
    </row>
    <row r="331" spans="1:13">
      <c r="A331" s="9" t="s">
        <v>1568</v>
      </c>
      <c r="B331" s="9" t="s">
        <v>310</v>
      </c>
      <c r="C331" s="9" t="s">
        <v>222</v>
      </c>
      <c r="D331" s="4" t="s">
        <v>1617</v>
      </c>
      <c r="E331" s="14" t="s">
        <v>1617</v>
      </c>
      <c r="F331" s="14" t="s">
        <v>1361</v>
      </c>
      <c r="G331" s="14" t="s">
        <v>1568</v>
      </c>
      <c r="H331" s="9" t="s">
        <v>1977</v>
      </c>
      <c r="I331" s="3">
        <v>1164623.3967322006</v>
      </c>
      <c r="J331" s="3">
        <v>1906412.0034701002</v>
      </c>
      <c r="K331" s="3">
        <f t="shared" si="12"/>
        <v>3071035.4002023009</v>
      </c>
      <c r="L331" s="3">
        <f>IFERROR(INDEX('CHIRP Payment Calc'!K:K,MATCH(A:A,'CHIRP Payment Calc'!A:A,0)),0)</f>
        <v>3709965.2930028997</v>
      </c>
      <c r="M331" s="3">
        <f t="shared" si="13"/>
        <v>-638929.89280059887</v>
      </c>
    </row>
    <row r="332" spans="1:13">
      <c r="A332" s="9" t="s">
        <v>307</v>
      </c>
      <c r="B332" s="9" t="s">
        <v>310</v>
      </c>
      <c r="C332" s="9" t="s">
        <v>222</v>
      </c>
      <c r="D332" s="4" t="s">
        <v>308</v>
      </c>
      <c r="E332" s="14" t="s">
        <v>308</v>
      </c>
      <c r="F332" s="14" t="s">
        <v>309</v>
      </c>
      <c r="G332" s="14" t="s">
        <v>307</v>
      </c>
      <c r="H332" s="9" t="s">
        <v>1976</v>
      </c>
      <c r="I332" s="3">
        <v>0</v>
      </c>
      <c r="J332" s="3">
        <v>0</v>
      </c>
      <c r="K332" s="3">
        <f t="shared" si="12"/>
        <v>0</v>
      </c>
      <c r="L332" s="3">
        <f>IFERROR(INDEX('CHIRP Payment Calc'!K:K,MATCH(A:A,'CHIRP Payment Calc'!A:A,0)),0)</f>
        <v>0</v>
      </c>
      <c r="M332" s="3">
        <f t="shared" si="13"/>
        <v>0</v>
      </c>
    </row>
    <row r="333" spans="1:13">
      <c r="A333" s="9" t="s">
        <v>536</v>
      </c>
      <c r="B333" s="9" t="s">
        <v>310</v>
      </c>
      <c r="C333" s="9" t="s">
        <v>222</v>
      </c>
      <c r="D333" s="4" t="s">
        <v>537</v>
      </c>
      <c r="E333" s="14" t="s">
        <v>537</v>
      </c>
      <c r="F333" s="14" t="s">
        <v>538</v>
      </c>
      <c r="G333" s="14" t="s">
        <v>536</v>
      </c>
      <c r="H333" s="9" t="s">
        <v>1975</v>
      </c>
      <c r="I333" s="3">
        <v>1229269.85881147</v>
      </c>
      <c r="J333" s="3">
        <v>1082318.590056207</v>
      </c>
      <c r="K333" s="3">
        <f t="shared" si="12"/>
        <v>2311588.4488676768</v>
      </c>
      <c r="L333" s="3">
        <f>IFERROR(INDEX('CHIRP Payment Calc'!K:K,MATCH(A:A,'CHIRP Payment Calc'!A:A,0)),0)</f>
        <v>3270669.0516522229</v>
      </c>
      <c r="M333" s="3">
        <f t="shared" si="13"/>
        <v>-959080.60278454609</v>
      </c>
    </row>
    <row r="334" spans="1:13">
      <c r="A334" s="9" t="s">
        <v>64</v>
      </c>
      <c r="B334" s="9" t="s">
        <v>310</v>
      </c>
      <c r="C334" s="9" t="s">
        <v>222</v>
      </c>
      <c r="D334" s="4" t="s">
        <v>65</v>
      </c>
      <c r="E334" s="14" t="s">
        <v>65</v>
      </c>
      <c r="F334" s="14" t="s">
        <v>66</v>
      </c>
      <c r="G334" s="14" t="s">
        <v>64</v>
      </c>
      <c r="H334" s="9" t="s">
        <v>1974</v>
      </c>
      <c r="I334" s="3">
        <v>8753119.2682800833</v>
      </c>
      <c r="J334" s="3">
        <v>8698849.4477112014</v>
      </c>
      <c r="K334" s="3">
        <f t="shared" si="12"/>
        <v>17451968.715991285</v>
      </c>
      <c r="L334" s="3">
        <f>IFERROR(INDEX('CHIRP Payment Calc'!K:K,MATCH(A:A,'CHIRP Payment Calc'!A:A,0)),0)</f>
        <v>16470337.282157626</v>
      </c>
      <c r="M334" s="3">
        <f t="shared" si="13"/>
        <v>981631.4338336587</v>
      </c>
    </row>
    <row r="335" spans="1:13">
      <c r="A335" s="9" t="s">
        <v>1500</v>
      </c>
      <c r="B335" s="9" t="s">
        <v>310</v>
      </c>
      <c r="C335" s="9" t="s">
        <v>222</v>
      </c>
      <c r="D335" s="4" t="s">
        <v>1501</v>
      </c>
      <c r="E335" s="14" t="s">
        <v>1501</v>
      </c>
      <c r="F335" s="14" t="s">
        <v>1502</v>
      </c>
      <c r="G335" s="14" t="s">
        <v>1500</v>
      </c>
      <c r="H335" s="9" t="s">
        <v>1973</v>
      </c>
      <c r="I335" s="3">
        <v>61221.281828364707</v>
      </c>
      <c r="J335" s="3">
        <v>66501.305904292472</v>
      </c>
      <c r="K335" s="3">
        <f t="shared" si="12"/>
        <v>127722.58773265718</v>
      </c>
      <c r="L335" s="3">
        <f>IFERROR(INDEX('CHIRP Payment Calc'!K:K,MATCH(A:A,'CHIRP Payment Calc'!A:A,0)),0)</f>
        <v>209112.70355432056</v>
      </c>
      <c r="M335" s="3">
        <f t="shared" si="13"/>
        <v>-81390.115821663378</v>
      </c>
    </row>
    <row r="336" spans="1:13">
      <c r="A336" s="9" t="s">
        <v>82</v>
      </c>
      <c r="B336" s="9" t="s">
        <v>310</v>
      </c>
      <c r="C336" s="9" t="s">
        <v>222</v>
      </c>
      <c r="D336" s="4" t="s">
        <v>83</v>
      </c>
      <c r="E336" s="14" t="s">
        <v>83</v>
      </c>
      <c r="F336" s="14" t="s">
        <v>84</v>
      </c>
      <c r="G336" s="14" t="s">
        <v>82</v>
      </c>
      <c r="H336" s="9" t="s">
        <v>84</v>
      </c>
      <c r="I336" s="3">
        <v>0</v>
      </c>
      <c r="J336" s="3">
        <v>0</v>
      </c>
      <c r="K336" s="3">
        <f t="shared" si="12"/>
        <v>0</v>
      </c>
      <c r="L336" s="3">
        <f>IFERROR(INDEX('CHIRP Payment Calc'!K:K,MATCH(A:A,'CHIRP Payment Calc'!A:A,0)),0)</f>
        <v>0</v>
      </c>
      <c r="M336" s="3">
        <f t="shared" si="13"/>
        <v>0</v>
      </c>
    </row>
    <row r="337" spans="1:13">
      <c r="A337" s="9" t="s">
        <v>959</v>
      </c>
      <c r="B337" s="9" t="s">
        <v>310</v>
      </c>
      <c r="C337" s="9" t="s">
        <v>222</v>
      </c>
      <c r="D337" s="4" t="s">
        <v>960</v>
      </c>
      <c r="E337" s="14" t="s">
        <v>960</v>
      </c>
      <c r="F337" s="14" t="s">
        <v>961</v>
      </c>
      <c r="G337" s="14" t="s">
        <v>959</v>
      </c>
      <c r="H337" s="9" t="s">
        <v>1972</v>
      </c>
      <c r="I337" s="3">
        <v>0</v>
      </c>
      <c r="J337" s="3">
        <v>0</v>
      </c>
      <c r="K337" s="3">
        <f t="shared" si="12"/>
        <v>0</v>
      </c>
      <c r="L337" s="3">
        <f>IFERROR(INDEX('CHIRP Payment Calc'!K:K,MATCH(A:A,'CHIRP Payment Calc'!A:A,0)),0)</f>
        <v>0</v>
      </c>
      <c r="M337" s="3">
        <f t="shared" si="13"/>
        <v>0</v>
      </c>
    </row>
    <row r="338" spans="1:13">
      <c r="A338" s="9" t="s">
        <v>177</v>
      </c>
      <c r="B338" s="9" t="s">
        <v>310</v>
      </c>
      <c r="C338" s="9" t="s">
        <v>222</v>
      </c>
      <c r="D338" s="4" t="s">
        <v>178</v>
      </c>
      <c r="E338" s="14" t="s">
        <v>178</v>
      </c>
      <c r="F338" s="14" t="s">
        <v>179</v>
      </c>
      <c r="G338" s="14" t="s">
        <v>177</v>
      </c>
      <c r="H338" s="9" t="s">
        <v>1971</v>
      </c>
      <c r="I338" s="3">
        <v>254100.30946137867</v>
      </c>
      <c r="J338" s="3">
        <v>2923.9997137300847</v>
      </c>
      <c r="K338" s="3">
        <f t="shared" si="12"/>
        <v>257024.30917510876</v>
      </c>
      <c r="L338" s="3">
        <f>IFERROR(INDEX('CHIRP Payment Calc'!K:K,MATCH(A:A,'CHIRP Payment Calc'!A:A,0)),0)</f>
        <v>0</v>
      </c>
      <c r="M338" s="3">
        <f t="shared" si="13"/>
        <v>257024.30917510876</v>
      </c>
    </row>
    <row r="339" spans="1:13">
      <c r="A339" s="9" t="s">
        <v>67</v>
      </c>
      <c r="B339" s="9" t="s">
        <v>310</v>
      </c>
      <c r="C339" s="9" t="s">
        <v>222</v>
      </c>
      <c r="D339" s="4" t="s">
        <v>68</v>
      </c>
      <c r="E339" s="14" t="s">
        <v>68</v>
      </c>
      <c r="F339" s="14" t="s">
        <v>69</v>
      </c>
      <c r="G339" s="14" t="s">
        <v>67</v>
      </c>
      <c r="H339" s="9" t="s">
        <v>1970</v>
      </c>
      <c r="I339" s="3">
        <v>3268515.982343819</v>
      </c>
      <c r="J339" s="3">
        <v>3137583.7178336154</v>
      </c>
      <c r="K339" s="3">
        <f t="shared" si="12"/>
        <v>6406099.7001774348</v>
      </c>
      <c r="L339" s="3">
        <f>IFERROR(INDEX('CHIRP Payment Calc'!K:K,MATCH(A:A,'CHIRP Payment Calc'!A:A,0)),0)</f>
        <v>5998712.403037427</v>
      </c>
      <c r="M339" s="3">
        <f t="shared" si="13"/>
        <v>407387.29714000784</v>
      </c>
    </row>
    <row r="340" spans="1:13">
      <c r="A340" s="9" t="s">
        <v>1518</v>
      </c>
      <c r="B340" s="9" t="s">
        <v>310</v>
      </c>
      <c r="C340" s="9" t="s">
        <v>222</v>
      </c>
      <c r="D340" s="4" t="s">
        <v>1519</v>
      </c>
      <c r="E340" s="14" t="s">
        <v>1519</v>
      </c>
      <c r="F340" s="14" t="s">
        <v>1520</v>
      </c>
      <c r="G340" s="14" t="s">
        <v>1518</v>
      </c>
      <c r="H340" s="9" t="s">
        <v>1520</v>
      </c>
      <c r="I340" s="3">
        <v>0</v>
      </c>
      <c r="J340" s="3">
        <v>0</v>
      </c>
      <c r="K340" s="3">
        <f t="shared" si="12"/>
        <v>0</v>
      </c>
      <c r="L340" s="3">
        <f>IFERROR(INDEX('CHIRP Payment Calc'!K:K,MATCH(A:A,'CHIRP Payment Calc'!A:A,0)),0)</f>
        <v>145504.09546872432</v>
      </c>
      <c r="M340" s="3">
        <f t="shared" si="13"/>
        <v>-145504.09546872432</v>
      </c>
    </row>
    <row r="341" spans="1:13">
      <c r="A341" s="9" t="s">
        <v>459</v>
      </c>
      <c r="B341" s="9" t="s">
        <v>310</v>
      </c>
      <c r="C341" s="9" t="s">
        <v>222</v>
      </c>
      <c r="D341" s="4" t="s">
        <v>460</v>
      </c>
      <c r="E341" s="14" t="s">
        <v>460</v>
      </c>
      <c r="F341" s="14" t="s">
        <v>461</v>
      </c>
      <c r="G341" s="14" t="s">
        <v>459</v>
      </c>
      <c r="H341" s="9" t="s">
        <v>1969</v>
      </c>
      <c r="I341" s="3">
        <v>5048812.3836262841</v>
      </c>
      <c r="J341" s="3">
        <v>9382092.3203014135</v>
      </c>
      <c r="K341" s="3">
        <f t="shared" si="12"/>
        <v>14430904.703927698</v>
      </c>
      <c r="L341" s="3">
        <f>IFERROR(INDEX('CHIRP Payment Calc'!K:K,MATCH(A:A,'CHIRP Payment Calc'!A:A,0)),0)</f>
        <v>15488687.75894391</v>
      </c>
      <c r="M341" s="3">
        <f t="shared" si="13"/>
        <v>-1057783.0550162122</v>
      </c>
    </row>
    <row r="342" spans="1:13">
      <c r="A342" s="9" t="s">
        <v>16</v>
      </c>
      <c r="B342" s="9" t="s">
        <v>310</v>
      </c>
      <c r="C342" s="9" t="s">
        <v>222</v>
      </c>
      <c r="D342" s="4" t="s">
        <v>17</v>
      </c>
      <c r="E342" s="14" t="s">
        <v>17</v>
      </c>
      <c r="F342" s="14" t="s">
        <v>18</v>
      </c>
      <c r="G342" s="14" t="s">
        <v>16</v>
      </c>
      <c r="H342" s="9" t="s">
        <v>1968</v>
      </c>
      <c r="I342" s="3">
        <v>2577195.7107133102</v>
      </c>
      <c r="J342" s="3">
        <v>1857351.33667386</v>
      </c>
      <c r="K342" s="3">
        <f t="shared" si="12"/>
        <v>4434547.0473871697</v>
      </c>
      <c r="L342" s="3">
        <f>IFERROR(INDEX('CHIRP Payment Calc'!K:K,MATCH(A:A,'CHIRP Payment Calc'!A:A,0)),0)</f>
        <v>7789753.7834652681</v>
      </c>
      <c r="M342" s="3">
        <f t="shared" si="13"/>
        <v>-3355206.7360780984</v>
      </c>
    </row>
    <row r="343" spans="1:13">
      <c r="A343" s="9" t="s">
        <v>1381</v>
      </c>
      <c r="B343" s="9" t="s">
        <v>310</v>
      </c>
      <c r="C343" s="9" t="s">
        <v>222</v>
      </c>
      <c r="D343" s="4" t="s">
        <v>1382</v>
      </c>
      <c r="E343" s="14" t="s">
        <v>1382</v>
      </c>
      <c r="F343" s="14" t="s">
        <v>1383</v>
      </c>
      <c r="G343" s="14" t="s">
        <v>1381</v>
      </c>
      <c r="H343" s="9" t="s">
        <v>1967</v>
      </c>
      <c r="I343" s="3">
        <v>33638.315803138554</v>
      </c>
      <c r="J343" s="3">
        <v>65075.716235155858</v>
      </c>
      <c r="K343" s="3">
        <f t="shared" si="12"/>
        <v>98714.032038294419</v>
      </c>
      <c r="L343" s="3">
        <f>IFERROR(INDEX('CHIRP Payment Calc'!K:K,MATCH(A:A,'CHIRP Payment Calc'!A:A,0)),0)</f>
        <v>98950.897181231849</v>
      </c>
      <c r="M343" s="3">
        <f t="shared" si="13"/>
        <v>-236.86514293742948</v>
      </c>
    </row>
    <row r="344" spans="1:13">
      <c r="A344" s="9" t="s">
        <v>807</v>
      </c>
      <c r="B344" s="9" t="s">
        <v>310</v>
      </c>
      <c r="C344" s="9" t="s">
        <v>222</v>
      </c>
      <c r="D344" s="4" t="s">
        <v>808</v>
      </c>
      <c r="E344" s="14" t="s">
        <v>808</v>
      </c>
      <c r="F344" s="14" t="s">
        <v>809</v>
      </c>
      <c r="G344" s="14" t="s">
        <v>807</v>
      </c>
      <c r="H344" s="9" t="s">
        <v>1966</v>
      </c>
      <c r="I344" s="3">
        <v>6137506.7505649319</v>
      </c>
      <c r="J344" s="3">
        <v>2984804.8416085434</v>
      </c>
      <c r="K344" s="3">
        <f t="shared" si="12"/>
        <v>9122311.5921734758</v>
      </c>
      <c r="L344" s="3">
        <f>IFERROR(INDEX('CHIRP Payment Calc'!K:K,MATCH(A:A,'CHIRP Payment Calc'!A:A,0)),0)</f>
        <v>10686060.005438818</v>
      </c>
      <c r="M344" s="3">
        <f t="shared" si="13"/>
        <v>-1563748.4132653419</v>
      </c>
    </row>
    <row r="345" spans="1:13">
      <c r="A345" s="9" t="s">
        <v>407</v>
      </c>
      <c r="B345" s="9" t="s">
        <v>310</v>
      </c>
      <c r="C345" s="9" t="s">
        <v>222</v>
      </c>
      <c r="D345" s="4" t="s">
        <v>1965</v>
      </c>
      <c r="E345" s="14" t="s">
        <v>408</v>
      </c>
      <c r="F345" s="14" t="s">
        <v>409</v>
      </c>
      <c r="G345" s="14" t="s">
        <v>407</v>
      </c>
      <c r="H345" s="9" t="s">
        <v>1964</v>
      </c>
      <c r="I345" s="3">
        <v>0</v>
      </c>
      <c r="J345" s="3">
        <v>0</v>
      </c>
      <c r="K345" s="3">
        <f t="shared" si="12"/>
        <v>0</v>
      </c>
      <c r="L345" s="3">
        <f>IFERROR(INDEX('CHIRP Payment Calc'!K:K,MATCH(A:A,'CHIRP Payment Calc'!A:A,0)),0)</f>
        <v>0</v>
      </c>
      <c r="M345" s="3">
        <f t="shared" si="13"/>
        <v>0</v>
      </c>
    </row>
    <row r="346" spans="1:13">
      <c r="A346" s="9" t="s">
        <v>1459</v>
      </c>
      <c r="B346" s="9" t="s">
        <v>310</v>
      </c>
      <c r="C346" s="9" t="s">
        <v>222</v>
      </c>
      <c r="D346" s="4" t="s">
        <v>1460</v>
      </c>
      <c r="E346" s="14" t="s">
        <v>1460</v>
      </c>
      <c r="F346" s="14" t="s">
        <v>1461</v>
      </c>
      <c r="G346" s="14" t="s">
        <v>1459</v>
      </c>
      <c r="H346" s="9" t="s">
        <v>1461</v>
      </c>
      <c r="I346" s="3">
        <v>6082.895174405714</v>
      </c>
      <c r="J346" s="3">
        <v>0</v>
      </c>
      <c r="K346" s="3">
        <f t="shared" si="12"/>
        <v>6082.895174405714</v>
      </c>
      <c r="L346" s="3">
        <f>IFERROR(INDEX('CHIRP Payment Calc'!K:K,MATCH(A:A,'CHIRP Payment Calc'!A:A,0)),0)</f>
        <v>13152.056943808562</v>
      </c>
      <c r="M346" s="3">
        <f t="shared" si="13"/>
        <v>-7069.1617694028482</v>
      </c>
    </row>
    <row r="347" spans="1:13">
      <c r="A347" s="9" t="s">
        <v>898</v>
      </c>
      <c r="B347" s="9" t="s">
        <v>310</v>
      </c>
      <c r="C347" s="9" t="s">
        <v>222</v>
      </c>
      <c r="D347" s="4" t="s">
        <v>899</v>
      </c>
      <c r="E347" s="14" t="s">
        <v>899</v>
      </c>
      <c r="F347" s="14" t="s">
        <v>900</v>
      </c>
      <c r="G347" s="14" t="s">
        <v>898</v>
      </c>
      <c r="H347" s="9" t="s">
        <v>1963</v>
      </c>
      <c r="I347" s="3">
        <v>11669925.477340676</v>
      </c>
      <c r="J347" s="3">
        <v>7876663.2529584458</v>
      </c>
      <c r="K347" s="3">
        <f t="shared" si="12"/>
        <v>19546588.730299123</v>
      </c>
      <c r="L347" s="3">
        <f>IFERROR(INDEX('CHIRP Payment Calc'!K:K,MATCH(A:A,'CHIRP Payment Calc'!A:A,0)),0)</f>
        <v>21180549.345178097</v>
      </c>
      <c r="M347" s="3">
        <f t="shared" si="13"/>
        <v>-1633960.6148789749</v>
      </c>
    </row>
    <row r="348" spans="1:13">
      <c r="A348" s="9" t="s">
        <v>1687</v>
      </c>
      <c r="B348" s="9" t="s">
        <v>310</v>
      </c>
      <c r="C348" s="9" t="s">
        <v>222</v>
      </c>
      <c r="D348" s="4" t="s">
        <v>1688</v>
      </c>
      <c r="E348" s="14" t="s">
        <v>1688</v>
      </c>
      <c r="F348" s="14" t="e">
        <v>#N/A</v>
      </c>
      <c r="G348" s="14" t="s">
        <v>1687</v>
      </c>
      <c r="H348" s="9" t="s">
        <v>1962</v>
      </c>
      <c r="I348" s="3">
        <v>0</v>
      </c>
      <c r="J348" s="3">
        <v>0</v>
      </c>
      <c r="K348" s="3">
        <f t="shared" si="12"/>
        <v>0</v>
      </c>
      <c r="L348" s="3">
        <f>IFERROR(INDEX('CHIRP Payment Calc'!K:K,MATCH(A:A,'CHIRP Payment Calc'!A:A,0)),0)</f>
        <v>0</v>
      </c>
      <c r="M348" s="3">
        <f t="shared" si="13"/>
        <v>0</v>
      </c>
    </row>
    <row r="349" spans="1:13">
      <c r="A349" s="9" t="s">
        <v>1566</v>
      </c>
      <c r="B349" s="9" t="s">
        <v>310</v>
      </c>
      <c r="C349" s="9" t="s">
        <v>222</v>
      </c>
      <c r="D349" s="4" t="s">
        <v>1590</v>
      </c>
      <c r="E349" s="14" t="s">
        <v>1590</v>
      </c>
      <c r="F349" s="14" t="s">
        <v>1352</v>
      </c>
      <c r="G349" s="14" t="s">
        <v>1566</v>
      </c>
      <c r="H349" s="9" t="s">
        <v>1961</v>
      </c>
      <c r="I349" s="3">
        <v>4620822.9423630964</v>
      </c>
      <c r="J349" s="3">
        <v>4822287.6835169103</v>
      </c>
      <c r="K349" s="3">
        <f t="shared" si="12"/>
        <v>9443110.6258800067</v>
      </c>
      <c r="L349" s="3">
        <f>IFERROR(INDEX('CHIRP Payment Calc'!K:K,MATCH(A:A,'CHIRP Payment Calc'!A:A,0)),0)</f>
        <v>12302615.357664011</v>
      </c>
      <c r="M349" s="3">
        <f t="shared" si="13"/>
        <v>-2859504.7317840047</v>
      </c>
    </row>
    <row r="350" spans="1:13">
      <c r="A350" s="9" t="s">
        <v>383</v>
      </c>
      <c r="B350" s="9" t="s">
        <v>310</v>
      </c>
      <c r="C350" s="9" t="s">
        <v>222</v>
      </c>
      <c r="D350" s="4" t="s">
        <v>384</v>
      </c>
      <c r="E350" s="14" t="s">
        <v>384</v>
      </c>
      <c r="F350" s="14" t="s">
        <v>385</v>
      </c>
      <c r="G350" s="14" t="s">
        <v>383</v>
      </c>
      <c r="H350" s="9" t="s">
        <v>1960</v>
      </c>
      <c r="I350" s="3">
        <v>0</v>
      </c>
      <c r="J350" s="3">
        <v>0</v>
      </c>
      <c r="K350" s="3">
        <f t="shared" si="12"/>
        <v>0</v>
      </c>
      <c r="L350" s="3">
        <f>IFERROR(INDEX('CHIRP Payment Calc'!K:K,MATCH(A:A,'CHIRP Payment Calc'!A:A,0)),0)</f>
        <v>0</v>
      </c>
      <c r="M350" s="3">
        <f t="shared" si="13"/>
        <v>0</v>
      </c>
    </row>
    <row r="351" spans="1:13">
      <c r="A351" s="9" t="s">
        <v>440</v>
      </c>
      <c r="B351" s="9" t="s">
        <v>310</v>
      </c>
      <c r="C351" s="9" t="s">
        <v>222</v>
      </c>
      <c r="D351" s="4" t="s">
        <v>441</v>
      </c>
      <c r="E351" s="14" t="s">
        <v>441</v>
      </c>
      <c r="F351" s="14" t="s">
        <v>442</v>
      </c>
      <c r="G351" s="14" t="s">
        <v>440</v>
      </c>
      <c r="H351" s="9" t="s">
        <v>1593</v>
      </c>
      <c r="I351" s="3">
        <v>411991.2147960919</v>
      </c>
      <c r="J351" s="3">
        <v>258005.80203303212</v>
      </c>
      <c r="K351" s="3">
        <f t="shared" si="12"/>
        <v>669997.01682912395</v>
      </c>
      <c r="L351" s="3">
        <f>IFERROR(INDEX('CHIRP Payment Calc'!K:K,MATCH(A:A,'CHIRP Payment Calc'!A:A,0)),0)</f>
        <v>0</v>
      </c>
      <c r="M351" s="3">
        <f t="shared" si="13"/>
        <v>669997.01682912395</v>
      </c>
    </row>
    <row r="352" spans="1:13">
      <c r="A352" s="9" t="s">
        <v>596</v>
      </c>
      <c r="B352" s="9" t="s">
        <v>310</v>
      </c>
      <c r="C352" s="9" t="s">
        <v>1479</v>
      </c>
      <c r="D352" s="4" t="s">
        <v>597</v>
      </c>
      <c r="E352" s="14" t="s">
        <v>597</v>
      </c>
      <c r="F352" s="14" t="s">
        <v>598</v>
      </c>
      <c r="G352" s="14" t="s">
        <v>596</v>
      </c>
      <c r="H352" s="9" t="s">
        <v>598</v>
      </c>
      <c r="I352" s="3">
        <v>3688154.1833483954</v>
      </c>
      <c r="J352" s="3">
        <v>2895796.2367365644</v>
      </c>
      <c r="K352" s="3">
        <f t="shared" si="12"/>
        <v>6583950.4200849598</v>
      </c>
      <c r="L352" s="3">
        <f>IFERROR(INDEX('CHIRP Payment Calc'!K:K,MATCH(A:A,'CHIRP Payment Calc'!A:A,0)),0)</f>
        <v>5945300.5293748919</v>
      </c>
      <c r="M352" s="3">
        <f t="shared" si="13"/>
        <v>638649.89071006794</v>
      </c>
    </row>
    <row r="353" spans="1:13">
      <c r="A353" s="9" t="s">
        <v>1336</v>
      </c>
      <c r="B353" s="9" t="s">
        <v>310</v>
      </c>
      <c r="C353" s="9" t="s">
        <v>1479</v>
      </c>
      <c r="D353" s="4" t="s">
        <v>1337</v>
      </c>
      <c r="E353" s="14" t="s">
        <v>1337</v>
      </c>
      <c r="F353" s="14" t="s">
        <v>1338</v>
      </c>
      <c r="G353" s="14" t="s">
        <v>1336</v>
      </c>
      <c r="H353" s="9" t="s">
        <v>1959</v>
      </c>
      <c r="I353" s="3">
        <v>3185644.5544160604</v>
      </c>
      <c r="J353" s="3">
        <v>3795740.8522036588</v>
      </c>
      <c r="K353" s="3">
        <f t="shared" si="12"/>
        <v>6981385.4066197192</v>
      </c>
      <c r="L353" s="3">
        <f>IFERROR(INDEX('CHIRP Payment Calc'!K:K,MATCH(A:A,'CHIRP Payment Calc'!A:A,0)),0)</f>
        <v>6681963.2326436974</v>
      </c>
      <c r="M353" s="3">
        <f t="shared" si="13"/>
        <v>299422.17397602182</v>
      </c>
    </row>
    <row r="354" spans="1:13">
      <c r="A354" s="9" t="s">
        <v>1577</v>
      </c>
      <c r="B354" s="9" t="s">
        <v>1365</v>
      </c>
      <c r="C354" s="9" t="s">
        <v>222</v>
      </c>
      <c r="D354" s="4" t="s">
        <v>1578</v>
      </c>
      <c r="E354" s="14" t="s">
        <v>1578</v>
      </c>
      <c r="F354" s="14" t="e">
        <v>#N/A</v>
      </c>
      <c r="G354" s="14" t="s">
        <v>1577</v>
      </c>
      <c r="H354" s="9" t="s">
        <v>1576</v>
      </c>
      <c r="I354" s="3">
        <v>81801.188194159899</v>
      </c>
      <c r="J354" s="3">
        <v>34139.167701757928</v>
      </c>
      <c r="K354" s="3">
        <f t="shared" si="12"/>
        <v>115940.35589591783</v>
      </c>
      <c r="L354" s="3">
        <f>IFERROR(INDEX('CHIRP Payment Calc'!K:K,MATCH(A:A,'CHIRP Payment Calc'!A:A,0)),0)</f>
        <v>0</v>
      </c>
      <c r="M354" s="3">
        <f t="shared" si="13"/>
        <v>115940.35589591783</v>
      </c>
    </row>
    <row r="355" spans="1:13">
      <c r="A355" s="9" t="s">
        <v>1557</v>
      </c>
      <c r="B355" s="9" t="s">
        <v>310</v>
      </c>
      <c r="C355" s="9" t="s">
        <v>1479</v>
      </c>
      <c r="D355" s="4" t="s">
        <v>1643</v>
      </c>
      <c r="E355" s="14" t="s">
        <v>1643</v>
      </c>
      <c r="F355" s="14" t="s">
        <v>907</v>
      </c>
      <c r="G355" s="14" t="s">
        <v>1557</v>
      </c>
      <c r="H355" s="9" t="s">
        <v>1957</v>
      </c>
      <c r="I355" s="3">
        <v>3374916.9778811336</v>
      </c>
      <c r="J355" s="3">
        <v>1620643.8590377891</v>
      </c>
      <c r="K355" s="3">
        <f t="shared" si="12"/>
        <v>4995560.8369189221</v>
      </c>
      <c r="L355" s="3">
        <f>IFERROR(INDEX('CHIRP Payment Calc'!K:K,MATCH(A:A,'CHIRP Payment Calc'!A:A,0)),0)</f>
        <v>5330525.2932945276</v>
      </c>
      <c r="M355" s="3">
        <f t="shared" si="13"/>
        <v>-334964.45637560543</v>
      </c>
    </row>
    <row r="356" spans="1:13">
      <c r="A356" s="9" t="s">
        <v>320</v>
      </c>
      <c r="B356" s="9" t="s">
        <v>310</v>
      </c>
      <c r="C356" s="9" t="s">
        <v>1479</v>
      </c>
      <c r="D356" s="4" t="s">
        <v>321</v>
      </c>
      <c r="E356" s="14" t="s">
        <v>321</v>
      </c>
      <c r="F356" s="14" t="s">
        <v>322</v>
      </c>
      <c r="G356" s="14" t="s">
        <v>320</v>
      </c>
      <c r="H356" s="9" t="s">
        <v>1956</v>
      </c>
      <c r="I356" s="3">
        <v>626987.98267431429</v>
      </c>
      <c r="J356" s="3">
        <v>657879.2054486851</v>
      </c>
      <c r="K356" s="3">
        <f t="shared" si="12"/>
        <v>1284867.1881229994</v>
      </c>
      <c r="L356" s="3">
        <f>IFERROR(INDEX('CHIRP Payment Calc'!K:K,MATCH(A:A,'CHIRP Payment Calc'!A:A,0)),0)</f>
        <v>2231040.6898148023</v>
      </c>
      <c r="M356" s="3">
        <f t="shared" si="13"/>
        <v>-946173.50169180287</v>
      </c>
    </row>
    <row r="357" spans="1:13">
      <c r="A357" s="9" t="s">
        <v>174</v>
      </c>
      <c r="B357" s="9" t="s">
        <v>310</v>
      </c>
      <c r="C357" s="9" t="s">
        <v>1479</v>
      </c>
      <c r="D357" s="4" t="s">
        <v>175</v>
      </c>
      <c r="E357" s="14" t="s">
        <v>175</v>
      </c>
      <c r="F357" s="14" t="s">
        <v>176</v>
      </c>
      <c r="G357" s="14" t="s">
        <v>174</v>
      </c>
      <c r="H357" s="9" t="s">
        <v>1955</v>
      </c>
      <c r="I357" s="3">
        <v>2760258.2274223925</v>
      </c>
      <c r="J357" s="3">
        <v>893155.5981001273</v>
      </c>
      <c r="K357" s="3">
        <f t="shared" si="12"/>
        <v>3653413.8255225196</v>
      </c>
      <c r="L357" s="3">
        <f>IFERROR(INDEX('CHIRP Payment Calc'!K:K,MATCH(A:A,'CHIRP Payment Calc'!A:A,0)),0)</f>
        <v>7885319.514379926</v>
      </c>
      <c r="M357" s="3">
        <f t="shared" si="13"/>
        <v>-4231905.6888574064</v>
      </c>
    </row>
    <row r="358" spans="1:13">
      <c r="A358" s="9" t="s">
        <v>853</v>
      </c>
      <c r="B358" s="9" t="s">
        <v>310</v>
      </c>
      <c r="C358" s="9" t="s">
        <v>1479</v>
      </c>
      <c r="D358" s="4" t="s">
        <v>854</v>
      </c>
      <c r="E358" s="14" t="s">
        <v>854</v>
      </c>
      <c r="F358" s="14" t="s">
        <v>855</v>
      </c>
      <c r="G358" s="14" t="s">
        <v>853</v>
      </c>
      <c r="H358" s="9" t="s">
        <v>1954</v>
      </c>
      <c r="I358" s="3">
        <v>3004561.6120147682</v>
      </c>
      <c r="J358" s="3">
        <v>4195609.5966778481</v>
      </c>
      <c r="K358" s="3">
        <f t="shared" si="12"/>
        <v>7200171.2086926159</v>
      </c>
      <c r="L358" s="3">
        <f>IFERROR(INDEX('CHIRP Payment Calc'!K:K,MATCH(A:A,'CHIRP Payment Calc'!A:A,0)),0)</f>
        <v>7252789.2758742906</v>
      </c>
      <c r="M358" s="3">
        <f t="shared" si="13"/>
        <v>-52618.067181674764</v>
      </c>
    </row>
    <row r="359" spans="1:13">
      <c r="A359" s="9" t="s">
        <v>356</v>
      </c>
      <c r="B359" s="9" t="s">
        <v>310</v>
      </c>
      <c r="C359" s="9" t="s">
        <v>1479</v>
      </c>
      <c r="D359" s="4" t="s">
        <v>357</v>
      </c>
      <c r="E359" s="14" t="s">
        <v>357</v>
      </c>
      <c r="F359" s="14" t="s">
        <v>358</v>
      </c>
      <c r="G359" s="14" t="s">
        <v>356</v>
      </c>
      <c r="H359" s="9" t="s">
        <v>1953</v>
      </c>
      <c r="I359" s="3">
        <v>431724.14236996236</v>
      </c>
      <c r="J359" s="3">
        <v>435467.88102322677</v>
      </c>
      <c r="K359" s="3">
        <f t="shared" si="12"/>
        <v>867192.02339318907</v>
      </c>
      <c r="L359" s="3">
        <f>IFERROR(INDEX('CHIRP Payment Calc'!K:K,MATCH(A:A,'CHIRP Payment Calc'!A:A,0)),0)</f>
        <v>1092155.7021101525</v>
      </c>
      <c r="M359" s="3">
        <f t="shared" si="13"/>
        <v>-224963.67871696339</v>
      </c>
    </row>
    <row r="360" spans="1:13">
      <c r="A360" s="9" t="s">
        <v>1180</v>
      </c>
      <c r="B360" s="9" t="s">
        <v>310</v>
      </c>
      <c r="C360" s="9" t="s">
        <v>1479</v>
      </c>
      <c r="D360" s="4" t="s">
        <v>1181</v>
      </c>
      <c r="E360" s="14" t="s">
        <v>1181</v>
      </c>
      <c r="F360" s="14" t="s">
        <v>1182</v>
      </c>
      <c r="G360" s="14" t="s">
        <v>1180</v>
      </c>
      <c r="H360" s="9" t="s">
        <v>1573</v>
      </c>
      <c r="I360" s="3">
        <v>5401548.9373189611</v>
      </c>
      <c r="J360" s="3">
        <v>1703515.6826180858</v>
      </c>
      <c r="K360" s="3">
        <f t="shared" si="12"/>
        <v>7105064.6199370474</v>
      </c>
      <c r="L360" s="3">
        <f>IFERROR(INDEX('CHIRP Payment Calc'!K:K,MATCH(A:A,'CHIRP Payment Calc'!A:A,0)),0)</f>
        <v>10610266.898037497</v>
      </c>
      <c r="M360" s="3">
        <f t="shared" si="13"/>
        <v>-3505202.2781004496</v>
      </c>
    </row>
    <row r="361" spans="1:13">
      <c r="A361" s="9" t="s">
        <v>49</v>
      </c>
      <c r="B361" s="9" t="s">
        <v>310</v>
      </c>
      <c r="C361" s="9" t="s">
        <v>1479</v>
      </c>
      <c r="D361" s="4" t="s">
        <v>50</v>
      </c>
      <c r="E361" s="14" t="s">
        <v>50</v>
      </c>
      <c r="F361" s="14" t="s">
        <v>51</v>
      </c>
      <c r="G361" s="14" t="s">
        <v>49</v>
      </c>
      <c r="H361" s="9" t="s">
        <v>1952</v>
      </c>
      <c r="I361" s="3">
        <v>579382.2805158071</v>
      </c>
      <c r="J361" s="3">
        <v>611537.9873588382</v>
      </c>
      <c r="K361" s="3">
        <f t="shared" si="12"/>
        <v>1190920.2678746453</v>
      </c>
      <c r="L361" s="3">
        <f>IFERROR(INDEX('CHIRP Payment Calc'!K:K,MATCH(A:A,'CHIRP Payment Calc'!A:A,0)),0)</f>
        <v>1822277.713109547</v>
      </c>
      <c r="M361" s="3">
        <f t="shared" si="13"/>
        <v>-631357.44523490174</v>
      </c>
    </row>
    <row r="362" spans="1:13">
      <c r="A362" s="9" t="s">
        <v>1756</v>
      </c>
      <c r="B362" s="9" t="s">
        <v>310</v>
      </c>
      <c r="C362" s="9" t="s">
        <v>1479</v>
      </c>
      <c r="D362" s="4" t="s">
        <v>1757</v>
      </c>
      <c r="E362" s="14" t="s">
        <v>1757</v>
      </c>
      <c r="F362" s="14" t="s">
        <v>1766</v>
      </c>
      <c r="G362" s="14" t="s">
        <v>1756</v>
      </c>
      <c r="H362" s="9" t="s">
        <v>1766</v>
      </c>
      <c r="I362" s="3">
        <v>0</v>
      </c>
      <c r="J362" s="3">
        <v>0</v>
      </c>
      <c r="K362" s="3">
        <f t="shared" si="12"/>
        <v>0</v>
      </c>
      <c r="L362" s="3">
        <f>IFERROR(INDEX('CHIRP Payment Calc'!K:K,MATCH(A:A,'CHIRP Payment Calc'!A:A,0)),0)</f>
        <v>0</v>
      </c>
      <c r="M362" s="3">
        <f t="shared" si="13"/>
        <v>0</v>
      </c>
    </row>
    <row r="363" spans="1:13">
      <c r="A363" s="9" t="s">
        <v>856</v>
      </c>
      <c r="B363" s="9" t="s">
        <v>310</v>
      </c>
      <c r="C363" s="9" t="s">
        <v>1479</v>
      </c>
      <c r="D363" s="4" t="s">
        <v>857</v>
      </c>
      <c r="E363" s="14" t="s">
        <v>857</v>
      </c>
      <c r="F363" s="14" t="s">
        <v>858</v>
      </c>
      <c r="G363" s="14" t="s">
        <v>856</v>
      </c>
      <c r="H363" s="9" t="s">
        <v>1659</v>
      </c>
      <c r="I363" s="3">
        <v>187149.29571072978</v>
      </c>
      <c r="J363" s="3">
        <v>125322.39775752598</v>
      </c>
      <c r="K363" s="3">
        <f t="shared" si="12"/>
        <v>312471.69346825575</v>
      </c>
      <c r="L363" s="3">
        <f>IFERROR(INDEX('CHIRP Payment Calc'!K:K,MATCH(A:A,'CHIRP Payment Calc'!A:A,0)),0)</f>
        <v>419034.22507317155</v>
      </c>
      <c r="M363" s="3">
        <f t="shared" si="13"/>
        <v>-106562.5316049158</v>
      </c>
    </row>
    <row r="364" spans="1:13">
      <c r="A364" s="9" t="s">
        <v>901</v>
      </c>
      <c r="B364" s="9" t="s">
        <v>310</v>
      </c>
      <c r="C364" s="9" t="s">
        <v>1479</v>
      </c>
      <c r="D364" s="4" t="s">
        <v>902</v>
      </c>
      <c r="E364" s="14" t="s">
        <v>902</v>
      </c>
      <c r="F364" s="14" t="s">
        <v>903</v>
      </c>
      <c r="G364" s="14" t="s">
        <v>901</v>
      </c>
      <c r="H364" s="9" t="s">
        <v>1656</v>
      </c>
      <c r="I364" s="3">
        <v>261409.89325499258</v>
      </c>
      <c r="J364" s="3">
        <v>235972.53670134925</v>
      </c>
      <c r="K364" s="3">
        <f t="shared" si="12"/>
        <v>497382.42995634186</v>
      </c>
      <c r="L364" s="3">
        <f>IFERROR(INDEX('CHIRP Payment Calc'!K:K,MATCH(A:A,'CHIRP Payment Calc'!A:A,0)),0)</f>
        <v>519253.86250934057</v>
      </c>
      <c r="M364" s="3">
        <f t="shared" si="13"/>
        <v>-21871.432552998711</v>
      </c>
    </row>
    <row r="365" spans="1:13">
      <c r="A365" s="9" t="s">
        <v>908</v>
      </c>
      <c r="B365" s="9" t="s">
        <v>310</v>
      </c>
      <c r="C365" s="9" t="s">
        <v>1479</v>
      </c>
      <c r="D365" s="4" t="s">
        <v>909</v>
      </c>
      <c r="E365" s="14" t="s">
        <v>909</v>
      </c>
      <c r="F365" s="14" t="s">
        <v>910</v>
      </c>
      <c r="G365" s="14" t="s">
        <v>908</v>
      </c>
      <c r="H365" s="9" t="s">
        <v>1655</v>
      </c>
      <c r="I365" s="3">
        <v>4176213.0995746921</v>
      </c>
      <c r="J365" s="3">
        <v>1726041.6130230105</v>
      </c>
      <c r="K365" s="3">
        <f t="shared" si="12"/>
        <v>5902254.7125977026</v>
      </c>
      <c r="L365" s="3">
        <f>IFERROR(INDEX('CHIRP Payment Calc'!K:K,MATCH(A:A,'CHIRP Payment Calc'!A:A,0)),0)</f>
        <v>7418447.2190525886</v>
      </c>
      <c r="M365" s="3">
        <f t="shared" si="13"/>
        <v>-1516192.5064548859</v>
      </c>
    </row>
    <row r="366" spans="1:13">
      <c r="A366" s="9" t="s">
        <v>192</v>
      </c>
      <c r="B366" s="9" t="s">
        <v>310</v>
      </c>
      <c r="C366" s="9" t="s">
        <v>1479</v>
      </c>
      <c r="D366" s="4" t="s">
        <v>193</v>
      </c>
      <c r="E366" s="14" t="s">
        <v>193</v>
      </c>
      <c r="F366" s="14" t="s">
        <v>194</v>
      </c>
      <c r="G366" s="14" t="s">
        <v>192</v>
      </c>
      <c r="H366" s="9" t="s">
        <v>1951</v>
      </c>
      <c r="I366" s="3">
        <v>3672717.3969227541</v>
      </c>
      <c r="J366" s="3">
        <v>800615.45612434542</v>
      </c>
      <c r="K366" s="3">
        <f t="shared" si="12"/>
        <v>4473332.8530470999</v>
      </c>
      <c r="L366" s="3">
        <f>IFERROR(INDEX('CHIRP Payment Calc'!K:K,MATCH(A:A,'CHIRP Payment Calc'!A:A,0)),0)</f>
        <v>8267327.4980569296</v>
      </c>
      <c r="M366" s="3">
        <f t="shared" si="13"/>
        <v>-3793994.6450098297</v>
      </c>
    </row>
    <row r="367" spans="1:13">
      <c r="A367" s="9" t="s">
        <v>344</v>
      </c>
      <c r="B367" s="9" t="s">
        <v>310</v>
      </c>
      <c r="C367" s="9" t="s">
        <v>1479</v>
      </c>
      <c r="D367" s="4" t="s">
        <v>345</v>
      </c>
      <c r="E367" s="14" t="s">
        <v>345</v>
      </c>
      <c r="F367" s="14" t="s">
        <v>346</v>
      </c>
      <c r="G367" s="14" t="s">
        <v>344</v>
      </c>
      <c r="H367" s="9" t="s">
        <v>1950</v>
      </c>
      <c r="I367" s="3">
        <v>179157.28777045675</v>
      </c>
      <c r="J367" s="3">
        <v>138944.88865231775</v>
      </c>
      <c r="K367" s="3">
        <f t="shared" si="12"/>
        <v>318102.1764227745</v>
      </c>
      <c r="L367" s="3">
        <f>IFERROR(INDEX('CHIRP Payment Calc'!K:K,MATCH(A:A,'CHIRP Payment Calc'!A:A,0)),0)</f>
        <v>480963.78405069315</v>
      </c>
      <c r="M367" s="3">
        <f t="shared" si="13"/>
        <v>-162861.60762791865</v>
      </c>
    </row>
    <row r="368" spans="1:13">
      <c r="A368" s="9" t="s">
        <v>288</v>
      </c>
      <c r="B368" s="9" t="s">
        <v>310</v>
      </c>
      <c r="C368" s="9" t="s">
        <v>1479</v>
      </c>
      <c r="D368" s="4" t="s">
        <v>289</v>
      </c>
      <c r="E368" s="14" t="s">
        <v>289</v>
      </c>
      <c r="F368" s="14" t="s">
        <v>290</v>
      </c>
      <c r="G368" s="14" t="s">
        <v>288</v>
      </c>
      <c r="H368" s="9" t="s">
        <v>1657</v>
      </c>
      <c r="I368" s="3">
        <v>603345.41493039462</v>
      </c>
      <c r="J368" s="3">
        <v>633862.70372317347</v>
      </c>
      <c r="K368" s="3">
        <f t="shared" si="12"/>
        <v>1237208.118653568</v>
      </c>
      <c r="L368" s="3">
        <f>IFERROR(INDEX('CHIRP Payment Calc'!K:K,MATCH(A:A,'CHIRP Payment Calc'!A:A,0)),0)</f>
        <v>1862960.1987059766</v>
      </c>
      <c r="M368" s="3">
        <f t="shared" si="13"/>
        <v>-625752.08005240862</v>
      </c>
    </row>
    <row r="369" spans="1:13">
      <c r="A369" s="9" t="s">
        <v>1288</v>
      </c>
      <c r="B369" s="9" t="s">
        <v>310</v>
      </c>
      <c r="C369" s="9" t="s">
        <v>1545</v>
      </c>
      <c r="D369" s="4" t="s">
        <v>1289</v>
      </c>
      <c r="E369" s="14" t="s">
        <v>1289</v>
      </c>
      <c r="F369" s="14" t="s">
        <v>1290</v>
      </c>
      <c r="G369" s="14" t="s">
        <v>1288</v>
      </c>
      <c r="H369" s="9" t="s">
        <v>1949</v>
      </c>
      <c r="I369" s="3">
        <v>3703425.7614643681</v>
      </c>
      <c r="J369" s="3">
        <v>1661834.8678724146</v>
      </c>
      <c r="K369" s="3">
        <f t="shared" si="12"/>
        <v>5365260.6293367827</v>
      </c>
      <c r="L369" s="3">
        <f>IFERROR(INDEX('CHIRP Payment Calc'!K:K,MATCH(A:A,'CHIRP Payment Calc'!A:A,0)),0)</f>
        <v>7012786.0395960379</v>
      </c>
      <c r="M369" s="3">
        <f t="shared" si="13"/>
        <v>-1647525.4102592552</v>
      </c>
    </row>
    <row r="370" spans="1:13">
      <c r="A370" s="9" t="s">
        <v>920</v>
      </c>
      <c r="B370" s="9" t="s">
        <v>310</v>
      </c>
      <c r="C370" s="9" t="s">
        <v>1545</v>
      </c>
      <c r="D370" s="4" t="s">
        <v>921</v>
      </c>
      <c r="E370" s="14" t="s">
        <v>921</v>
      </c>
      <c r="F370" s="14" t="s">
        <v>922</v>
      </c>
      <c r="G370" s="14" t="s">
        <v>920</v>
      </c>
      <c r="H370" s="9" t="s">
        <v>1948</v>
      </c>
      <c r="I370" s="3">
        <v>107251.6556180803</v>
      </c>
      <c r="J370" s="3">
        <v>51982.14054506916</v>
      </c>
      <c r="K370" s="3">
        <f t="shared" si="12"/>
        <v>159233.79616314947</v>
      </c>
      <c r="L370" s="3">
        <f>IFERROR(INDEX('CHIRP Payment Calc'!K:K,MATCH(A:A,'CHIRP Payment Calc'!A:A,0)),0)</f>
        <v>159658.85883531999</v>
      </c>
      <c r="M370" s="3">
        <f t="shared" si="13"/>
        <v>-425.06267217051936</v>
      </c>
    </row>
    <row r="371" spans="1:13">
      <c r="A371" s="9" t="s">
        <v>904</v>
      </c>
      <c r="B371" s="9" t="s">
        <v>310</v>
      </c>
      <c r="C371" s="9" t="s">
        <v>1545</v>
      </c>
      <c r="D371" s="4" t="s">
        <v>905</v>
      </c>
      <c r="E371" s="14" t="s">
        <v>905</v>
      </c>
      <c r="F371" s="14" t="s">
        <v>906</v>
      </c>
      <c r="G371" s="14" t="s">
        <v>904</v>
      </c>
      <c r="H371" s="9" t="s">
        <v>1947</v>
      </c>
      <c r="I371" s="3">
        <v>24402.196834611976</v>
      </c>
      <c r="J371" s="3">
        <v>31059.321346391276</v>
      </c>
      <c r="K371" s="3">
        <f t="shared" si="12"/>
        <v>55461.518181003252</v>
      </c>
      <c r="L371" s="3">
        <f>IFERROR(INDEX('CHIRP Payment Calc'!K:K,MATCH(A:A,'CHIRP Payment Calc'!A:A,0)),0)</f>
        <v>51906.460168973572</v>
      </c>
      <c r="M371" s="3">
        <f t="shared" si="13"/>
        <v>3555.05801202968</v>
      </c>
    </row>
    <row r="372" spans="1:13">
      <c r="A372" s="9" t="s">
        <v>137</v>
      </c>
      <c r="B372" s="9" t="s">
        <v>310</v>
      </c>
      <c r="C372" s="9" t="s">
        <v>1545</v>
      </c>
      <c r="D372" s="4" t="s">
        <v>138</v>
      </c>
      <c r="E372" s="14" t="s">
        <v>138</v>
      </c>
      <c r="F372" s="14" t="s">
        <v>139</v>
      </c>
      <c r="G372" s="14" t="s">
        <v>137</v>
      </c>
      <c r="H372" s="9" t="s">
        <v>1946</v>
      </c>
      <c r="I372" s="3">
        <v>394154.18758049345</v>
      </c>
      <c r="J372" s="3">
        <v>316873.77491735684</v>
      </c>
      <c r="K372" s="3">
        <f t="shared" si="12"/>
        <v>711027.9624978503</v>
      </c>
      <c r="L372" s="3">
        <f>IFERROR(INDEX('CHIRP Payment Calc'!K:K,MATCH(A:A,'CHIRP Payment Calc'!A:A,0)),0)</f>
        <v>746325.36920631875</v>
      </c>
      <c r="M372" s="3">
        <f t="shared" si="13"/>
        <v>-35297.40670846845</v>
      </c>
    </row>
    <row r="373" spans="1:13">
      <c r="A373" s="9" t="s">
        <v>1122</v>
      </c>
      <c r="B373" s="9" t="s">
        <v>310</v>
      </c>
      <c r="C373" s="9" t="s">
        <v>1545</v>
      </c>
      <c r="D373" s="4" t="s">
        <v>1123</v>
      </c>
      <c r="E373" s="14" t="s">
        <v>1123</v>
      </c>
      <c r="F373" s="14" t="s">
        <v>1124</v>
      </c>
      <c r="G373" s="14" t="s">
        <v>1122</v>
      </c>
      <c r="H373" s="9" t="s">
        <v>1945</v>
      </c>
      <c r="I373" s="3">
        <v>3617993.6411699462</v>
      </c>
      <c r="J373" s="3">
        <v>2700884.2722300505</v>
      </c>
      <c r="K373" s="3">
        <f t="shared" si="12"/>
        <v>6318877.9133999962</v>
      </c>
      <c r="L373" s="3">
        <f>IFERROR(INDEX('CHIRP Payment Calc'!K:K,MATCH(A:A,'CHIRP Payment Calc'!A:A,0)),0)</f>
        <v>6530506.5615347959</v>
      </c>
      <c r="M373" s="3">
        <f t="shared" si="13"/>
        <v>-211628.64813479967</v>
      </c>
    </row>
    <row r="374" spans="1:13">
      <c r="A374" s="9" t="s">
        <v>152</v>
      </c>
      <c r="B374" s="9" t="s">
        <v>310</v>
      </c>
      <c r="C374" s="9" t="s">
        <v>1545</v>
      </c>
      <c r="D374" s="4" t="s">
        <v>153</v>
      </c>
      <c r="E374" s="14" t="s">
        <v>153</v>
      </c>
      <c r="F374" s="14" t="s">
        <v>154</v>
      </c>
      <c r="G374" s="14" t="s">
        <v>152</v>
      </c>
      <c r="H374" s="9" t="s">
        <v>1944</v>
      </c>
      <c r="I374" s="3">
        <v>736937.34509758803</v>
      </c>
      <c r="J374" s="3">
        <v>385595.49571883888</v>
      </c>
      <c r="K374" s="3">
        <f t="shared" si="12"/>
        <v>1122532.840816427</v>
      </c>
      <c r="L374" s="3">
        <f>IFERROR(INDEX('CHIRP Payment Calc'!K:K,MATCH(A:A,'CHIRP Payment Calc'!A:A,0)),0)</f>
        <v>1576890.9195853877</v>
      </c>
      <c r="M374" s="3">
        <f t="shared" si="13"/>
        <v>-454358.07876896067</v>
      </c>
    </row>
    <row r="375" spans="1:13">
      <c r="A375" s="9" t="s">
        <v>1215</v>
      </c>
      <c r="B375" s="9" t="s">
        <v>227</v>
      </c>
      <c r="C375" s="9" t="s">
        <v>1801</v>
      </c>
      <c r="D375" s="4" t="s">
        <v>1216</v>
      </c>
      <c r="E375" s="14" t="s">
        <v>1216</v>
      </c>
      <c r="F375" s="14" t="s">
        <v>1217</v>
      </c>
      <c r="G375" s="14" t="s">
        <v>1215</v>
      </c>
      <c r="H375" s="9" t="s">
        <v>1942</v>
      </c>
      <c r="I375" s="3">
        <v>773423.70218273462</v>
      </c>
      <c r="J375" s="3">
        <v>0</v>
      </c>
      <c r="K375" s="3">
        <f t="shared" si="12"/>
        <v>773423.70218273462</v>
      </c>
      <c r="L375" s="3">
        <f>IFERROR(INDEX('CHIRP Payment Calc'!K:K,MATCH(A:A,'CHIRP Payment Calc'!A:A,0)),0)</f>
        <v>1133699.3908463321</v>
      </c>
      <c r="M375" s="3">
        <f t="shared" si="13"/>
        <v>-360275.68866359745</v>
      </c>
    </row>
    <row r="376" spans="1:13">
      <c r="A376" s="9" t="s">
        <v>1297</v>
      </c>
      <c r="B376" s="9" t="s">
        <v>227</v>
      </c>
      <c r="C376" s="9" t="s">
        <v>1801</v>
      </c>
      <c r="D376" s="4" t="s">
        <v>1298</v>
      </c>
      <c r="E376" s="14" t="s">
        <v>1298</v>
      </c>
      <c r="F376" s="14" t="s">
        <v>1299</v>
      </c>
      <c r="G376" s="14" t="s">
        <v>1297</v>
      </c>
      <c r="H376" s="9" t="s">
        <v>1941</v>
      </c>
      <c r="I376" s="3">
        <v>654858.49251594965</v>
      </c>
      <c r="J376" s="3">
        <v>0</v>
      </c>
      <c r="K376" s="3">
        <f t="shared" si="12"/>
        <v>654858.49251594965</v>
      </c>
      <c r="L376" s="3">
        <f>IFERROR(INDEX('CHIRP Payment Calc'!K:K,MATCH(A:A,'CHIRP Payment Calc'!A:A,0)),0)</f>
        <v>1091290.9409020082</v>
      </c>
      <c r="M376" s="3">
        <f t="shared" si="13"/>
        <v>-436432.44838605856</v>
      </c>
    </row>
    <row r="377" spans="1:13">
      <c r="A377" s="9" t="s">
        <v>1300</v>
      </c>
      <c r="B377" s="9" t="s">
        <v>227</v>
      </c>
      <c r="C377" s="9" t="s">
        <v>1801</v>
      </c>
      <c r="D377" s="4" t="s">
        <v>1301</v>
      </c>
      <c r="E377" s="14" t="s">
        <v>1301</v>
      </c>
      <c r="F377" s="14" t="s">
        <v>1302</v>
      </c>
      <c r="G377" s="14" t="s">
        <v>1300</v>
      </c>
      <c r="H377" s="9" t="s">
        <v>1940</v>
      </c>
      <c r="I377" s="3">
        <v>1207805.2020545192</v>
      </c>
      <c r="J377" s="3">
        <v>0</v>
      </c>
      <c r="K377" s="3">
        <f t="shared" si="12"/>
        <v>1207805.2020545192</v>
      </c>
      <c r="L377" s="3">
        <f>IFERROR(INDEX('CHIRP Payment Calc'!K:K,MATCH(A:A,'CHIRP Payment Calc'!A:A,0)),0)</f>
        <v>1792397.0147086103</v>
      </c>
      <c r="M377" s="3">
        <f t="shared" si="13"/>
        <v>-584591.81265409105</v>
      </c>
    </row>
    <row r="378" spans="1:13">
      <c r="A378" s="9" t="s">
        <v>1282</v>
      </c>
      <c r="B378" s="9" t="s">
        <v>227</v>
      </c>
      <c r="C378" s="9" t="s">
        <v>1801</v>
      </c>
      <c r="D378" s="4" t="s">
        <v>1283</v>
      </c>
      <c r="E378" s="14" t="s">
        <v>1283</v>
      </c>
      <c r="F378" s="14" t="s">
        <v>1284</v>
      </c>
      <c r="G378" s="14" t="s">
        <v>1282</v>
      </c>
      <c r="H378" s="9" t="s">
        <v>1939</v>
      </c>
      <c r="I378" s="3">
        <v>783372.16170269484</v>
      </c>
      <c r="J378" s="3">
        <v>0</v>
      </c>
      <c r="K378" s="3">
        <f t="shared" si="12"/>
        <v>783372.16170269484</v>
      </c>
      <c r="L378" s="3">
        <f>IFERROR(INDEX('CHIRP Payment Calc'!K:K,MATCH(A:A,'CHIRP Payment Calc'!A:A,0)),0)</f>
        <v>1397451.834518523</v>
      </c>
      <c r="M378" s="3">
        <f t="shared" si="13"/>
        <v>-614079.67281582812</v>
      </c>
    </row>
    <row r="379" spans="1:13">
      <c r="A379" s="9" t="e">
        <v>#N/A</v>
      </c>
      <c r="B379" s="9" t="s">
        <v>227</v>
      </c>
      <c r="C379" s="9" t="s">
        <v>1801</v>
      </c>
      <c r="D379" s="4" t="s">
        <v>1938</v>
      </c>
      <c r="E379" s="14" t="e">
        <v>#N/A</v>
      </c>
      <c r="F379" s="14" t="e">
        <v>#N/A</v>
      </c>
      <c r="G379" s="14" t="e">
        <v>#N/A</v>
      </c>
      <c r="H379" s="9" t="s">
        <v>1937</v>
      </c>
      <c r="I379" s="3">
        <v>0</v>
      </c>
      <c r="J379" s="3">
        <v>0</v>
      </c>
      <c r="K379" s="3">
        <f t="shared" si="12"/>
        <v>0</v>
      </c>
      <c r="L379" s="3">
        <f>IFERROR(INDEX('CHIRP Payment Calc'!K:K,MATCH(A:A,'CHIRP Payment Calc'!A:A,0)),0)</f>
        <v>0</v>
      </c>
      <c r="M379" s="3">
        <f t="shared" si="13"/>
        <v>0</v>
      </c>
    </row>
    <row r="380" spans="1:13">
      <c r="A380" s="9" t="s">
        <v>889</v>
      </c>
      <c r="B380" s="9" t="s">
        <v>227</v>
      </c>
      <c r="C380" s="9" t="s">
        <v>1553</v>
      </c>
      <c r="D380" s="4" t="s">
        <v>890</v>
      </c>
      <c r="E380" s="14" t="s">
        <v>890</v>
      </c>
      <c r="F380" s="14" t="s">
        <v>891</v>
      </c>
      <c r="G380" s="14" t="s">
        <v>889</v>
      </c>
      <c r="H380" s="9" t="s">
        <v>1936</v>
      </c>
      <c r="I380" s="3">
        <v>5702938.453519538</v>
      </c>
      <c r="J380" s="3">
        <v>2069773.2441232542</v>
      </c>
      <c r="K380" s="3">
        <f t="shared" si="12"/>
        <v>7772711.697642792</v>
      </c>
      <c r="L380" s="3">
        <f>IFERROR(INDEX('CHIRP Payment Calc'!K:K,MATCH(A:A,'CHIRP Payment Calc'!A:A,0)),0)</f>
        <v>11409775.341386026</v>
      </c>
      <c r="M380" s="3">
        <f t="shared" si="13"/>
        <v>-3637063.6437432338</v>
      </c>
    </row>
    <row r="381" spans="1:13">
      <c r="A381" s="9" t="s">
        <v>462</v>
      </c>
      <c r="B381" s="9" t="s">
        <v>227</v>
      </c>
      <c r="C381" s="9" t="s">
        <v>222</v>
      </c>
      <c r="D381" s="4" t="s">
        <v>463</v>
      </c>
      <c r="E381" s="14" t="s">
        <v>463</v>
      </c>
      <c r="F381" s="14" t="s">
        <v>464</v>
      </c>
      <c r="G381" s="14" t="s">
        <v>462</v>
      </c>
      <c r="H381" s="9" t="s">
        <v>1589</v>
      </c>
      <c r="I381" s="3">
        <v>6991909.658882102</v>
      </c>
      <c r="J381" s="3">
        <v>7099276.7199749565</v>
      </c>
      <c r="K381" s="3">
        <f t="shared" si="12"/>
        <v>14091186.378857058</v>
      </c>
      <c r="L381" s="3">
        <f>IFERROR(INDEX('CHIRP Payment Calc'!K:K,MATCH(A:A,'CHIRP Payment Calc'!A:A,0)),0)</f>
        <v>17618794.164075159</v>
      </c>
      <c r="M381" s="3">
        <f t="shared" si="13"/>
        <v>-3527607.785218101</v>
      </c>
    </row>
    <row r="382" spans="1:13">
      <c r="A382" s="9" t="e">
        <v>#N/A</v>
      </c>
      <c r="B382" s="9" t="s">
        <v>227</v>
      </c>
      <c r="C382" s="9" t="s">
        <v>222</v>
      </c>
      <c r="D382" s="4" t="s">
        <v>1935</v>
      </c>
      <c r="E382" s="14" t="e">
        <v>#N/A</v>
      </c>
      <c r="F382" s="14" t="e">
        <v>#N/A</v>
      </c>
      <c r="G382" s="14" t="e">
        <v>#N/A</v>
      </c>
      <c r="H382" s="9" t="s">
        <v>1934</v>
      </c>
      <c r="I382" s="3">
        <v>0</v>
      </c>
      <c r="J382" s="3">
        <v>0</v>
      </c>
      <c r="K382" s="3">
        <f t="shared" si="12"/>
        <v>0</v>
      </c>
      <c r="L382" s="3">
        <f>IFERROR(INDEX('CHIRP Payment Calc'!K:K,MATCH(A:A,'CHIRP Payment Calc'!A:A,0)),0)</f>
        <v>0</v>
      </c>
      <c r="M382" s="3">
        <f t="shared" si="13"/>
        <v>0</v>
      </c>
    </row>
    <row r="383" spans="1:13">
      <c r="A383" s="9" t="s">
        <v>998</v>
      </c>
      <c r="B383" s="9" t="s">
        <v>227</v>
      </c>
      <c r="C383" s="9" t="s">
        <v>222</v>
      </c>
      <c r="D383" s="4" t="s">
        <v>999</v>
      </c>
      <c r="E383" s="14" t="s">
        <v>999</v>
      </c>
      <c r="F383" s="14" t="s">
        <v>1000</v>
      </c>
      <c r="G383" s="14" t="s">
        <v>998</v>
      </c>
      <c r="H383" s="9" t="s">
        <v>1624</v>
      </c>
      <c r="I383" s="3">
        <v>2338168.0177647066</v>
      </c>
      <c r="J383" s="3">
        <v>854970.90812609799</v>
      </c>
      <c r="K383" s="3">
        <f t="shared" si="12"/>
        <v>3193138.9258908047</v>
      </c>
      <c r="L383" s="3">
        <f>IFERROR(INDEX('CHIRP Payment Calc'!K:K,MATCH(A:A,'CHIRP Payment Calc'!A:A,0)),0)</f>
        <v>0</v>
      </c>
      <c r="M383" s="3">
        <f t="shared" si="13"/>
        <v>3193138.9258908047</v>
      </c>
    </row>
    <row r="384" spans="1:13">
      <c r="A384" s="9" t="s">
        <v>1635</v>
      </c>
      <c r="B384" s="9" t="s">
        <v>227</v>
      </c>
      <c r="C384" s="9" t="s">
        <v>222</v>
      </c>
      <c r="D384" s="4" t="s">
        <v>1636</v>
      </c>
      <c r="E384" s="14" t="s">
        <v>1636</v>
      </c>
      <c r="F384" s="14" t="e">
        <v>#N/A</v>
      </c>
      <c r="G384" s="14" t="s">
        <v>1635</v>
      </c>
      <c r="H384" s="9" t="s">
        <v>1634</v>
      </c>
      <c r="I384" s="3">
        <v>0</v>
      </c>
      <c r="J384" s="3">
        <v>0</v>
      </c>
      <c r="K384" s="3">
        <f t="shared" si="12"/>
        <v>0</v>
      </c>
      <c r="L384" s="3">
        <f>IFERROR(INDEX('CHIRP Payment Calc'!K:K,MATCH(A:A,'CHIRP Payment Calc'!A:A,0)),0)</f>
        <v>0</v>
      </c>
      <c r="M384" s="3">
        <f t="shared" si="13"/>
        <v>0</v>
      </c>
    </row>
    <row r="385" spans="1:13">
      <c r="A385" s="9" t="s">
        <v>747</v>
      </c>
      <c r="B385" s="9" t="s">
        <v>227</v>
      </c>
      <c r="C385" s="9" t="s">
        <v>222</v>
      </c>
      <c r="D385" s="4" t="s">
        <v>748</v>
      </c>
      <c r="E385" s="14" t="s">
        <v>748</v>
      </c>
      <c r="F385" s="14" t="s">
        <v>749</v>
      </c>
      <c r="G385" s="14" t="s">
        <v>747</v>
      </c>
      <c r="H385" s="9" t="s">
        <v>1675</v>
      </c>
      <c r="I385" s="3">
        <v>9984394.998833416</v>
      </c>
      <c r="J385" s="3">
        <v>6833960.6791207343</v>
      </c>
      <c r="K385" s="3">
        <f t="shared" si="12"/>
        <v>16818355.677954152</v>
      </c>
      <c r="L385" s="3">
        <f>IFERROR(INDEX('CHIRP Payment Calc'!K:K,MATCH(A:A,'CHIRP Payment Calc'!A:A,0)),0)</f>
        <v>22383433.879795603</v>
      </c>
      <c r="M385" s="3">
        <f t="shared" si="13"/>
        <v>-5565078.2018414512</v>
      </c>
    </row>
    <row r="386" spans="1:13">
      <c r="A386" s="9" t="s">
        <v>79</v>
      </c>
      <c r="B386" s="9" t="s">
        <v>227</v>
      </c>
      <c r="C386" s="9" t="s">
        <v>222</v>
      </c>
      <c r="D386" s="4" t="s">
        <v>80</v>
      </c>
      <c r="E386" s="14" t="s">
        <v>80</v>
      </c>
      <c r="F386" s="14" t="s">
        <v>81</v>
      </c>
      <c r="G386" s="14" t="s">
        <v>79</v>
      </c>
      <c r="H386" s="9" t="s">
        <v>1933</v>
      </c>
      <c r="I386" s="3">
        <v>0</v>
      </c>
      <c r="J386" s="3">
        <v>0</v>
      </c>
      <c r="K386" s="3">
        <f t="shared" si="12"/>
        <v>0</v>
      </c>
      <c r="L386" s="3">
        <f>IFERROR(INDEX('CHIRP Payment Calc'!K:K,MATCH(A:A,'CHIRP Payment Calc'!A:A,0)),0)</f>
        <v>0</v>
      </c>
      <c r="M386" s="3">
        <f t="shared" si="13"/>
        <v>0</v>
      </c>
    </row>
    <row r="387" spans="1:13">
      <c r="A387" s="9" t="s">
        <v>1431</v>
      </c>
      <c r="B387" s="9" t="s">
        <v>227</v>
      </c>
      <c r="C387" s="9" t="s">
        <v>222</v>
      </c>
      <c r="D387" s="4" t="s">
        <v>1432</v>
      </c>
      <c r="E387" s="14" t="s">
        <v>1432</v>
      </c>
      <c r="F387" s="14" t="s">
        <v>1433</v>
      </c>
      <c r="G387" s="14" t="s">
        <v>1431</v>
      </c>
      <c r="H387" s="9" t="s">
        <v>1932</v>
      </c>
      <c r="I387" s="3">
        <v>11757.44384890457</v>
      </c>
      <c r="J387" s="3">
        <v>457518.4164730254</v>
      </c>
      <c r="K387" s="3">
        <f t="shared" si="12"/>
        <v>469275.86032192997</v>
      </c>
      <c r="L387" s="3">
        <f>IFERROR(INDEX('CHIRP Payment Calc'!K:K,MATCH(A:A,'CHIRP Payment Calc'!A:A,0)),0)</f>
        <v>778384.90782368532</v>
      </c>
      <c r="M387" s="3">
        <f t="shared" si="13"/>
        <v>-309109.04750175535</v>
      </c>
    </row>
    <row r="388" spans="1:13">
      <c r="A388" s="9" t="s">
        <v>198</v>
      </c>
      <c r="B388" s="9" t="s">
        <v>227</v>
      </c>
      <c r="C388" s="9" t="s">
        <v>222</v>
      </c>
      <c r="D388" s="4" t="s">
        <v>199</v>
      </c>
      <c r="E388" s="14" t="s">
        <v>199</v>
      </c>
      <c r="F388" s="14" t="s">
        <v>200</v>
      </c>
      <c r="G388" s="14" t="s">
        <v>198</v>
      </c>
      <c r="H388" s="9" t="s">
        <v>1931</v>
      </c>
      <c r="I388" s="3">
        <v>271304.17404332769</v>
      </c>
      <c r="J388" s="3">
        <v>133129.31750766383</v>
      </c>
      <c r="K388" s="3">
        <f t="shared" si="12"/>
        <v>404433.49155099154</v>
      </c>
      <c r="L388" s="3">
        <f>IFERROR(INDEX('CHIRP Payment Calc'!K:K,MATCH(A:A,'CHIRP Payment Calc'!A:A,0)),0)</f>
        <v>0</v>
      </c>
      <c r="M388" s="3">
        <f t="shared" si="13"/>
        <v>404433.49155099154</v>
      </c>
    </row>
    <row r="389" spans="1:13">
      <c r="A389" s="9" t="s">
        <v>1392</v>
      </c>
      <c r="B389" s="9" t="s">
        <v>227</v>
      </c>
      <c r="C389" s="9" t="s">
        <v>222</v>
      </c>
      <c r="D389" s="4" t="s">
        <v>1393</v>
      </c>
      <c r="E389" s="14" t="s">
        <v>1393</v>
      </c>
      <c r="F389" s="14" t="s">
        <v>1394</v>
      </c>
      <c r="G389" s="14" t="s">
        <v>1392</v>
      </c>
      <c r="H389" s="9" t="s">
        <v>1394</v>
      </c>
      <c r="I389" s="3">
        <v>0</v>
      </c>
      <c r="J389" s="3">
        <v>0</v>
      </c>
      <c r="K389" s="3">
        <f t="shared" si="12"/>
        <v>0</v>
      </c>
      <c r="L389" s="3">
        <f>IFERROR(INDEX('CHIRP Payment Calc'!K:K,MATCH(A:A,'CHIRP Payment Calc'!A:A,0)),0)</f>
        <v>0</v>
      </c>
      <c r="M389" s="3">
        <f t="shared" si="13"/>
        <v>0</v>
      </c>
    </row>
    <row r="390" spans="1:13">
      <c r="A390" s="9" t="s">
        <v>224</v>
      </c>
      <c r="B390" s="9" t="s">
        <v>227</v>
      </c>
      <c r="C390" s="9" t="s">
        <v>222</v>
      </c>
      <c r="D390" s="4" t="s">
        <v>225</v>
      </c>
      <c r="E390" s="14" t="s">
        <v>225</v>
      </c>
      <c r="F390" s="14" t="s">
        <v>226</v>
      </c>
      <c r="G390" s="14" t="s">
        <v>224</v>
      </c>
      <c r="H390" s="9" t="s">
        <v>1930</v>
      </c>
      <c r="I390" s="3">
        <v>0</v>
      </c>
      <c r="J390" s="3">
        <v>0</v>
      </c>
      <c r="K390" s="3">
        <f t="shared" si="12"/>
        <v>0</v>
      </c>
      <c r="L390" s="3">
        <f>IFERROR(INDEX('CHIRP Payment Calc'!K:K,MATCH(A:A,'CHIRP Payment Calc'!A:A,0)),0)</f>
        <v>0</v>
      </c>
      <c r="M390" s="3">
        <f t="shared" si="13"/>
        <v>0</v>
      </c>
    </row>
    <row r="391" spans="1:13">
      <c r="A391" s="9" t="s">
        <v>944</v>
      </c>
      <c r="B391" s="9" t="s">
        <v>227</v>
      </c>
      <c r="C391" s="9" t="s">
        <v>222</v>
      </c>
      <c r="D391" s="4" t="s">
        <v>945</v>
      </c>
      <c r="E391" s="14" t="s">
        <v>945</v>
      </c>
      <c r="F391" s="14" t="s">
        <v>946</v>
      </c>
      <c r="G391" s="14" t="s">
        <v>944</v>
      </c>
      <c r="H391" s="9" t="s">
        <v>1929</v>
      </c>
      <c r="I391" s="3">
        <v>9442065.3346805461</v>
      </c>
      <c r="J391" s="3">
        <v>846350.54600262758</v>
      </c>
      <c r="K391" s="3">
        <f t="shared" si="12"/>
        <v>10288415.880683174</v>
      </c>
      <c r="L391" s="3">
        <f>IFERROR(INDEX('CHIRP Payment Calc'!K:K,MATCH(A:A,'CHIRP Payment Calc'!A:A,0)),0)</f>
        <v>12215467.044193789</v>
      </c>
      <c r="M391" s="3">
        <f t="shared" si="13"/>
        <v>-1927051.163510615</v>
      </c>
    </row>
    <row r="392" spans="1:13">
      <c r="A392" s="9" t="s">
        <v>1425</v>
      </c>
      <c r="B392" s="9" t="s">
        <v>227</v>
      </c>
      <c r="C392" s="9" t="s">
        <v>222</v>
      </c>
      <c r="D392" s="4" t="s">
        <v>1426</v>
      </c>
      <c r="E392" s="14" t="s">
        <v>1426</v>
      </c>
      <c r="F392" s="14" t="s">
        <v>1427</v>
      </c>
      <c r="G392" s="14" t="s">
        <v>1425</v>
      </c>
      <c r="H392" s="9" t="s">
        <v>1928</v>
      </c>
      <c r="I392" s="3">
        <v>68735.825578211327</v>
      </c>
      <c r="J392" s="3">
        <v>519311.84233092924</v>
      </c>
      <c r="K392" s="3">
        <f t="shared" ref="K392:K455" si="14">I392+J392</f>
        <v>588047.66790914058</v>
      </c>
      <c r="L392" s="3">
        <f>IFERROR(INDEX('CHIRP Payment Calc'!K:K,MATCH(A:A,'CHIRP Payment Calc'!A:A,0)),0)</f>
        <v>980436.30169988098</v>
      </c>
      <c r="M392" s="3">
        <f t="shared" ref="M392:M455" si="15">K392-L392</f>
        <v>-392388.63379074039</v>
      </c>
    </row>
    <row r="393" spans="1:13">
      <c r="A393" s="9" t="s">
        <v>494</v>
      </c>
      <c r="B393" s="9" t="s">
        <v>227</v>
      </c>
      <c r="C393" s="9" t="s">
        <v>222</v>
      </c>
      <c r="D393" s="4" t="s">
        <v>495</v>
      </c>
      <c r="E393" s="14" t="s">
        <v>495</v>
      </c>
      <c r="F393" s="14" t="s">
        <v>496</v>
      </c>
      <c r="G393" s="14" t="s">
        <v>494</v>
      </c>
      <c r="H393" s="9" t="s">
        <v>1726</v>
      </c>
      <c r="I393" s="3">
        <v>3245810.9730658121</v>
      </c>
      <c r="J393" s="3">
        <v>1155404.0825789608</v>
      </c>
      <c r="K393" s="3">
        <f t="shared" si="14"/>
        <v>4401215.0556447729</v>
      </c>
      <c r="L393" s="3">
        <f>IFERROR(INDEX('CHIRP Payment Calc'!K:K,MATCH(A:A,'CHIRP Payment Calc'!A:A,0)),0)</f>
        <v>0</v>
      </c>
      <c r="M393" s="3">
        <f t="shared" si="15"/>
        <v>4401215.0556447729</v>
      </c>
    </row>
    <row r="394" spans="1:13">
      <c r="A394" s="9" t="s">
        <v>1562</v>
      </c>
      <c r="B394" s="9" t="s">
        <v>227</v>
      </c>
      <c r="C394" s="9" t="s">
        <v>222</v>
      </c>
      <c r="D394" s="4" t="s">
        <v>1619</v>
      </c>
      <c r="E394" s="14" t="s">
        <v>1619</v>
      </c>
      <c r="F394" s="14" t="s">
        <v>1237</v>
      </c>
      <c r="G394" s="14" t="s">
        <v>1562</v>
      </c>
      <c r="H394" s="9" t="s">
        <v>1618</v>
      </c>
      <c r="I394" s="3">
        <v>4398918.0585246747</v>
      </c>
      <c r="J394" s="3">
        <v>3990437.2789299036</v>
      </c>
      <c r="K394" s="3">
        <f t="shared" si="14"/>
        <v>8389355.3374545779</v>
      </c>
      <c r="L394" s="3">
        <f>IFERROR(INDEX('CHIRP Payment Calc'!K:K,MATCH(A:A,'CHIRP Payment Calc'!A:A,0)),0)</f>
        <v>11564397.645838074</v>
      </c>
      <c r="M394" s="3">
        <f t="shared" si="15"/>
        <v>-3175042.3083834965</v>
      </c>
    </row>
    <row r="395" spans="1:13">
      <c r="A395" s="9" t="s">
        <v>653</v>
      </c>
      <c r="B395" s="9" t="s">
        <v>227</v>
      </c>
      <c r="C395" s="9" t="s">
        <v>222</v>
      </c>
      <c r="D395" s="4" t="s">
        <v>654</v>
      </c>
      <c r="E395" s="14" t="s">
        <v>654</v>
      </c>
      <c r="F395" s="14" t="s">
        <v>655</v>
      </c>
      <c r="G395" s="14" t="s">
        <v>653</v>
      </c>
      <c r="H395" s="9" t="s">
        <v>1927</v>
      </c>
      <c r="I395" s="3">
        <v>0</v>
      </c>
      <c r="J395" s="3">
        <v>0</v>
      </c>
      <c r="K395" s="3">
        <f t="shared" si="14"/>
        <v>0</v>
      </c>
      <c r="L395" s="3">
        <f>IFERROR(INDEX('CHIRP Payment Calc'!K:K,MATCH(A:A,'CHIRP Payment Calc'!A:A,0)),0)</f>
        <v>0</v>
      </c>
      <c r="M395" s="3">
        <f t="shared" si="15"/>
        <v>0</v>
      </c>
    </row>
    <row r="396" spans="1:13">
      <c r="A396" s="9" t="s">
        <v>977</v>
      </c>
      <c r="B396" s="9" t="s">
        <v>227</v>
      </c>
      <c r="C396" s="9" t="s">
        <v>1479</v>
      </c>
      <c r="D396" s="4" t="s">
        <v>978</v>
      </c>
      <c r="E396" s="14" t="s">
        <v>978</v>
      </c>
      <c r="F396" s="14" t="s">
        <v>979</v>
      </c>
      <c r="G396" s="14" t="s">
        <v>977</v>
      </c>
      <c r="H396" s="9" t="s">
        <v>1926</v>
      </c>
      <c r="I396" s="3">
        <v>44325.029418999213</v>
      </c>
      <c r="J396" s="3">
        <v>35086.653468303506</v>
      </c>
      <c r="K396" s="3">
        <f t="shared" si="14"/>
        <v>79411.682887302712</v>
      </c>
      <c r="L396" s="3">
        <f>IFERROR(INDEX('CHIRP Payment Calc'!K:K,MATCH(A:A,'CHIRP Payment Calc'!A:A,0)),0)</f>
        <v>0</v>
      </c>
      <c r="M396" s="3">
        <f t="shared" si="15"/>
        <v>79411.682887302712</v>
      </c>
    </row>
    <row r="397" spans="1:13">
      <c r="A397" s="9" t="s">
        <v>347</v>
      </c>
      <c r="B397" s="9" t="s">
        <v>227</v>
      </c>
      <c r="C397" s="9" t="s">
        <v>1479</v>
      </c>
      <c r="D397" s="4" t="s">
        <v>348</v>
      </c>
      <c r="E397" s="14" t="s">
        <v>348</v>
      </c>
      <c r="F397" s="14" t="s">
        <v>349</v>
      </c>
      <c r="G397" s="14" t="s">
        <v>347</v>
      </c>
      <c r="H397" s="9" t="s">
        <v>1925</v>
      </c>
      <c r="I397" s="3">
        <v>71646.778826836264</v>
      </c>
      <c r="J397" s="3">
        <v>32648.288158475189</v>
      </c>
      <c r="K397" s="3">
        <f t="shared" si="14"/>
        <v>104295.06698531145</v>
      </c>
      <c r="L397" s="3">
        <f>IFERROR(INDEX('CHIRP Payment Calc'!K:K,MATCH(A:A,'CHIRP Payment Calc'!A:A,0)),0)</f>
        <v>200449.42158531319</v>
      </c>
      <c r="M397" s="3">
        <f t="shared" si="15"/>
        <v>-96154.354600001738</v>
      </c>
    </row>
    <row r="398" spans="1:13">
      <c r="A398" s="9" t="s">
        <v>2326</v>
      </c>
      <c r="B398" s="9" t="s">
        <v>227</v>
      </c>
      <c r="C398" s="9" t="s">
        <v>1479</v>
      </c>
      <c r="D398" s="4" t="s">
        <v>1924</v>
      </c>
      <c r="E398" s="14" t="e">
        <v>#N/A</v>
      </c>
      <c r="F398" s="14" t="e">
        <v>#N/A</v>
      </c>
      <c r="G398" s="14" t="e">
        <v>#N/A</v>
      </c>
      <c r="H398" s="9" t="s">
        <v>1623</v>
      </c>
      <c r="I398" s="3">
        <v>0</v>
      </c>
      <c r="J398" s="3">
        <v>0</v>
      </c>
      <c r="K398" s="3">
        <f t="shared" si="14"/>
        <v>0</v>
      </c>
      <c r="L398" s="3">
        <f>IFERROR(INDEX('CHIRP Payment Calc'!K:K,MATCH(A:A,'CHIRP Payment Calc'!A:A,0)),0)</f>
        <v>0</v>
      </c>
      <c r="M398" s="3">
        <f t="shared" si="15"/>
        <v>0</v>
      </c>
    </row>
    <row r="399" spans="1:13">
      <c r="A399" s="9" t="s">
        <v>341</v>
      </c>
      <c r="B399" s="9" t="s">
        <v>227</v>
      </c>
      <c r="C399" s="9" t="s">
        <v>1479</v>
      </c>
      <c r="D399" s="4" t="s">
        <v>342</v>
      </c>
      <c r="E399" s="14" t="s">
        <v>342</v>
      </c>
      <c r="F399" s="14" t="s">
        <v>343</v>
      </c>
      <c r="G399" s="14" t="s">
        <v>341</v>
      </c>
      <c r="H399" s="9" t="s">
        <v>1923</v>
      </c>
      <c r="I399" s="3">
        <v>64878.488200330532</v>
      </c>
      <c r="J399" s="3">
        <v>11469.526707443179</v>
      </c>
      <c r="K399" s="3">
        <f t="shared" si="14"/>
        <v>76348.014907773715</v>
      </c>
      <c r="L399" s="3">
        <f>IFERROR(INDEX('CHIRP Payment Calc'!K:K,MATCH(A:A,'CHIRP Payment Calc'!A:A,0)),0)</f>
        <v>0</v>
      </c>
      <c r="M399" s="3">
        <f t="shared" si="15"/>
        <v>76348.014907773715</v>
      </c>
    </row>
    <row r="400" spans="1:13">
      <c r="A400" s="9" t="s">
        <v>111</v>
      </c>
      <c r="B400" s="9" t="s">
        <v>227</v>
      </c>
      <c r="C400" s="9" t="s">
        <v>1479</v>
      </c>
      <c r="D400" s="4" t="s">
        <v>112</v>
      </c>
      <c r="E400" s="14" t="s">
        <v>112</v>
      </c>
      <c r="F400" s="14" t="s">
        <v>113</v>
      </c>
      <c r="G400" s="14" t="s">
        <v>111</v>
      </c>
      <c r="H400" s="9" t="s">
        <v>1922</v>
      </c>
      <c r="I400" s="3">
        <v>1900637.7926116586</v>
      </c>
      <c r="J400" s="3">
        <v>234374.78567144342</v>
      </c>
      <c r="K400" s="3">
        <f t="shared" si="14"/>
        <v>2135012.5782831018</v>
      </c>
      <c r="L400" s="3">
        <f>IFERROR(INDEX('CHIRP Payment Calc'!K:K,MATCH(A:A,'CHIRP Payment Calc'!A:A,0)),0)</f>
        <v>3106813.8569877604</v>
      </c>
      <c r="M400" s="3">
        <f t="shared" si="15"/>
        <v>-971801.27870465862</v>
      </c>
    </row>
    <row r="401" spans="1:13">
      <c r="A401" s="9" t="s">
        <v>533</v>
      </c>
      <c r="B401" s="9" t="s">
        <v>227</v>
      </c>
      <c r="C401" s="9" t="s">
        <v>1479</v>
      </c>
      <c r="D401" s="4" t="s">
        <v>534</v>
      </c>
      <c r="E401" s="14" t="s">
        <v>534</v>
      </c>
      <c r="F401" s="14" t="s">
        <v>535</v>
      </c>
      <c r="G401" s="14" t="s">
        <v>533</v>
      </c>
      <c r="H401" s="9" t="s">
        <v>1715</v>
      </c>
      <c r="I401" s="3">
        <v>713532.51674735674</v>
      </c>
      <c r="J401" s="3">
        <v>94954.331596846328</v>
      </c>
      <c r="K401" s="3">
        <f t="shared" si="14"/>
        <v>808486.84834420308</v>
      </c>
      <c r="L401" s="3">
        <f>IFERROR(INDEX('CHIRP Payment Calc'!K:K,MATCH(A:A,'CHIRP Payment Calc'!A:A,0)),0)</f>
        <v>1151788.5830844068</v>
      </c>
      <c r="M401" s="3">
        <f t="shared" si="15"/>
        <v>-343301.73474020371</v>
      </c>
    </row>
    <row r="402" spans="1:13">
      <c r="A402" s="9" t="s">
        <v>1375</v>
      </c>
      <c r="B402" s="9" t="s">
        <v>227</v>
      </c>
      <c r="C402" s="9" t="s">
        <v>1479</v>
      </c>
      <c r="D402" s="4" t="s">
        <v>1376</v>
      </c>
      <c r="E402" s="14" t="s">
        <v>1376</v>
      </c>
      <c r="F402" s="14" t="s">
        <v>1377</v>
      </c>
      <c r="G402" s="14" t="s">
        <v>1375</v>
      </c>
      <c r="H402" s="9" t="s">
        <v>1921</v>
      </c>
      <c r="I402" s="3">
        <v>1725136.4838742982</v>
      </c>
      <c r="J402" s="3">
        <v>641386.43730771309</v>
      </c>
      <c r="K402" s="3">
        <f t="shared" si="14"/>
        <v>2366522.9211820113</v>
      </c>
      <c r="L402" s="3">
        <f>IFERROR(INDEX('CHIRP Payment Calc'!K:K,MATCH(A:A,'CHIRP Payment Calc'!A:A,0)),0)</f>
        <v>3882330.2253608005</v>
      </c>
      <c r="M402" s="3">
        <f t="shared" si="15"/>
        <v>-1515807.3041787893</v>
      </c>
    </row>
    <row r="403" spans="1:13">
      <c r="A403" s="9" t="s">
        <v>338</v>
      </c>
      <c r="B403" s="9" t="s">
        <v>227</v>
      </c>
      <c r="C403" s="9" t="s">
        <v>1479</v>
      </c>
      <c r="D403" s="4" t="s">
        <v>339</v>
      </c>
      <c r="E403" s="14" t="s">
        <v>339</v>
      </c>
      <c r="F403" s="14" t="s">
        <v>340</v>
      </c>
      <c r="G403" s="14" t="s">
        <v>338</v>
      </c>
      <c r="H403" s="9" t="s">
        <v>1920</v>
      </c>
      <c r="I403" s="3">
        <v>298412.21678626101</v>
      </c>
      <c r="J403" s="3">
        <v>125391.89270176798</v>
      </c>
      <c r="K403" s="3">
        <f t="shared" si="14"/>
        <v>423804.10948802897</v>
      </c>
      <c r="L403" s="3">
        <f>IFERROR(INDEX('CHIRP Payment Calc'!K:K,MATCH(A:A,'CHIRP Payment Calc'!A:A,0)),0)</f>
        <v>486803.20536334597</v>
      </c>
      <c r="M403" s="3">
        <f t="shared" si="15"/>
        <v>-62999.095875316998</v>
      </c>
    </row>
    <row r="404" spans="1:13">
      <c r="A404" s="9" t="s">
        <v>713</v>
      </c>
      <c r="B404" s="9" t="s">
        <v>227</v>
      </c>
      <c r="C404" s="9" t="s">
        <v>1479</v>
      </c>
      <c r="D404" s="4" t="s">
        <v>714</v>
      </c>
      <c r="E404" s="14" t="s">
        <v>714</v>
      </c>
      <c r="F404" s="14" t="s">
        <v>715</v>
      </c>
      <c r="G404" s="14" t="s">
        <v>713</v>
      </c>
      <c r="H404" s="9" t="s">
        <v>1919</v>
      </c>
      <c r="I404" s="3">
        <v>753844.31454103265</v>
      </c>
      <c r="J404" s="3">
        <v>169865.24610535501</v>
      </c>
      <c r="K404" s="3">
        <f t="shared" si="14"/>
        <v>923709.56064638763</v>
      </c>
      <c r="L404" s="3">
        <f>IFERROR(INDEX('CHIRP Payment Calc'!K:K,MATCH(A:A,'CHIRP Payment Calc'!A:A,0)),0)</f>
        <v>1906520.7753579677</v>
      </c>
      <c r="M404" s="3">
        <f t="shared" si="15"/>
        <v>-982811.21471158008</v>
      </c>
    </row>
    <row r="405" spans="1:13">
      <c r="A405" s="9" t="s">
        <v>974</v>
      </c>
      <c r="B405" s="9" t="s">
        <v>227</v>
      </c>
      <c r="C405" s="9" t="s">
        <v>1479</v>
      </c>
      <c r="D405" s="4" t="s">
        <v>975</v>
      </c>
      <c r="E405" s="14" t="s">
        <v>975</v>
      </c>
      <c r="F405" s="14" t="s">
        <v>976</v>
      </c>
      <c r="G405" s="14" t="s">
        <v>974</v>
      </c>
      <c r="H405" s="9" t="s">
        <v>1918</v>
      </c>
      <c r="I405" s="3">
        <v>61693.253805902415</v>
      </c>
      <c r="J405" s="3">
        <v>28373.964843202535</v>
      </c>
      <c r="K405" s="3">
        <f t="shared" si="14"/>
        <v>90067.218649104951</v>
      </c>
      <c r="L405" s="3">
        <f>IFERROR(INDEX('CHIRP Payment Calc'!K:K,MATCH(A:A,'CHIRP Payment Calc'!A:A,0)),0)</f>
        <v>0</v>
      </c>
      <c r="M405" s="3">
        <f t="shared" si="15"/>
        <v>90067.218649104951</v>
      </c>
    </row>
    <row r="406" spans="1:13">
      <c r="A406" s="9" t="s">
        <v>171</v>
      </c>
      <c r="B406" s="9" t="s">
        <v>227</v>
      </c>
      <c r="C406" s="9" t="s">
        <v>1479</v>
      </c>
      <c r="D406" s="4" t="s">
        <v>172</v>
      </c>
      <c r="E406" s="14" t="s">
        <v>172</v>
      </c>
      <c r="F406" s="14" t="s">
        <v>173</v>
      </c>
      <c r="G406" s="14" t="s">
        <v>171</v>
      </c>
      <c r="H406" s="9" t="s">
        <v>1917</v>
      </c>
      <c r="I406" s="3">
        <v>208670.47762060654</v>
      </c>
      <c r="J406" s="3">
        <v>206260.61883996005</v>
      </c>
      <c r="K406" s="3">
        <f t="shared" si="14"/>
        <v>414931.09646056662</v>
      </c>
      <c r="L406" s="3">
        <f>IFERROR(INDEX('CHIRP Payment Calc'!K:K,MATCH(A:A,'CHIRP Payment Calc'!A:A,0)),0)</f>
        <v>581691.19403749448</v>
      </c>
      <c r="M406" s="3">
        <f t="shared" si="15"/>
        <v>-166760.09757692786</v>
      </c>
    </row>
    <row r="407" spans="1:13">
      <c r="A407" s="9" t="s">
        <v>350</v>
      </c>
      <c r="B407" s="9" t="s">
        <v>227</v>
      </c>
      <c r="C407" s="9" t="s">
        <v>1479</v>
      </c>
      <c r="D407" s="4" t="s">
        <v>351</v>
      </c>
      <c r="E407" s="14" t="s">
        <v>351</v>
      </c>
      <c r="F407" s="14" t="s">
        <v>352</v>
      </c>
      <c r="G407" s="14" t="s">
        <v>350</v>
      </c>
      <c r="H407" s="9" t="s">
        <v>1916</v>
      </c>
      <c r="I407" s="3">
        <v>248646.69845009135</v>
      </c>
      <c r="J407" s="3">
        <v>34720.149026855986</v>
      </c>
      <c r="K407" s="3">
        <f t="shared" si="14"/>
        <v>283366.84747694735</v>
      </c>
      <c r="L407" s="3">
        <f>IFERROR(INDEX('CHIRP Payment Calc'!K:K,MATCH(A:A,'CHIRP Payment Calc'!A:A,0)),0)</f>
        <v>361452.8371126948</v>
      </c>
      <c r="M407" s="3">
        <f t="shared" si="15"/>
        <v>-78085.98963574745</v>
      </c>
    </row>
    <row r="408" spans="1:13">
      <c r="A408" s="9" t="s">
        <v>1606</v>
      </c>
      <c r="B408" s="9" t="s">
        <v>227</v>
      </c>
      <c r="C408" s="9" t="s">
        <v>1479</v>
      </c>
      <c r="D408" s="4" t="s">
        <v>1607</v>
      </c>
      <c r="E408" s="14" t="s">
        <v>1607</v>
      </c>
      <c r="F408" s="14" t="e">
        <v>#N/A</v>
      </c>
      <c r="G408" s="14" t="s">
        <v>1606</v>
      </c>
      <c r="H408" s="9" t="s">
        <v>1915</v>
      </c>
      <c r="I408" s="3">
        <v>0</v>
      </c>
      <c r="J408" s="3">
        <v>0</v>
      </c>
      <c r="K408" s="3">
        <f t="shared" si="14"/>
        <v>0</v>
      </c>
      <c r="L408" s="3">
        <f>IFERROR(INDEX('CHIRP Payment Calc'!K:K,MATCH(A:A,'CHIRP Payment Calc'!A:A,0)),0)</f>
        <v>0</v>
      </c>
      <c r="M408" s="3">
        <f t="shared" si="15"/>
        <v>0</v>
      </c>
    </row>
    <row r="409" spans="1:13">
      <c r="A409" s="9" t="s">
        <v>539</v>
      </c>
      <c r="B409" s="9" t="s">
        <v>227</v>
      </c>
      <c r="C409" s="9" t="s">
        <v>1479</v>
      </c>
      <c r="D409" s="4" t="s">
        <v>540</v>
      </c>
      <c r="E409" s="14" t="s">
        <v>540</v>
      </c>
      <c r="F409" s="14" t="s">
        <v>541</v>
      </c>
      <c r="G409" s="14" t="s">
        <v>539</v>
      </c>
      <c r="H409" s="9" t="s">
        <v>1714</v>
      </c>
      <c r="I409" s="3">
        <v>3184753.7054586369</v>
      </c>
      <c r="J409" s="3">
        <v>1674197.7159287005</v>
      </c>
      <c r="K409" s="3">
        <f t="shared" si="14"/>
        <v>4858951.4213873371</v>
      </c>
      <c r="L409" s="3">
        <f>IFERROR(INDEX('CHIRP Payment Calc'!K:K,MATCH(A:A,'CHIRP Payment Calc'!A:A,0)),0)</f>
        <v>0</v>
      </c>
      <c r="M409" s="3">
        <f t="shared" si="15"/>
        <v>4858951.4213873371</v>
      </c>
    </row>
    <row r="410" spans="1:13">
      <c r="A410" s="9" t="s">
        <v>1044</v>
      </c>
      <c r="B410" s="9" t="s">
        <v>227</v>
      </c>
      <c r="C410" s="9" t="s">
        <v>1479</v>
      </c>
      <c r="D410" s="4" t="s">
        <v>1045</v>
      </c>
      <c r="E410" s="14" t="s">
        <v>1045</v>
      </c>
      <c r="F410" s="14" t="s">
        <v>1046</v>
      </c>
      <c r="G410" s="14" t="s">
        <v>1044</v>
      </c>
      <c r="H410" s="9" t="s">
        <v>1914</v>
      </c>
      <c r="I410" s="3">
        <v>3019859.5886857156</v>
      </c>
      <c r="J410" s="3">
        <v>1525833.2731818834</v>
      </c>
      <c r="K410" s="3">
        <f t="shared" si="14"/>
        <v>4545692.8618675992</v>
      </c>
      <c r="L410" s="3">
        <f>IFERROR(INDEX('CHIRP Payment Calc'!K:K,MATCH(A:A,'CHIRP Payment Calc'!A:A,0)),0)</f>
        <v>0</v>
      </c>
      <c r="M410" s="3">
        <f t="shared" si="15"/>
        <v>4545692.8618675992</v>
      </c>
    </row>
    <row r="411" spans="1:13">
      <c r="A411" s="9" t="s">
        <v>2294</v>
      </c>
      <c r="B411" s="9" t="s">
        <v>227</v>
      </c>
      <c r="C411" s="9" t="s">
        <v>1479</v>
      </c>
      <c r="D411" s="4" t="s">
        <v>1147</v>
      </c>
      <c r="E411" s="14" t="s">
        <v>1147</v>
      </c>
      <c r="F411" s="14" t="s">
        <v>1148</v>
      </c>
      <c r="G411" s="14" t="s">
        <v>1146</v>
      </c>
      <c r="H411" s="9" t="s">
        <v>1623</v>
      </c>
      <c r="I411" s="3">
        <v>1306420.495599671</v>
      </c>
      <c r="J411" s="3">
        <v>500889.68796631863</v>
      </c>
      <c r="K411" s="3">
        <f t="shared" si="14"/>
        <v>1807310.1835659896</v>
      </c>
      <c r="L411" s="3">
        <f>IFERROR(INDEX('CHIRP Payment Calc'!K:K,MATCH(A:A,'CHIRP Payment Calc'!A:A,0)),0)</f>
        <v>2552206.6601187084</v>
      </c>
      <c r="M411" s="3">
        <f t="shared" si="15"/>
        <v>-744896.47655271878</v>
      </c>
    </row>
    <row r="412" spans="1:13">
      <c r="A412" s="9" t="s">
        <v>965</v>
      </c>
      <c r="B412" s="9" t="s">
        <v>227</v>
      </c>
      <c r="C412" s="9" t="s">
        <v>1479</v>
      </c>
      <c r="D412" s="4" t="s">
        <v>966</v>
      </c>
      <c r="E412" s="14" t="s">
        <v>966</v>
      </c>
      <c r="F412" s="14" t="s">
        <v>967</v>
      </c>
      <c r="G412" s="14" t="s">
        <v>965</v>
      </c>
      <c r="H412" s="9" t="s">
        <v>1638</v>
      </c>
      <c r="I412" s="3">
        <v>92306.543118982663</v>
      </c>
      <c r="J412" s="3">
        <v>30104.309083153901</v>
      </c>
      <c r="K412" s="3">
        <f t="shared" si="14"/>
        <v>122410.85220213656</v>
      </c>
      <c r="L412" s="3">
        <f>IFERROR(INDEX('CHIRP Payment Calc'!K:K,MATCH(A:A,'CHIRP Payment Calc'!A:A,0)),0)</f>
        <v>0</v>
      </c>
      <c r="M412" s="3">
        <f t="shared" si="15"/>
        <v>122410.85220213656</v>
      </c>
    </row>
    <row r="413" spans="1:13">
      <c r="A413" s="9" t="s">
        <v>825</v>
      </c>
      <c r="B413" s="9" t="s">
        <v>227</v>
      </c>
      <c r="C413" s="9" t="s">
        <v>1545</v>
      </c>
      <c r="D413" s="4" t="s">
        <v>826</v>
      </c>
      <c r="E413" s="14" t="s">
        <v>826</v>
      </c>
      <c r="F413" s="14" t="s">
        <v>827</v>
      </c>
      <c r="G413" s="14" t="s">
        <v>825</v>
      </c>
      <c r="H413" s="9" t="s">
        <v>1664</v>
      </c>
      <c r="I413" s="3">
        <v>69943.091909068695</v>
      </c>
      <c r="J413" s="3">
        <v>16680.178933402767</v>
      </c>
      <c r="K413" s="3">
        <f t="shared" si="14"/>
        <v>86623.270842471466</v>
      </c>
      <c r="L413" s="3">
        <f>IFERROR(INDEX('CHIRP Payment Calc'!K:K,MATCH(A:A,'CHIRP Payment Calc'!A:A,0)),0)</f>
        <v>156457.26884363251</v>
      </c>
      <c r="M413" s="3">
        <f t="shared" si="15"/>
        <v>-69833.998001161046</v>
      </c>
    </row>
    <row r="414" spans="1:13">
      <c r="A414" s="9" t="s">
        <v>548</v>
      </c>
      <c r="B414" s="9" t="s">
        <v>227</v>
      </c>
      <c r="C414" s="9" t="s">
        <v>1545</v>
      </c>
      <c r="D414" s="4" t="s">
        <v>549</v>
      </c>
      <c r="E414" s="14" t="s">
        <v>549</v>
      </c>
      <c r="F414" s="14" t="s">
        <v>550</v>
      </c>
      <c r="G414" s="14" t="s">
        <v>548</v>
      </c>
      <c r="H414" s="9" t="s">
        <v>1913</v>
      </c>
      <c r="I414" s="3">
        <v>162292.81765159688</v>
      </c>
      <c r="J414" s="3">
        <v>34615.559075612167</v>
      </c>
      <c r="K414" s="3">
        <f t="shared" si="14"/>
        <v>196908.37672720905</v>
      </c>
      <c r="L414" s="3">
        <f>IFERROR(INDEX('CHIRP Payment Calc'!K:K,MATCH(A:A,'CHIRP Payment Calc'!A:A,0)),0)</f>
        <v>333051.79748130933</v>
      </c>
      <c r="M414" s="3">
        <f t="shared" si="15"/>
        <v>-136143.42075410028</v>
      </c>
    </row>
    <row r="415" spans="1:13">
      <c r="A415" s="9" t="s">
        <v>1069</v>
      </c>
      <c r="B415" s="9" t="s">
        <v>227</v>
      </c>
      <c r="C415" s="9" t="s">
        <v>1545</v>
      </c>
      <c r="D415" s="4" t="s">
        <v>1070</v>
      </c>
      <c r="E415" s="14" t="s">
        <v>1070</v>
      </c>
      <c r="F415" s="14" t="s">
        <v>1071</v>
      </c>
      <c r="G415" s="14" t="s">
        <v>1069</v>
      </c>
      <c r="H415" s="9" t="s">
        <v>1912</v>
      </c>
      <c r="I415" s="3">
        <v>102863.94054884469</v>
      </c>
      <c r="J415" s="3">
        <v>5990.2950240642922</v>
      </c>
      <c r="K415" s="3">
        <f t="shared" si="14"/>
        <v>108854.23557290899</v>
      </c>
      <c r="L415" s="3">
        <f>IFERROR(INDEX('CHIRP Payment Calc'!K:K,MATCH(A:A,'CHIRP Payment Calc'!A:A,0)),0)</f>
        <v>183662.19766410644</v>
      </c>
      <c r="M415" s="3">
        <f t="shared" si="15"/>
        <v>-74807.962091197449</v>
      </c>
    </row>
    <row r="416" spans="1:13">
      <c r="A416" s="9" t="s">
        <v>716</v>
      </c>
      <c r="B416" s="9" t="s">
        <v>227</v>
      </c>
      <c r="C416" s="9" t="s">
        <v>1545</v>
      </c>
      <c r="D416" s="4" t="s">
        <v>717</v>
      </c>
      <c r="E416" s="14" t="s">
        <v>717</v>
      </c>
      <c r="F416" s="14" t="s">
        <v>718</v>
      </c>
      <c r="G416" s="14" t="s">
        <v>716</v>
      </c>
      <c r="H416" s="9" t="s">
        <v>1911</v>
      </c>
      <c r="I416" s="3">
        <v>75606.418609447894</v>
      </c>
      <c r="J416" s="3">
        <v>12109.16031021597</v>
      </c>
      <c r="K416" s="3">
        <f t="shared" si="14"/>
        <v>87715.578919663865</v>
      </c>
      <c r="L416" s="3">
        <f>IFERROR(INDEX('CHIRP Payment Calc'!K:K,MATCH(A:A,'CHIRP Payment Calc'!A:A,0)),0)</f>
        <v>97058.351571313513</v>
      </c>
      <c r="M416" s="3">
        <f t="shared" si="15"/>
        <v>-9342.7726516496477</v>
      </c>
    </row>
    <row r="417" spans="1:13">
      <c r="A417" s="9" t="s">
        <v>1155</v>
      </c>
      <c r="B417" s="9" t="s">
        <v>227</v>
      </c>
      <c r="C417" s="9" t="s">
        <v>1545</v>
      </c>
      <c r="D417" s="4" t="s">
        <v>1156</v>
      </c>
      <c r="E417" s="14" t="s">
        <v>1156</v>
      </c>
      <c r="F417" s="14" t="s">
        <v>1157</v>
      </c>
      <c r="G417" s="14" t="s">
        <v>1155</v>
      </c>
      <c r="H417" s="9" t="s">
        <v>1910</v>
      </c>
      <c r="I417" s="3">
        <v>3963180.6127158604</v>
      </c>
      <c r="J417" s="3">
        <v>705422.10975396121</v>
      </c>
      <c r="K417" s="3">
        <f t="shared" si="14"/>
        <v>4668602.7224698216</v>
      </c>
      <c r="L417" s="3">
        <f>IFERROR(INDEX('CHIRP Payment Calc'!K:K,MATCH(A:A,'CHIRP Payment Calc'!A:A,0)),0)</f>
        <v>6323763.47019515</v>
      </c>
      <c r="M417" s="3">
        <f t="shared" si="15"/>
        <v>-1655160.7477253284</v>
      </c>
    </row>
    <row r="418" spans="1:13">
      <c r="A418" s="9" t="s">
        <v>106</v>
      </c>
      <c r="B418" s="9" t="s">
        <v>227</v>
      </c>
      <c r="C418" s="9" t="s">
        <v>1545</v>
      </c>
      <c r="D418" s="4" t="s">
        <v>107</v>
      </c>
      <c r="E418" s="14" t="s">
        <v>107</v>
      </c>
      <c r="F418" s="14" t="s">
        <v>108</v>
      </c>
      <c r="G418" s="14" t="s">
        <v>106</v>
      </c>
      <c r="H418" s="9" t="s">
        <v>1909</v>
      </c>
      <c r="I418" s="3">
        <v>715941.74687779718</v>
      </c>
      <c r="J418" s="3">
        <v>199542.68752977805</v>
      </c>
      <c r="K418" s="3">
        <f t="shared" si="14"/>
        <v>915484.43440757529</v>
      </c>
      <c r="L418" s="3">
        <f>IFERROR(INDEX('CHIRP Payment Calc'!K:K,MATCH(A:A,'CHIRP Payment Calc'!A:A,0)),0)</f>
        <v>1163021.7656497615</v>
      </c>
      <c r="M418" s="3">
        <f t="shared" si="15"/>
        <v>-247537.33124218625</v>
      </c>
    </row>
    <row r="419" spans="1:13">
      <c r="A419" s="9" t="s">
        <v>729</v>
      </c>
      <c r="B419" s="9" t="s">
        <v>227</v>
      </c>
      <c r="C419" s="9" t="s">
        <v>1545</v>
      </c>
      <c r="D419" s="4" t="s">
        <v>730</v>
      </c>
      <c r="E419" s="14" t="s">
        <v>730</v>
      </c>
      <c r="F419" s="14" t="s">
        <v>731</v>
      </c>
      <c r="G419" s="14" t="s">
        <v>729</v>
      </c>
      <c r="H419" s="9" t="s">
        <v>1684</v>
      </c>
      <c r="I419" s="3">
        <v>183410.28731122456</v>
      </c>
      <c r="J419" s="3">
        <v>153402.59403234691</v>
      </c>
      <c r="K419" s="3">
        <f t="shared" si="14"/>
        <v>336812.88134357147</v>
      </c>
      <c r="L419" s="3">
        <f>IFERROR(INDEX('CHIRP Payment Calc'!K:K,MATCH(A:A,'CHIRP Payment Calc'!A:A,0)),0)</f>
        <v>334927.28478922695</v>
      </c>
      <c r="M419" s="3">
        <f t="shared" si="15"/>
        <v>1885.59655434452</v>
      </c>
    </row>
    <row r="420" spans="1:13">
      <c r="A420" s="9" t="s">
        <v>497</v>
      </c>
      <c r="B420" s="9" t="s">
        <v>227</v>
      </c>
      <c r="C420" s="9" t="s">
        <v>1545</v>
      </c>
      <c r="D420" s="4" t="s">
        <v>498</v>
      </c>
      <c r="E420" s="14" t="s">
        <v>498</v>
      </c>
      <c r="F420" s="14" t="s">
        <v>499</v>
      </c>
      <c r="G420" s="14" t="s">
        <v>497</v>
      </c>
      <c r="H420" s="9" t="s">
        <v>1724</v>
      </c>
      <c r="I420" s="3">
        <v>1813279.509402121</v>
      </c>
      <c r="J420" s="3">
        <v>161773.38437254835</v>
      </c>
      <c r="K420" s="3">
        <f t="shared" si="14"/>
        <v>1975052.8937746694</v>
      </c>
      <c r="L420" s="3">
        <f>IFERROR(INDEX('CHIRP Payment Calc'!K:K,MATCH(A:A,'CHIRP Payment Calc'!A:A,0)),0)</f>
        <v>2583575.6713337339</v>
      </c>
      <c r="M420" s="3">
        <f t="shared" si="15"/>
        <v>-608522.77755906456</v>
      </c>
    </row>
    <row r="421" spans="1:13">
      <c r="A421" s="9" t="s">
        <v>741</v>
      </c>
      <c r="B421" s="9" t="s">
        <v>227</v>
      </c>
      <c r="C421" s="9" t="s">
        <v>1545</v>
      </c>
      <c r="D421" s="4" t="s">
        <v>742</v>
      </c>
      <c r="E421" s="14" t="s">
        <v>742</v>
      </c>
      <c r="F421" s="14" t="s">
        <v>743</v>
      </c>
      <c r="G421" s="14" t="s">
        <v>741</v>
      </c>
      <c r="H421" s="9" t="s">
        <v>1738</v>
      </c>
      <c r="I421" s="3">
        <v>110680.56800780549</v>
      </c>
      <c r="J421" s="3">
        <v>48419.463506288179</v>
      </c>
      <c r="K421" s="3">
        <f t="shared" si="14"/>
        <v>159100.03151409366</v>
      </c>
      <c r="L421" s="3">
        <f>IFERROR(INDEX('CHIRP Payment Calc'!K:K,MATCH(A:A,'CHIRP Payment Calc'!A:A,0)),0)</f>
        <v>240514.45301668003</v>
      </c>
      <c r="M421" s="3">
        <f t="shared" si="15"/>
        <v>-81414.421502586367</v>
      </c>
    </row>
    <row r="422" spans="1:13">
      <c r="A422" s="9" t="s">
        <v>892</v>
      </c>
      <c r="B422" s="9" t="s">
        <v>227</v>
      </c>
      <c r="C422" s="9" t="s">
        <v>1545</v>
      </c>
      <c r="D422" s="4" t="s">
        <v>893</v>
      </c>
      <c r="E422" s="14" t="s">
        <v>893</v>
      </c>
      <c r="F422" s="14" t="s">
        <v>894</v>
      </c>
      <c r="G422" s="14" t="s">
        <v>892</v>
      </c>
      <c r="H422" s="9" t="s">
        <v>1908</v>
      </c>
      <c r="I422" s="3">
        <v>195621.52820092064</v>
      </c>
      <c r="J422" s="3">
        <v>154297.63363329618</v>
      </c>
      <c r="K422" s="3">
        <f t="shared" si="14"/>
        <v>349919.16183421679</v>
      </c>
      <c r="L422" s="3">
        <f>IFERROR(INDEX('CHIRP Payment Calc'!K:K,MATCH(A:A,'CHIRP Payment Calc'!A:A,0)),0)</f>
        <v>477160.64482782769</v>
      </c>
      <c r="M422" s="3">
        <f t="shared" si="15"/>
        <v>-127241.4829936109</v>
      </c>
    </row>
    <row r="423" spans="1:13">
      <c r="A423" s="9" t="s">
        <v>512</v>
      </c>
      <c r="B423" s="9" t="s">
        <v>227</v>
      </c>
      <c r="C423" s="9" t="s">
        <v>1545</v>
      </c>
      <c r="D423" s="4" t="s">
        <v>513</v>
      </c>
      <c r="E423" s="14" t="s">
        <v>513</v>
      </c>
      <c r="F423" s="14" t="s">
        <v>514</v>
      </c>
      <c r="G423" s="14" t="s">
        <v>512</v>
      </c>
      <c r="H423" s="9" t="s">
        <v>1907</v>
      </c>
      <c r="I423" s="3">
        <v>336769.15454063856</v>
      </c>
      <c r="J423" s="3">
        <v>84185.10431056915</v>
      </c>
      <c r="K423" s="3">
        <f t="shared" si="14"/>
        <v>420954.25885120768</v>
      </c>
      <c r="L423" s="3">
        <f>IFERROR(INDEX('CHIRP Payment Calc'!K:K,MATCH(A:A,'CHIRP Payment Calc'!A:A,0)),0)</f>
        <v>610719.66171056044</v>
      </c>
      <c r="M423" s="3">
        <f t="shared" si="15"/>
        <v>-189765.40285935276</v>
      </c>
    </row>
    <row r="424" spans="1:13">
      <c r="A424" s="9" t="s">
        <v>926</v>
      </c>
      <c r="B424" s="9" t="s">
        <v>227</v>
      </c>
      <c r="C424" s="9" t="s">
        <v>1545</v>
      </c>
      <c r="D424" s="4" t="s">
        <v>927</v>
      </c>
      <c r="E424" s="14" t="s">
        <v>927</v>
      </c>
      <c r="F424" s="14" t="s">
        <v>928</v>
      </c>
      <c r="G424" s="14" t="s">
        <v>926</v>
      </c>
      <c r="H424" s="9" t="s">
        <v>1906</v>
      </c>
      <c r="I424" s="3">
        <v>37257.606665689273</v>
      </c>
      <c r="J424" s="3">
        <v>17137.781873665695</v>
      </c>
      <c r="K424" s="3">
        <f t="shared" si="14"/>
        <v>54395.388539354972</v>
      </c>
      <c r="L424" s="3">
        <f>IFERROR(INDEX('CHIRP Payment Calc'!K:K,MATCH(A:A,'CHIRP Payment Calc'!A:A,0)),0)</f>
        <v>77515.533612577638</v>
      </c>
      <c r="M424" s="3">
        <f t="shared" si="15"/>
        <v>-23120.145073222666</v>
      </c>
    </row>
    <row r="425" spans="1:13">
      <c r="A425" s="9" t="s">
        <v>500</v>
      </c>
      <c r="B425" s="9" t="s">
        <v>227</v>
      </c>
      <c r="C425" s="9" t="s">
        <v>1545</v>
      </c>
      <c r="D425" s="4" t="s">
        <v>501</v>
      </c>
      <c r="E425" s="14" t="s">
        <v>501</v>
      </c>
      <c r="F425" s="14" t="s">
        <v>502</v>
      </c>
      <c r="G425" s="14" t="s">
        <v>500</v>
      </c>
      <c r="H425" s="9" t="s">
        <v>1719</v>
      </c>
      <c r="I425" s="3">
        <v>88342.023109701739</v>
      </c>
      <c r="J425" s="3">
        <v>73121.4286645721</v>
      </c>
      <c r="K425" s="3">
        <f t="shared" si="14"/>
        <v>161463.45177427382</v>
      </c>
      <c r="L425" s="3">
        <f>IFERROR(INDEX('CHIRP Payment Calc'!K:K,MATCH(A:A,'CHIRP Payment Calc'!A:A,0)),0)</f>
        <v>230681.09850849552</v>
      </c>
      <c r="M425" s="3">
        <f t="shared" si="15"/>
        <v>-69217.646734221693</v>
      </c>
    </row>
    <row r="426" spans="1:13">
      <c r="A426" s="9" t="s">
        <v>941</v>
      </c>
      <c r="B426" s="9" t="s">
        <v>227</v>
      </c>
      <c r="C426" s="9" t="s">
        <v>1545</v>
      </c>
      <c r="D426" s="4" t="s">
        <v>942</v>
      </c>
      <c r="E426" s="14" t="s">
        <v>942</v>
      </c>
      <c r="F426" s="14" t="s">
        <v>943</v>
      </c>
      <c r="G426" s="14" t="s">
        <v>941</v>
      </c>
      <c r="H426" s="9" t="s">
        <v>1645</v>
      </c>
      <c r="I426" s="3">
        <v>358641.44904059003</v>
      </c>
      <c r="J426" s="3">
        <v>79820.704450409394</v>
      </c>
      <c r="K426" s="3">
        <f t="shared" si="14"/>
        <v>438462.15349099942</v>
      </c>
      <c r="L426" s="3">
        <f>IFERROR(INDEX('CHIRP Payment Calc'!K:K,MATCH(A:A,'CHIRP Payment Calc'!A:A,0)),0)</f>
        <v>762161.31999414694</v>
      </c>
      <c r="M426" s="3">
        <f t="shared" si="15"/>
        <v>-323699.16650314751</v>
      </c>
    </row>
    <row r="427" spans="1:13">
      <c r="A427" s="9" t="s">
        <v>992</v>
      </c>
      <c r="B427" s="9" t="s">
        <v>227</v>
      </c>
      <c r="C427" s="9" t="s">
        <v>1545</v>
      </c>
      <c r="D427" s="4" t="s">
        <v>993</v>
      </c>
      <c r="E427" s="14" t="s">
        <v>993</v>
      </c>
      <c r="F427" s="14" t="s">
        <v>994</v>
      </c>
      <c r="G427" s="14" t="s">
        <v>992</v>
      </c>
      <c r="H427" s="9" t="s">
        <v>1626</v>
      </c>
      <c r="I427" s="3">
        <v>1535854.1760596756</v>
      </c>
      <c r="J427" s="3">
        <v>368116.34213089227</v>
      </c>
      <c r="K427" s="3">
        <f t="shared" si="14"/>
        <v>1903970.5181905678</v>
      </c>
      <c r="L427" s="3">
        <f>IFERROR(INDEX('CHIRP Payment Calc'!K:K,MATCH(A:A,'CHIRP Payment Calc'!A:A,0)),0)</f>
        <v>2938797.2930877982</v>
      </c>
      <c r="M427" s="3">
        <f t="shared" si="15"/>
        <v>-1034826.7748972303</v>
      </c>
    </row>
    <row r="428" spans="1:13">
      <c r="A428" s="9" t="s">
        <v>1603</v>
      </c>
      <c r="B428" s="9" t="s">
        <v>227</v>
      </c>
      <c r="C428" s="9" t="s">
        <v>1545</v>
      </c>
      <c r="D428" s="4" t="s">
        <v>1604</v>
      </c>
      <c r="E428" s="14" t="s">
        <v>1604</v>
      </c>
      <c r="F428" s="14" t="s">
        <v>1602</v>
      </c>
      <c r="G428" s="14" t="s">
        <v>1603</v>
      </c>
      <c r="H428" s="9" t="s">
        <v>1602</v>
      </c>
      <c r="I428" s="3">
        <v>213409.02240960891</v>
      </c>
      <c r="J428" s="3">
        <v>135448.08190417226</v>
      </c>
      <c r="K428" s="3">
        <f t="shared" si="14"/>
        <v>348857.10431378114</v>
      </c>
      <c r="L428" s="3">
        <f>IFERROR(INDEX('CHIRP Payment Calc'!K:K,MATCH(A:A,'CHIRP Payment Calc'!A:A,0)),0)</f>
        <v>392365.05433229561</v>
      </c>
      <c r="M428" s="3">
        <f t="shared" si="15"/>
        <v>-43507.950018514472</v>
      </c>
    </row>
    <row r="429" spans="1:13">
      <c r="A429" s="9" t="s">
        <v>986</v>
      </c>
      <c r="B429" s="9" t="s">
        <v>227</v>
      </c>
      <c r="C429" s="9" t="s">
        <v>1545</v>
      </c>
      <c r="D429" s="4" t="s">
        <v>987</v>
      </c>
      <c r="E429" s="14" t="s">
        <v>987</v>
      </c>
      <c r="F429" s="14" t="s">
        <v>988</v>
      </c>
      <c r="G429" s="14" t="s">
        <v>986</v>
      </c>
      <c r="H429" s="9" t="s">
        <v>1905</v>
      </c>
      <c r="I429" s="3">
        <v>37191.841967893051</v>
      </c>
      <c r="J429" s="3">
        <v>2767.4390746705321</v>
      </c>
      <c r="K429" s="3">
        <f t="shared" si="14"/>
        <v>39959.281042563583</v>
      </c>
      <c r="L429" s="3">
        <f>IFERROR(INDEX('CHIRP Payment Calc'!K:K,MATCH(A:A,'CHIRP Payment Calc'!A:A,0)),0)</f>
        <v>112232.97386547702</v>
      </c>
      <c r="M429" s="3">
        <f t="shared" si="15"/>
        <v>-72273.692822913436</v>
      </c>
    </row>
    <row r="430" spans="1:13">
      <c r="A430" s="9" t="s">
        <v>674</v>
      </c>
      <c r="B430" s="9" t="s">
        <v>227</v>
      </c>
      <c r="C430" s="9" t="s">
        <v>1545</v>
      </c>
      <c r="D430" s="4" t="s">
        <v>675</v>
      </c>
      <c r="E430" s="14" t="s">
        <v>675</v>
      </c>
      <c r="F430" s="14" t="s">
        <v>676</v>
      </c>
      <c r="G430" s="14" t="s">
        <v>674</v>
      </c>
      <c r="H430" s="9" t="s">
        <v>1904</v>
      </c>
      <c r="I430" s="3">
        <v>146572.43116373807</v>
      </c>
      <c r="J430" s="3">
        <v>68943.087940630881</v>
      </c>
      <c r="K430" s="3">
        <f t="shared" si="14"/>
        <v>215515.51910436896</v>
      </c>
      <c r="L430" s="3">
        <f>IFERROR(INDEX('CHIRP Payment Calc'!K:K,MATCH(A:A,'CHIRP Payment Calc'!A:A,0)),0)</f>
        <v>277741.07773258933</v>
      </c>
      <c r="M430" s="3">
        <f t="shared" si="15"/>
        <v>-62225.558628220373</v>
      </c>
    </row>
    <row r="431" spans="1:13">
      <c r="A431" s="9" t="s">
        <v>620</v>
      </c>
      <c r="B431" s="9" t="s">
        <v>227</v>
      </c>
      <c r="C431" s="9" t="s">
        <v>1545</v>
      </c>
      <c r="D431" s="4" t="s">
        <v>621</v>
      </c>
      <c r="E431" s="14" t="s">
        <v>621</v>
      </c>
      <c r="F431" s="14" t="s">
        <v>622</v>
      </c>
      <c r="G431" s="14" t="s">
        <v>620</v>
      </c>
      <c r="H431" s="9" t="s">
        <v>1903</v>
      </c>
      <c r="I431" s="3">
        <v>298096.48855154152</v>
      </c>
      <c r="J431" s="3">
        <v>363258.20481093042</v>
      </c>
      <c r="K431" s="3">
        <f t="shared" si="14"/>
        <v>661354.69336247188</v>
      </c>
      <c r="L431" s="3">
        <f>IFERROR(INDEX('CHIRP Payment Calc'!K:K,MATCH(A:A,'CHIRP Payment Calc'!A:A,0)),0)</f>
        <v>855261.75405740272</v>
      </c>
      <c r="M431" s="3">
        <f t="shared" si="15"/>
        <v>-193907.06069493084</v>
      </c>
    </row>
    <row r="432" spans="1:13">
      <c r="A432" s="9" t="s">
        <v>650</v>
      </c>
      <c r="B432" s="9" t="s">
        <v>227</v>
      </c>
      <c r="C432" s="9" t="s">
        <v>1545</v>
      </c>
      <c r="D432" s="4" t="s">
        <v>651</v>
      </c>
      <c r="E432" s="14" t="s">
        <v>651</v>
      </c>
      <c r="F432" s="14" t="s">
        <v>652</v>
      </c>
      <c r="G432" s="14" t="s">
        <v>650</v>
      </c>
      <c r="H432" s="9" t="s">
        <v>1705</v>
      </c>
      <c r="I432" s="3">
        <v>66259.609060111237</v>
      </c>
      <c r="J432" s="3">
        <v>19479.070075288288</v>
      </c>
      <c r="K432" s="3">
        <f t="shared" si="14"/>
        <v>85738.679135399521</v>
      </c>
      <c r="L432" s="3">
        <f>IFERROR(INDEX('CHIRP Payment Calc'!K:K,MATCH(A:A,'CHIRP Payment Calc'!A:A,0)),0)</f>
        <v>135364.37596783129</v>
      </c>
      <c r="M432" s="3">
        <f t="shared" si="15"/>
        <v>-49625.696832431771</v>
      </c>
    </row>
    <row r="433" spans="1:13">
      <c r="A433" s="9" t="s">
        <v>587</v>
      </c>
      <c r="B433" s="9" t="s">
        <v>227</v>
      </c>
      <c r="C433" s="9" t="s">
        <v>1545</v>
      </c>
      <c r="D433" s="4" t="s">
        <v>588</v>
      </c>
      <c r="E433" s="14" t="s">
        <v>588</v>
      </c>
      <c r="F433" s="14" t="s">
        <v>589</v>
      </c>
      <c r="G433" s="14" t="s">
        <v>587</v>
      </c>
      <c r="H433" s="9" t="s">
        <v>1902</v>
      </c>
      <c r="I433" s="3">
        <v>1033255.5377479783</v>
      </c>
      <c r="J433" s="3">
        <v>265789.10138199723</v>
      </c>
      <c r="K433" s="3">
        <f t="shared" si="14"/>
        <v>1299044.6391299756</v>
      </c>
      <c r="L433" s="3">
        <f>IFERROR(INDEX('CHIRP Payment Calc'!K:K,MATCH(A:A,'CHIRP Payment Calc'!A:A,0)),0)</f>
        <v>2207832.487220834</v>
      </c>
      <c r="M433" s="3">
        <f t="shared" si="15"/>
        <v>-908787.84809085843</v>
      </c>
    </row>
    <row r="434" spans="1:13">
      <c r="A434" s="9" t="s">
        <v>1140</v>
      </c>
      <c r="B434" s="9" t="s">
        <v>227</v>
      </c>
      <c r="C434" s="9" t="s">
        <v>1545</v>
      </c>
      <c r="D434" s="4" t="s">
        <v>1141</v>
      </c>
      <c r="E434" s="14" t="s">
        <v>1141</v>
      </c>
      <c r="F434" s="14" t="s">
        <v>1142</v>
      </c>
      <c r="G434" s="14" t="s">
        <v>1140</v>
      </c>
      <c r="H434" s="9" t="s">
        <v>1901</v>
      </c>
      <c r="I434" s="3">
        <v>24292.566210572131</v>
      </c>
      <c r="J434" s="3">
        <v>3745.0164691634982</v>
      </c>
      <c r="K434" s="3">
        <f t="shared" si="14"/>
        <v>28037.582679735628</v>
      </c>
      <c r="L434" s="3">
        <f>IFERROR(INDEX('CHIRP Payment Calc'!K:K,MATCH(A:A,'CHIRP Payment Calc'!A:A,0)),0)</f>
        <v>62285.430567542375</v>
      </c>
      <c r="M434" s="3">
        <f t="shared" si="15"/>
        <v>-34247.847887806747</v>
      </c>
    </row>
    <row r="435" spans="1:13">
      <c r="A435" s="9" t="s">
        <v>1754</v>
      </c>
      <c r="B435" s="15" t="s">
        <v>300</v>
      </c>
      <c r="C435" s="15" t="s">
        <v>1801</v>
      </c>
      <c r="D435" s="4" t="s">
        <v>1755</v>
      </c>
      <c r="E435" s="14" t="s">
        <v>2326</v>
      </c>
      <c r="F435" s="14" t="e">
        <v>#N/A</v>
      </c>
      <c r="G435" s="14" t="s">
        <v>2326</v>
      </c>
      <c r="H435" s="9" t="s">
        <v>2149</v>
      </c>
      <c r="I435" s="3">
        <v>3742.4042268523194</v>
      </c>
      <c r="J435" s="3">
        <v>0</v>
      </c>
      <c r="K435" s="3">
        <f t="shared" si="14"/>
        <v>3742.4042268523194</v>
      </c>
      <c r="L435" s="3">
        <f>IFERROR(INDEX('CHIRP Payment Calc'!K:K,MATCH(A:A,'CHIRP Payment Calc'!A:A,0)),0)</f>
        <v>0</v>
      </c>
      <c r="M435" s="3">
        <f t="shared" si="15"/>
        <v>3742.4042268523194</v>
      </c>
    </row>
    <row r="436" spans="1:13">
      <c r="A436" s="9" t="s">
        <v>932</v>
      </c>
      <c r="B436" s="9" t="s">
        <v>227</v>
      </c>
      <c r="C436" s="9" t="s">
        <v>1545</v>
      </c>
      <c r="D436" s="4" t="s">
        <v>933</v>
      </c>
      <c r="E436" s="14" t="s">
        <v>933</v>
      </c>
      <c r="F436" s="14" t="s">
        <v>934</v>
      </c>
      <c r="G436" s="14" t="s">
        <v>932</v>
      </c>
      <c r="H436" s="9" t="s">
        <v>1899</v>
      </c>
      <c r="I436" s="3">
        <v>68307.112085515051</v>
      </c>
      <c r="J436" s="3">
        <v>1277.7388281490983</v>
      </c>
      <c r="K436" s="3">
        <f t="shared" si="14"/>
        <v>69584.850913664151</v>
      </c>
      <c r="L436" s="3">
        <f>IFERROR(INDEX('CHIRP Payment Calc'!K:K,MATCH(A:A,'CHIRP Payment Calc'!A:A,0)),0)</f>
        <v>102374.60047425202</v>
      </c>
      <c r="M436" s="3">
        <f t="shared" si="15"/>
        <v>-32789.749560587865</v>
      </c>
    </row>
    <row r="437" spans="1:13">
      <c r="A437" s="9" t="s">
        <v>614</v>
      </c>
      <c r="B437" s="9" t="s">
        <v>227</v>
      </c>
      <c r="C437" s="9" t="s">
        <v>1545</v>
      </c>
      <c r="D437" s="4" t="s">
        <v>615</v>
      </c>
      <c r="E437" s="14" t="s">
        <v>615</v>
      </c>
      <c r="F437" s="14" t="s">
        <v>616</v>
      </c>
      <c r="G437" s="14" t="s">
        <v>614</v>
      </c>
      <c r="H437" s="9" t="s">
        <v>1711</v>
      </c>
      <c r="I437" s="3">
        <v>98755.82566458144</v>
      </c>
      <c r="J437" s="3">
        <v>63403.231032785479</v>
      </c>
      <c r="K437" s="3">
        <f t="shared" si="14"/>
        <v>162159.05669736693</v>
      </c>
      <c r="L437" s="3">
        <f>IFERROR(INDEX('CHIRP Payment Calc'!K:K,MATCH(A:A,'CHIRP Payment Calc'!A:A,0)),0)</f>
        <v>199336.717778847</v>
      </c>
      <c r="M437" s="3">
        <f t="shared" si="15"/>
        <v>-37177.661081480066</v>
      </c>
    </row>
    <row r="438" spans="1:13">
      <c r="A438" s="9" t="s">
        <v>10</v>
      </c>
      <c r="B438" s="9" t="s">
        <v>227</v>
      </c>
      <c r="C438" s="9" t="s">
        <v>1545</v>
      </c>
      <c r="D438" s="4" t="s">
        <v>11</v>
      </c>
      <c r="E438" s="14" t="s">
        <v>11</v>
      </c>
      <c r="F438" s="14" t="s">
        <v>12</v>
      </c>
      <c r="G438" s="14" t="s">
        <v>10</v>
      </c>
      <c r="H438" s="9" t="s">
        <v>1898</v>
      </c>
      <c r="I438" s="3">
        <v>48914.502480717892</v>
      </c>
      <c r="J438" s="3">
        <v>82117.667746919658</v>
      </c>
      <c r="K438" s="3">
        <f t="shared" si="14"/>
        <v>131032.17022763754</v>
      </c>
      <c r="L438" s="3">
        <f>IFERROR(INDEX('CHIRP Payment Calc'!K:K,MATCH(A:A,'CHIRP Payment Calc'!A:A,0)),0)</f>
        <v>164329.79950599844</v>
      </c>
      <c r="M438" s="3">
        <f t="shared" si="15"/>
        <v>-33297.629278360895</v>
      </c>
    </row>
    <row r="439" spans="1:13">
      <c r="A439" s="9" t="s">
        <v>695</v>
      </c>
      <c r="B439" s="9" t="s">
        <v>227</v>
      </c>
      <c r="C439" s="9" t="s">
        <v>1545</v>
      </c>
      <c r="D439" s="4" t="s">
        <v>696</v>
      </c>
      <c r="E439" s="14" t="s">
        <v>696</v>
      </c>
      <c r="F439" s="14" t="s">
        <v>697</v>
      </c>
      <c r="G439" s="14" t="s">
        <v>695</v>
      </c>
      <c r="H439" s="9" t="s">
        <v>1897</v>
      </c>
      <c r="I439" s="3">
        <v>56852.750113464812</v>
      </c>
      <c r="J439" s="3">
        <v>67696.339142312339</v>
      </c>
      <c r="K439" s="3">
        <f t="shared" si="14"/>
        <v>124549.08925577716</v>
      </c>
      <c r="L439" s="3">
        <f>IFERROR(INDEX('CHIRP Payment Calc'!K:K,MATCH(A:A,'CHIRP Payment Calc'!A:A,0)),0)</f>
        <v>0</v>
      </c>
      <c r="M439" s="3">
        <f t="shared" si="15"/>
        <v>124549.08925577716</v>
      </c>
    </row>
    <row r="440" spans="1:13">
      <c r="A440" s="9" t="s">
        <v>1037</v>
      </c>
      <c r="B440" s="9" t="s">
        <v>227</v>
      </c>
      <c r="C440" s="9" t="s">
        <v>1545</v>
      </c>
      <c r="D440" s="4" t="s">
        <v>1038</v>
      </c>
      <c r="E440" s="14" t="s">
        <v>1038</v>
      </c>
      <c r="F440" s="14" t="s">
        <v>1039</v>
      </c>
      <c r="G440" s="14" t="s">
        <v>1037</v>
      </c>
      <c r="H440" s="9" t="s">
        <v>1620</v>
      </c>
      <c r="I440" s="3">
        <v>82970.029886302713</v>
      </c>
      <c r="J440" s="3">
        <v>14104.527145648784</v>
      </c>
      <c r="K440" s="3">
        <f t="shared" si="14"/>
        <v>97074.557031951495</v>
      </c>
      <c r="L440" s="3">
        <f>IFERROR(INDEX('CHIRP Payment Calc'!K:K,MATCH(A:A,'CHIRP Payment Calc'!A:A,0)),0)</f>
        <v>0</v>
      </c>
      <c r="M440" s="3">
        <f t="shared" si="15"/>
        <v>97074.557031951495</v>
      </c>
    </row>
    <row r="441" spans="1:13">
      <c r="A441" s="9" t="s">
        <v>1731</v>
      </c>
      <c r="B441" s="9" t="s">
        <v>227</v>
      </c>
      <c r="C441" s="9" t="s">
        <v>1545</v>
      </c>
      <c r="D441" s="4" t="s">
        <v>1730</v>
      </c>
      <c r="E441" s="14" t="s">
        <v>1730</v>
      </c>
      <c r="F441" s="14" t="e">
        <v>#N/A</v>
      </c>
      <c r="G441" s="14" t="s">
        <v>1731</v>
      </c>
      <c r="H441" s="9" t="s">
        <v>1732</v>
      </c>
      <c r="I441" s="3">
        <v>0</v>
      </c>
      <c r="J441" s="3">
        <v>0</v>
      </c>
      <c r="K441" s="3">
        <f t="shared" si="14"/>
        <v>0</v>
      </c>
      <c r="L441" s="3">
        <f>IFERROR(INDEX('CHIRP Payment Calc'!K:K,MATCH(A:A,'CHIRP Payment Calc'!A:A,0)),0)</f>
        <v>0</v>
      </c>
      <c r="M441" s="3">
        <f t="shared" si="15"/>
        <v>0</v>
      </c>
    </row>
    <row r="442" spans="1:13">
      <c r="A442" s="9" t="s">
        <v>744</v>
      </c>
      <c r="B442" s="9" t="s">
        <v>227</v>
      </c>
      <c r="C442" s="9" t="s">
        <v>1545</v>
      </c>
      <c r="D442" s="4" t="s">
        <v>745</v>
      </c>
      <c r="E442" s="14" t="s">
        <v>745</v>
      </c>
      <c r="F442" s="14" t="s">
        <v>746</v>
      </c>
      <c r="G442" s="14" t="s">
        <v>744</v>
      </c>
      <c r="H442" s="9" t="s">
        <v>1676</v>
      </c>
      <c r="I442" s="3">
        <v>65108.499852286513</v>
      </c>
      <c r="J442" s="3">
        <v>26963.521301499804</v>
      </c>
      <c r="K442" s="3">
        <f t="shared" si="14"/>
        <v>92072.021153786322</v>
      </c>
      <c r="L442" s="3">
        <f>IFERROR(INDEX('CHIRP Payment Calc'!K:K,MATCH(A:A,'CHIRP Payment Calc'!A:A,0)),0)</f>
        <v>217284.36019012725</v>
      </c>
      <c r="M442" s="3">
        <f t="shared" si="15"/>
        <v>-125212.33903634093</v>
      </c>
    </row>
    <row r="443" spans="1:13">
      <c r="A443" s="9" t="s">
        <v>1016</v>
      </c>
      <c r="B443" s="9" t="s">
        <v>227</v>
      </c>
      <c r="C443" s="9" t="s">
        <v>1545</v>
      </c>
      <c r="D443" s="4" t="s">
        <v>1017</v>
      </c>
      <c r="E443" s="14" t="s">
        <v>1017</v>
      </c>
      <c r="F443" s="14" t="s">
        <v>1018</v>
      </c>
      <c r="G443" s="14" t="s">
        <v>1016</v>
      </c>
      <c r="H443" s="9" t="s">
        <v>1896</v>
      </c>
      <c r="I443" s="3">
        <v>1261201.7701664264</v>
      </c>
      <c r="J443" s="3">
        <v>313258.84486407368</v>
      </c>
      <c r="K443" s="3">
        <f t="shared" si="14"/>
        <v>1574460.6150305001</v>
      </c>
      <c r="L443" s="3">
        <f>IFERROR(INDEX('CHIRP Payment Calc'!K:K,MATCH(A:A,'CHIRP Payment Calc'!A:A,0)),0)</f>
        <v>2543616.7802357702</v>
      </c>
      <c r="M443" s="3">
        <f t="shared" si="15"/>
        <v>-969156.16520527005</v>
      </c>
    </row>
    <row r="444" spans="1:13">
      <c r="A444" s="9" t="s">
        <v>710</v>
      </c>
      <c r="B444" s="9" t="s">
        <v>227</v>
      </c>
      <c r="C444" s="9" t="s">
        <v>1545</v>
      </c>
      <c r="D444" s="4" t="s">
        <v>711</v>
      </c>
      <c r="E444" s="14" t="s">
        <v>711</v>
      </c>
      <c r="F444" s="14" t="s">
        <v>712</v>
      </c>
      <c r="G444" s="14" t="s">
        <v>710</v>
      </c>
      <c r="H444" s="9" t="s">
        <v>1895</v>
      </c>
      <c r="I444" s="3">
        <v>47246.855195330405</v>
      </c>
      <c r="J444" s="3">
        <v>41575.639237648356</v>
      </c>
      <c r="K444" s="3">
        <f t="shared" si="14"/>
        <v>88822.494432978769</v>
      </c>
      <c r="L444" s="3">
        <f>IFERROR(INDEX('CHIRP Payment Calc'!K:K,MATCH(A:A,'CHIRP Payment Calc'!A:A,0)),0)</f>
        <v>187882.60919582349</v>
      </c>
      <c r="M444" s="3">
        <f t="shared" si="15"/>
        <v>-99060.114762844722</v>
      </c>
    </row>
    <row r="445" spans="1:13">
      <c r="A445" s="9" t="s">
        <v>656</v>
      </c>
      <c r="B445" s="9" t="s">
        <v>227</v>
      </c>
      <c r="C445" s="9" t="s">
        <v>1545</v>
      </c>
      <c r="D445" s="4" t="s">
        <v>657</v>
      </c>
      <c r="E445" s="14" t="s">
        <v>657</v>
      </c>
      <c r="F445" s="14" t="s">
        <v>658</v>
      </c>
      <c r="G445" s="14" t="s">
        <v>656</v>
      </c>
      <c r="H445" s="9" t="s">
        <v>1704</v>
      </c>
      <c r="I445" s="3">
        <v>460497.85345824587</v>
      </c>
      <c r="J445" s="3">
        <v>70709.900402785759</v>
      </c>
      <c r="K445" s="3">
        <f t="shared" si="14"/>
        <v>531207.75386103161</v>
      </c>
      <c r="L445" s="3">
        <f>IFERROR(INDEX('CHIRP Payment Calc'!K:K,MATCH(A:A,'CHIRP Payment Calc'!A:A,0)),0)</f>
        <v>814883.28723680042</v>
      </c>
      <c r="M445" s="3">
        <f t="shared" si="15"/>
        <v>-283675.53337576881</v>
      </c>
    </row>
    <row r="446" spans="1:13">
      <c r="A446" s="9" t="s">
        <v>819</v>
      </c>
      <c r="B446" s="9" t="s">
        <v>227</v>
      </c>
      <c r="C446" s="9" t="s">
        <v>1545</v>
      </c>
      <c r="D446" s="4" t="s">
        <v>820</v>
      </c>
      <c r="E446" s="14" t="s">
        <v>820</v>
      </c>
      <c r="F446" s="14" t="s">
        <v>821</v>
      </c>
      <c r="G446" s="14" t="s">
        <v>819</v>
      </c>
      <c r="H446" s="9" t="s">
        <v>1665</v>
      </c>
      <c r="I446" s="3">
        <v>272389.74576105137</v>
      </c>
      <c r="J446" s="3">
        <v>67559.535085221622</v>
      </c>
      <c r="K446" s="3">
        <f t="shared" si="14"/>
        <v>339949.280846273</v>
      </c>
      <c r="L446" s="3">
        <f>IFERROR(INDEX('CHIRP Payment Calc'!K:K,MATCH(A:A,'CHIRP Payment Calc'!A:A,0)),0)</f>
        <v>621809.93880149175</v>
      </c>
      <c r="M446" s="3">
        <f t="shared" si="15"/>
        <v>-281860.65795521875</v>
      </c>
    </row>
    <row r="447" spans="1:13">
      <c r="A447" s="9" t="s">
        <v>692</v>
      </c>
      <c r="B447" s="9" t="s">
        <v>227</v>
      </c>
      <c r="C447" s="9" t="s">
        <v>1545</v>
      </c>
      <c r="D447" s="4" t="s">
        <v>693</v>
      </c>
      <c r="E447" s="14" t="s">
        <v>693</v>
      </c>
      <c r="F447" s="14" t="s">
        <v>694</v>
      </c>
      <c r="G447" s="14" t="s">
        <v>692</v>
      </c>
      <c r="H447" s="9" t="s">
        <v>1894</v>
      </c>
      <c r="I447" s="3">
        <v>512247.93188698072</v>
      </c>
      <c r="J447" s="3">
        <v>360687.58120441221</v>
      </c>
      <c r="K447" s="3">
        <f t="shared" si="14"/>
        <v>872935.51309139293</v>
      </c>
      <c r="L447" s="3">
        <f>IFERROR(INDEX('CHIRP Payment Calc'!K:K,MATCH(A:A,'CHIRP Payment Calc'!A:A,0)),0)</f>
        <v>1152922.4644639955</v>
      </c>
      <c r="M447" s="3">
        <f t="shared" si="15"/>
        <v>-279986.95137260261</v>
      </c>
    </row>
    <row r="448" spans="1:13">
      <c r="A448" s="9" t="s">
        <v>895</v>
      </c>
      <c r="B448" s="9" t="s">
        <v>227</v>
      </c>
      <c r="C448" s="9" t="s">
        <v>1545</v>
      </c>
      <c r="D448" s="4" t="s">
        <v>896</v>
      </c>
      <c r="E448" s="14" t="s">
        <v>896</v>
      </c>
      <c r="F448" s="14" t="s">
        <v>897</v>
      </c>
      <c r="G448" s="14" t="s">
        <v>895</v>
      </c>
      <c r="H448" s="9" t="s">
        <v>1893</v>
      </c>
      <c r="I448" s="3">
        <v>856007.44362025335</v>
      </c>
      <c r="J448" s="3">
        <v>142080.75998255346</v>
      </c>
      <c r="K448" s="3">
        <f t="shared" si="14"/>
        <v>998088.20360280678</v>
      </c>
      <c r="L448" s="3">
        <f>IFERROR(INDEX('CHIRP Payment Calc'!K:K,MATCH(A:A,'CHIRP Payment Calc'!A:A,0)),0)</f>
        <v>1641708.832723222</v>
      </c>
      <c r="M448" s="3">
        <f t="shared" si="15"/>
        <v>-643620.62912041519</v>
      </c>
    </row>
    <row r="449" spans="1:13">
      <c r="A449" s="9" t="s">
        <v>665</v>
      </c>
      <c r="B449" s="9" t="s">
        <v>227</v>
      </c>
      <c r="C449" s="9" t="s">
        <v>1545</v>
      </c>
      <c r="D449" s="4" t="s">
        <v>666</v>
      </c>
      <c r="E449" s="14" t="s">
        <v>666</v>
      </c>
      <c r="F449" s="14" t="s">
        <v>667</v>
      </c>
      <c r="G449" s="14" t="s">
        <v>665</v>
      </c>
      <c r="H449" s="9" t="s">
        <v>1892</v>
      </c>
      <c r="I449" s="3">
        <v>545793.85989223176</v>
      </c>
      <c r="J449" s="3">
        <v>141675.13699910219</v>
      </c>
      <c r="K449" s="3">
        <f t="shared" si="14"/>
        <v>687468.99689133395</v>
      </c>
      <c r="L449" s="3">
        <f>IFERROR(INDEX('CHIRP Payment Calc'!K:K,MATCH(A:A,'CHIRP Payment Calc'!A:A,0)),0)</f>
        <v>889411.37442687573</v>
      </c>
      <c r="M449" s="3">
        <f t="shared" si="15"/>
        <v>-201942.37753554177</v>
      </c>
    </row>
    <row r="450" spans="1:13">
      <c r="A450" s="9" t="s">
        <v>491</v>
      </c>
      <c r="B450" s="9" t="s">
        <v>227</v>
      </c>
      <c r="C450" s="9" t="s">
        <v>1545</v>
      </c>
      <c r="D450" s="4" t="s">
        <v>492</v>
      </c>
      <c r="E450" s="14" t="s">
        <v>492</v>
      </c>
      <c r="F450" s="14" t="s">
        <v>493</v>
      </c>
      <c r="G450" s="14" t="s">
        <v>491</v>
      </c>
      <c r="H450" s="9" t="s">
        <v>1891</v>
      </c>
      <c r="I450" s="3">
        <v>43974.030057716773</v>
      </c>
      <c r="J450" s="3">
        <v>21185.859132276841</v>
      </c>
      <c r="K450" s="3">
        <f t="shared" si="14"/>
        <v>65159.889189993613</v>
      </c>
      <c r="L450" s="3">
        <f>IFERROR(INDEX('CHIRP Payment Calc'!K:K,MATCH(A:A,'CHIRP Payment Calc'!A:A,0)),0)</f>
        <v>0</v>
      </c>
      <c r="M450" s="3">
        <f t="shared" si="15"/>
        <v>65159.889189993613</v>
      </c>
    </row>
    <row r="451" spans="1:13">
      <c r="A451" s="9" t="s">
        <v>471</v>
      </c>
      <c r="B451" s="9" t="s">
        <v>227</v>
      </c>
      <c r="C451" s="9" t="s">
        <v>1545</v>
      </c>
      <c r="D451" s="4" t="s">
        <v>472</v>
      </c>
      <c r="E451" s="14" t="s">
        <v>472</v>
      </c>
      <c r="F451" s="14" t="s">
        <v>473</v>
      </c>
      <c r="G451" s="14" t="s">
        <v>471</v>
      </c>
      <c r="H451" s="9" t="s">
        <v>1890</v>
      </c>
      <c r="I451" s="3">
        <v>5056539.9639384141</v>
      </c>
      <c r="J451" s="3">
        <v>1601923.3856011643</v>
      </c>
      <c r="K451" s="3">
        <f t="shared" si="14"/>
        <v>6658463.349539578</v>
      </c>
      <c r="L451" s="3">
        <f>IFERROR(INDEX('CHIRP Payment Calc'!K:K,MATCH(A:A,'CHIRP Payment Calc'!A:A,0)),0)</f>
        <v>10724477.875553321</v>
      </c>
      <c r="M451" s="3">
        <f t="shared" si="15"/>
        <v>-4066014.5260137431</v>
      </c>
    </row>
    <row r="452" spans="1:13">
      <c r="A452" s="9" t="s">
        <v>314</v>
      </c>
      <c r="B452" s="9" t="s">
        <v>227</v>
      </c>
      <c r="C452" s="9" t="s">
        <v>1545</v>
      </c>
      <c r="D452" s="4" t="s">
        <v>315</v>
      </c>
      <c r="E452" s="14" t="s">
        <v>315</v>
      </c>
      <c r="F452" s="14" t="s">
        <v>316</v>
      </c>
      <c r="G452" s="14" t="s">
        <v>314</v>
      </c>
      <c r="H452" s="9" t="s">
        <v>1889</v>
      </c>
      <c r="I452" s="3">
        <v>746424.87330299849</v>
      </c>
      <c r="J452" s="3">
        <v>139160.20474538018</v>
      </c>
      <c r="K452" s="3">
        <f t="shared" si="14"/>
        <v>885585.07804837869</v>
      </c>
      <c r="L452" s="3">
        <f>IFERROR(INDEX('CHIRP Payment Calc'!K:K,MATCH(A:A,'CHIRP Payment Calc'!A:A,0)),0)</f>
        <v>1553254.2109221648</v>
      </c>
      <c r="M452" s="3">
        <f t="shared" si="15"/>
        <v>-667669.13287378615</v>
      </c>
    </row>
    <row r="453" spans="1:13">
      <c r="A453" s="9" t="s">
        <v>668</v>
      </c>
      <c r="B453" s="9" t="s">
        <v>227</v>
      </c>
      <c r="C453" s="9" t="s">
        <v>1545</v>
      </c>
      <c r="D453" s="4" t="s">
        <v>669</v>
      </c>
      <c r="E453" s="14" t="s">
        <v>669</v>
      </c>
      <c r="F453" s="14" t="s">
        <v>670</v>
      </c>
      <c r="G453" s="14" t="s">
        <v>668</v>
      </c>
      <c r="H453" s="9" t="s">
        <v>1888</v>
      </c>
      <c r="I453" s="3">
        <v>652447.90501952625</v>
      </c>
      <c r="J453" s="3">
        <v>84866.299773181658</v>
      </c>
      <c r="K453" s="3">
        <f t="shared" si="14"/>
        <v>737314.20479270793</v>
      </c>
      <c r="L453" s="3">
        <f>IFERROR(INDEX('CHIRP Payment Calc'!K:K,MATCH(A:A,'CHIRP Payment Calc'!A:A,0)),0)</f>
        <v>1142151.3902853043</v>
      </c>
      <c r="M453" s="3">
        <f t="shared" si="15"/>
        <v>-404837.18549259636</v>
      </c>
    </row>
    <row r="454" spans="1:13">
      <c r="A454" s="9" t="s">
        <v>765</v>
      </c>
      <c r="B454" s="9" t="s">
        <v>227</v>
      </c>
      <c r="C454" s="9" t="s">
        <v>1545</v>
      </c>
      <c r="D454" s="4" t="s">
        <v>766</v>
      </c>
      <c r="E454" s="14" t="s">
        <v>766</v>
      </c>
      <c r="F454" s="14" t="s">
        <v>767</v>
      </c>
      <c r="G454" s="14" t="s">
        <v>765</v>
      </c>
      <c r="H454" s="9" t="s">
        <v>1887</v>
      </c>
      <c r="I454" s="3">
        <v>515500.13789081096</v>
      </c>
      <c r="J454" s="3">
        <v>103537.86202817292</v>
      </c>
      <c r="K454" s="3">
        <f t="shared" si="14"/>
        <v>619037.9999189839</v>
      </c>
      <c r="L454" s="3">
        <f>IFERROR(INDEX('CHIRP Payment Calc'!K:K,MATCH(A:A,'CHIRP Payment Calc'!A:A,0)),0)</f>
        <v>1027603.8265302153</v>
      </c>
      <c r="M454" s="3">
        <f t="shared" si="15"/>
        <v>-408565.82661123143</v>
      </c>
    </row>
    <row r="455" spans="1:13">
      <c r="A455" s="9" t="s">
        <v>844</v>
      </c>
      <c r="B455" s="9" t="s">
        <v>227</v>
      </c>
      <c r="C455" s="9" t="s">
        <v>1545</v>
      </c>
      <c r="D455" s="4" t="s">
        <v>845</v>
      </c>
      <c r="E455" s="14" t="s">
        <v>845</v>
      </c>
      <c r="F455" s="14" t="s">
        <v>846</v>
      </c>
      <c r="G455" s="14" t="s">
        <v>844</v>
      </c>
      <c r="H455" s="9" t="s">
        <v>1886</v>
      </c>
      <c r="I455" s="3">
        <v>1398550.6654980308</v>
      </c>
      <c r="J455" s="3">
        <v>108795.85018694212</v>
      </c>
      <c r="K455" s="3">
        <f t="shared" si="14"/>
        <v>1507346.515684973</v>
      </c>
      <c r="L455" s="3">
        <f>IFERROR(INDEX('CHIRP Payment Calc'!K:K,MATCH(A:A,'CHIRP Payment Calc'!A:A,0)),0)</f>
        <v>2079126.6407289929</v>
      </c>
      <c r="M455" s="3">
        <f t="shared" si="15"/>
        <v>-571780.12504401989</v>
      </c>
    </row>
    <row r="456" spans="1:13">
      <c r="A456" s="9" t="s">
        <v>801</v>
      </c>
      <c r="B456" s="9" t="s">
        <v>227</v>
      </c>
      <c r="C456" s="9" t="s">
        <v>1545</v>
      </c>
      <c r="D456" s="4" t="s">
        <v>802</v>
      </c>
      <c r="E456" s="14" t="s">
        <v>802</v>
      </c>
      <c r="F456" s="14" t="s">
        <v>803</v>
      </c>
      <c r="G456" s="14" t="s">
        <v>801</v>
      </c>
      <c r="H456" s="9" t="s">
        <v>1885</v>
      </c>
      <c r="I456" s="3">
        <v>151158.07275827628</v>
      </c>
      <c r="J456" s="3">
        <v>18066.312912805741</v>
      </c>
      <c r="K456" s="3">
        <f t="shared" ref="K456:K519" si="16">I456+J456</f>
        <v>169224.38567108201</v>
      </c>
      <c r="L456" s="3">
        <f>IFERROR(INDEX('CHIRP Payment Calc'!K:K,MATCH(A:A,'CHIRP Payment Calc'!A:A,0)),0)</f>
        <v>197339.20083570963</v>
      </c>
      <c r="M456" s="3">
        <f t="shared" ref="M456:M519" si="17">K456-L456</f>
        <v>-28114.815164627624</v>
      </c>
    </row>
    <row r="457" spans="1:13">
      <c r="A457" s="9" t="s">
        <v>359</v>
      </c>
      <c r="B457" s="9" t="s">
        <v>227</v>
      </c>
      <c r="C457" s="9" t="s">
        <v>1545</v>
      </c>
      <c r="D457" s="4" t="s">
        <v>360</v>
      </c>
      <c r="E457" s="14" t="s">
        <v>360</v>
      </c>
      <c r="F457" s="14" t="s">
        <v>361</v>
      </c>
      <c r="G457" s="14" t="s">
        <v>359</v>
      </c>
      <c r="H457" s="9" t="s">
        <v>1630</v>
      </c>
      <c r="I457" s="3">
        <v>886010.36650015088</v>
      </c>
      <c r="J457" s="3">
        <v>126715.74293529942</v>
      </c>
      <c r="K457" s="3">
        <f t="shared" si="16"/>
        <v>1012726.1094354503</v>
      </c>
      <c r="L457" s="3">
        <f>IFERROR(INDEX('CHIRP Payment Calc'!K:K,MATCH(A:A,'CHIRP Payment Calc'!A:A,0)),0)</f>
        <v>1572015.6850304077</v>
      </c>
      <c r="M457" s="3">
        <f t="shared" si="17"/>
        <v>-559289.57559495745</v>
      </c>
    </row>
    <row r="458" spans="1:13">
      <c r="A458" s="9" t="s">
        <v>735</v>
      </c>
      <c r="B458" s="9" t="s">
        <v>227</v>
      </c>
      <c r="C458" s="9" t="s">
        <v>1545</v>
      </c>
      <c r="D458" s="4" t="s">
        <v>736</v>
      </c>
      <c r="E458" s="14" t="s">
        <v>736</v>
      </c>
      <c r="F458" s="14" t="s">
        <v>737</v>
      </c>
      <c r="G458" s="14" t="s">
        <v>735</v>
      </c>
      <c r="H458" s="9" t="s">
        <v>1681</v>
      </c>
      <c r="I458" s="3">
        <v>209523.09145763612</v>
      </c>
      <c r="J458" s="3">
        <v>115286.55123839623</v>
      </c>
      <c r="K458" s="3">
        <f t="shared" si="16"/>
        <v>324809.64269603236</v>
      </c>
      <c r="L458" s="3">
        <f>IFERROR(INDEX('CHIRP Payment Calc'!K:K,MATCH(A:A,'CHIRP Payment Calc'!A:A,0)),0)</f>
        <v>492410.81072083279</v>
      </c>
      <c r="M458" s="3">
        <f t="shared" si="17"/>
        <v>-167601.16802480043</v>
      </c>
    </row>
    <row r="459" spans="1:13">
      <c r="A459" s="9" t="s">
        <v>698</v>
      </c>
      <c r="B459" s="9" t="s">
        <v>227</v>
      </c>
      <c r="C459" s="9" t="s">
        <v>1545</v>
      </c>
      <c r="D459" s="4" t="s">
        <v>699</v>
      </c>
      <c r="E459" s="14" t="s">
        <v>699</v>
      </c>
      <c r="F459" s="14" t="s">
        <v>700</v>
      </c>
      <c r="G459" s="14" t="s">
        <v>698</v>
      </c>
      <c r="H459" s="9" t="s">
        <v>1884</v>
      </c>
      <c r="I459" s="3">
        <v>135144.48094846724</v>
      </c>
      <c r="J459" s="3">
        <v>288691.56366941216</v>
      </c>
      <c r="K459" s="3">
        <f t="shared" si="16"/>
        <v>423836.04461787944</v>
      </c>
      <c r="L459" s="3">
        <f>IFERROR(INDEX('CHIRP Payment Calc'!K:K,MATCH(A:A,'CHIRP Payment Calc'!A:A,0)),0)</f>
        <v>410406.36323918233</v>
      </c>
      <c r="M459" s="3">
        <f t="shared" si="17"/>
        <v>13429.681378697103</v>
      </c>
    </row>
    <row r="460" spans="1:13">
      <c r="A460" s="9" t="s">
        <v>155</v>
      </c>
      <c r="B460" s="9" t="s">
        <v>227</v>
      </c>
      <c r="C460" s="9" t="s">
        <v>1545</v>
      </c>
      <c r="D460" s="4" t="s">
        <v>156</v>
      </c>
      <c r="E460" s="14" t="s">
        <v>156</v>
      </c>
      <c r="F460" s="14" t="s">
        <v>157</v>
      </c>
      <c r="G460" s="14" t="s">
        <v>155</v>
      </c>
      <c r="H460" s="9" t="s">
        <v>1883</v>
      </c>
      <c r="I460" s="3">
        <v>304752.87674738426</v>
      </c>
      <c r="J460" s="3">
        <v>264945.08714714582</v>
      </c>
      <c r="K460" s="3">
        <f t="shared" si="16"/>
        <v>569697.96389453008</v>
      </c>
      <c r="L460" s="3">
        <f>IFERROR(INDEX('CHIRP Payment Calc'!K:K,MATCH(A:A,'CHIRP Payment Calc'!A:A,0)),0)</f>
        <v>904722.52045834041</v>
      </c>
      <c r="M460" s="3">
        <f t="shared" si="17"/>
        <v>-335024.55656381033</v>
      </c>
    </row>
    <row r="461" spans="1:13">
      <c r="A461" s="9" t="s">
        <v>1749</v>
      </c>
      <c r="B461" s="9" t="s">
        <v>227</v>
      </c>
      <c r="C461" s="9" t="s">
        <v>1545</v>
      </c>
      <c r="D461" s="4" t="s">
        <v>1748</v>
      </c>
      <c r="E461" s="14" t="s">
        <v>1748</v>
      </c>
      <c r="F461" s="14" t="s">
        <v>1767</v>
      </c>
      <c r="G461" s="14" t="s">
        <v>1749</v>
      </c>
      <c r="H461" s="9" t="s">
        <v>1767</v>
      </c>
      <c r="I461" s="3">
        <v>52887.715284429381</v>
      </c>
      <c r="J461" s="3">
        <v>10886.067102202154</v>
      </c>
      <c r="K461" s="3">
        <f t="shared" si="16"/>
        <v>63773.782386631538</v>
      </c>
      <c r="L461" s="3">
        <f>IFERROR(INDEX('CHIRP Payment Calc'!K:K,MATCH(A:A,'CHIRP Payment Calc'!A:A,0)),0)</f>
        <v>76248.756328423391</v>
      </c>
      <c r="M461" s="3">
        <f t="shared" si="17"/>
        <v>-12474.973941791854</v>
      </c>
    </row>
    <row r="462" spans="1:13">
      <c r="A462" s="9" t="s">
        <v>617</v>
      </c>
      <c r="B462" s="9" t="s">
        <v>227</v>
      </c>
      <c r="C462" s="9" t="s">
        <v>1545</v>
      </c>
      <c r="D462" s="4" t="s">
        <v>618</v>
      </c>
      <c r="E462" s="14" t="s">
        <v>618</v>
      </c>
      <c r="F462" s="14" t="s">
        <v>619</v>
      </c>
      <c r="G462" s="14" t="s">
        <v>617</v>
      </c>
      <c r="H462" s="9" t="s">
        <v>1733</v>
      </c>
      <c r="I462" s="3">
        <v>19218.467098799683</v>
      </c>
      <c r="J462" s="3">
        <v>13208.456112285563</v>
      </c>
      <c r="K462" s="3">
        <f t="shared" si="16"/>
        <v>32426.923211085246</v>
      </c>
      <c r="L462" s="3">
        <f>IFERROR(INDEX('CHIRP Payment Calc'!K:K,MATCH(A:A,'CHIRP Payment Calc'!A:A,0)),0)</f>
        <v>0</v>
      </c>
      <c r="M462" s="3">
        <f t="shared" si="17"/>
        <v>32426.923211085246</v>
      </c>
    </row>
    <row r="463" spans="1:13">
      <c r="A463" s="9" t="s">
        <v>956</v>
      </c>
      <c r="B463" s="9" t="s">
        <v>227</v>
      </c>
      <c r="C463" s="9" t="s">
        <v>1545</v>
      </c>
      <c r="D463" s="4" t="s">
        <v>957</v>
      </c>
      <c r="E463" s="14" t="s">
        <v>957</v>
      </c>
      <c r="F463" s="14" t="s">
        <v>958</v>
      </c>
      <c r="G463" s="14" t="s">
        <v>956</v>
      </c>
      <c r="H463" s="9" t="s">
        <v>1642</v>
      </c>
      <c r="I463" s="3">
        <v>1648848.162378923</v>
      </c>
      <c r="J463" s="3">
        <v>600278.7152176724</v>
      </c>
      <c r="K463" s="3">
        <f t="shared" si="16"/>
        <v>2249126.8775965953</v>
      </c>
      <c r="L463" s="3">
        <f>IFERROR(INDEX('CHIRP Payment Calc'!K:K,MATCH(A:A,'CHIRP Payment Calc'!A:A,0)),0)</f>
        <v>3324372.4737607841</v>
      </c>
      <c r="M463" s="3">
        <f t="shared" si="17"/>
        <v>-1075245.5961641888</v>
      </c>
    </row>
    <row r="464" spans="1:13">
      <c r="A464" s="9" t="s">
        <v>732</v>
      </c>
      <c r="B464" s="9" t="s">
        <v>227</v>
      </c>
      <c r="C464" s="9" t="s">
        <v>1545</v>
      </c>
      <c r="D464" s="4" t="s">
        <v>733</v>
      </c>
      <c r="E464" s="14" t="s">
        <v>733</v>
      </c>
      <c r="F464" s="14" t="s">
        <v>734</v>
      </c>
      <c r="G464" s="14" t="s">
        <v>732</v>
      </c>
      <c r="H464" s="9" t="s">
        <v>1882</v>
      </c>
      <c r="I464" s="3">
        <v>206224.93761795713</v>
      </c>
      <c r="J464" s="3">
        <v>6529.884064226103</v>
      </c>
      <c r="K464" s="3">
        <f t="shared" si="16"/>
        <v>212754.82168218322</v>
      </c>
      <c r="L464" s="3">
        <f>IFERROR(INDEX('CHIRP Payment Calc'!K:K,MATCH(A:A,'CHIRP Payment Calc'!A:A,0)),0)</f>
        <v>233011.35540542274</v>
      </c>
      <c r="M464" s="3">
        <f t="shared" si="17"/>
        <v>-20256.533723239525</v>
      </c>
    </row>
    <row r="465" spans="1:13">
      <c r="A465" s="9" t="s">
        <v>1162</v>
      </c>
      <c r="B465" s="9" t="s">
        <v>227</v>
      </c>
      <c r="C465" s="9" t="s">
        <v>1554</v>
      </c>
      <c r="D465" s="4" t="s">
        <v>1163</v>
      </c>
      <c r="E465" s="14" t="s">
        <v>1163</v>
      </c>
      <c r="F465" s="14" t="s">
        <v>1164</v>
      </c>
      <c r="G465" s="14" t="s">
        <v>1162</v>
      </c>
      <c r="H465" s="9" t="s">
        <v>1881</v>
      </c>
      <c r="I465" s="3">
        <v>7220184.7274975628</v>
      </c>
      <c r="J465" s="3">
        <v>3932433.1757844333</v>
      </c>
      <c r="K465" s="3">
        <f t="shared" si="16"/>
        <v>11152617.903281996</v>
      </c>
      <c r="L465" s="3">
        <f>IFERROR(INDEX('CHIRP Payment Calc'!K:K,MATCH(A:A,'CHIRP Payment Calc'!A:A,0)),0)</f>
        <v>15596324.035458967</v>
      </c>
      <c r="M465" s="3">
        <f t="shared" si="17"/>
        <v>-4443706.1321769711</v>
      </c>
    </row>
    <row r="466" spans="1:13">
      <c r="A466" s="9" t="s">
        <v>114</v>
      </c>
      <c r="B466" s="9" t="s">
        <v>1548</v>
      </c>
      <c r="C466" s="9" t="s">
        <v>1594</v>
      </c>
      <c r="D466" s="4" t="s">
        <v>115</v>
      </c>
      <c r="E466" s="14" t="s">
        <v>115</v>
      </c>
      <c r="F466" s="14" t="s">
        <v>116</v>
      </c>
      <c r="G466" s="14" t="s">
        <v>114</v>
      </c>
      <c r="H466" s="9" t="s">
        <v>1696</v>
      </c>
      <c r="I466" s="3">
        <v>118751297.15357794</v>
      </c>
      <c r="J466" s="3">
        <v>410235.25971352769</v>
      </c>
      <c r="K466" s="3">
        <f t="shared" si="16"/>
        <v>119161532.41329147</v>
      </c>
      <c r="L466" s="3">
        <f>IFERROR(INDEX('CHIRP Payment Calc'!K:K,MATCH(A:A,'CHIRP Payment Calc'!A:A,0)),0)</f>
        <v>144239668.69883296</v>
      </c>
      <c r="M466" s="3">
        <f t="shared" si="17"/>
        <v>-25078136.28554149</v>
      </c>
    </row>
    <row r="467" spans="1:13">
      <c r="A467" s="9" t="s">
        <v>611</v>
      </c>
      <c r="B467" s="9" t="s">
        <v>1548</v>
      </c>
      <c r="C467" s="9" t="s">
        <v>1553</v>
      </c>
      <c r="D467" s="4" t="s">
        <v>612</v>
      </c>
      <c r="E467" s="14" t="s">
        <v>612</v>
      </c>
      <c r="F467" s="14" t="s">
        <v>613</v>
      </c>
      <c r="G467" s="14" t="s">
        <v>611</v>
      </c>
      <c r="H467" s="9" t="s">
        <v>1880</v>
      </c>
      <c r="I467" s="3">
        <v>2164705.1339259082</v>
      </c>
      <c r="J467" s="3">
        <v>2013937.1829845768</v>
      </c>
      <c r="K467" s="3">
        <f t="shared" si="16"/>
        <v>4178642.3169104848</v>
      </c>
      <c r="L467" s="3">
        <f>IFERROR(INDEX('CHIRP Payment Calc'!K:K,MATCH(A:A,'CHIRP Payment Calc'!A:A,0)),0)</f>
        <v>5269509.0184936672</v>
      </c>
      <c r="M467" s="3">
        <f t="shared" si="17"/>
        <v>-1090866.7015831824</v>
      </c>
    </row>
    <row r="468" spans="1:13">
      <c r="A468" s="9" t="s">
        <v>1515</v>
      </c>
      <c r="B468" s="15" t="s">
        <v>300</v>
      </c>
      <c r="C468" s="15" t="s">
        <v>1801</v>
      </c>
      <c r="D468" s="4" t="s">
        <v>1516</v>
      </c>
      <c r="E468" s="14" t="e">
        <v>#N/A</v>
      </c>
      <c r="F468" s="14" t="e">
        <v>#N/A</v>
      </c>
      <c r="G468" s="14" t="e">
        <v>#N/A</v>
      </c>
      <c r="H468" s="9" t="s">
        <v>2146</v>
      </c>
      <c r="I468" s="3">
        <v>721205.58119373117</v>
      </c>
      <c r="J468" s="3">
        <v>0</v>
      </c>
      <c r="K468" s="3">
        <f t="shared" si="16"/>
        <v>721205.58119373117</v>
      </c>
      <c r="L468" s="3">
        <f>IFERROR(INDEX('CHIRP Payment Calc'!K:K,MATCH(A:A,'CHIRP Payment Calc'!A:A,0)),0)</f>
        <v>1695322.4476820694</v>
      </c>
      <c r="M468" s="3">
        <f t="shared" si="17"/>
        <v>-974116.86648833822</v>
      </c>
    </row>
    <row r="469" spans="1:13">
      <c r="A469" s="9" t="s">
        <v>551</v>
      </c>
      <c r="B469" s="9" t="s">
        <v>1548</v>
      </c>
      <c r="C469" s="9" t="s">
        <v>222</v>
      </c>
      <c r="D469" s="4" t="s">
        <v>552</v>
      </c>
      <c r="E469" s="14" t="s">
        <v>552</v>
      </c>
      <c r="F469" s="14" t="s">
        <v>553</v>
      </c>
      <c r="G469" s="14" t="s">
        <v>551</v>
      </c>
      <c r="H469" s="9" t="s">
        <v>1878</v>
      </c>
      <c r="I469" s="3">
        <v>356424.638041133</v>
      </c>
      <c r="J469" s="3">
        <v>106227.20578422872</v>
      </c>
      <c r="K469" s="3">
        <f t="shared" si="16"/>
        <v>462651.84382536169</v>
      </c>
      <c r="L469" s="3">
        <f>IFERROR(INDEX('CHIRP Payment Calc'!K:K,MATCH(A:A,'CHIRP Payment Calc'!A:A,0)),0)</f>
        <v>0</v>
      </c>
      <c r="M469" s="3">
        <f t="shared" si="17"/>
        <v>462651.84382536169</v>
      </c>
    </row>
    <row r="470" spans="1:13">
      <c r="A470" s="9" t="s">
        <v>1539</v>
      </c>
      <c r="B470" s="9" t="s">
        <v>1548</v>
      </c>
      <c r="C470" s="9" t="s">
        <v>222</v>
      </c>
      <c r="D470" s="4" t="s">
        <v>1540</v>
      </c>
      <c r="E470" s="14" t="s">
        <v>1540</v>
      </c>
      <c r="F470" s="14" t="s">
        <v>1541</v>
      </c>
      <c r="G470" s="14" t="s">
        <v>1539</v>
      </c>
      <c r="H470" s="9" t="s">
        <v>1877</v>
      </c>
      <c r="I470" s="3">
        <v>0</v>
      </c>
      <c r="J470" s="3">
        <v>0</v>
      </c>
      <c r="K470" s="3">
        <f t="shared" si="16"/>
        <v>0</v>
      </c>
      <c r="L470" s="3">
        <f>IFERROR(INDEX('CHIRP Payment Calc'!K:K,MATCH(A:A,'CHIRP Payment Calc'!A:A,0)),0)</f>
        <v>0</v>
      </c>
      <c r="M470" s="3">
        <f t="shared" si="17"/>
        <v>0</v>
      </c>
    </row>
    <row r="471" spans="1:13">
      <c r="A471" s="9" t="s">
        <v>1875</v>
      </c>
      <c r="B471" s="9" t="s">
        <v>1548</v>
      </c>
      <c r="C471" s="9" t="s">
        <v>222</v>
      </c>
      <c r="D471" s="4" t="s">
        <v>1876</v>
      </c>
      <c r="E471" s="14" t="s">
        <v>1876</v>
      </c>
      <c r="F471" s="14" t="e">
        <v>#N/A</v>
      </c>
      <c r="G471" s="14" t="s">
        <v>1875</v>
      </c>
      <c r="H471" s="9" t="s">
        <v>1874</v>
      </c>
      <c r="I471" s="3">
        <v>0</v>
      </c>
      <c r="J471" s="3">
        <v>0</v>
      </c>
      <c r="K471" s="3">
        <f t="shared" si="16"/>
        <v>0</v>
      </c>
      <c r="L471" s="3">
        <f>IFERROR(INDEX('CHIRP Payment Calc'!K:K,MATCH(A:A,'CHIRP Payment Calc'!A:A,0)),0)</f>
        <v>0</v>
      </c>
      <c r="M471" s="3">
        <f t="shared" si="17"/>
        <v>0</v>
      </c>
    </row>
    <row r="472" spans="1:13">
      <c r="A472" s="9" t="s">
        <v>335</v>
      </c>
      <c r="B472" s="9" t="s">
        <v>1548</v>
      </c>
      <c r="C472" s="9" t="s">
        <v>222</v>
      </c>
      <c r="D472" s="4" t="s">
        <v>336</v>
      </c>
      <c r="E472" s="14" t="s">
        <v>336</v>
      </c>
      <c r="F472" s="14" t="s">
        <v>337</v>
      </c>
      <c r="G472" s="14" t="s">
        <v>335</v>
      </c>
      <c r="H472" s="9" t="s">
        <v>1873</v>
      </c>
      <c r="I472" s="3">
        <v>0</v>
      </c>
      <c r="J472" s="3">
        <v>0</v>
      </c>
      <c r="K472" s="3">
        <f t="shared" si="16"/>
        <v>0</v>
      </c>
      <c r="L472" s="3">
        <f>IFERROR(INDEX('CHIRP Payment Calc'!K:K,MATCH(A:A,'CHIRP Payment Calc'!A:A,0)),0)</f>
        <v>0</v>
      </c>
      <c r="M472" s="3">
        <f t="shared" si="17"/>
        <v>0</v>
      </c>
    </row>
    <row r="473" spans="1:13">
      <c r="A473" s="9" t="s">
        <v>506</v>
      </c>
      <c r="B473" s="9" t="s">
        <v>1548</v>
      </c>
      <c r="C473" s="9" t="s">
        <v>222</v>
      </c>
      <c r="D473" s="4" t="s">
        <v>507</v>
      </c>
      <c r="E473" s="14" t="s">
        <v>507</v>
      </c>
      <c r="F473" s="14" t="s">
        <v>508</v>
      </c>
      <c r="G473" s="14" t="s">
        <v>506</v>
      </c>
      <c r="H473" s="9" t="s">
        <v>1872</v>
      </c>
      <c r="I473" s="3">
        <v>20793892.006635178</v>
      </c>
      <c r="J473" s="3">
        <v>7395824.4762746952</v>
      </c>
      <c r="K473" s="3">
        <f t="shared" si="16"/>
        <v>28189716.482909873</v>
      </c>
      <c r="L473" s="3">
        <f>IFERROR(INDEX('CHIRP Payment Calc'!K:K,MATCH(A:A,'CHIRP Payment Calc'!A:A,0)),0)</f>
        <v>34528300.281494714</v>
      </c>
      <c r="M473" s="3">
        <f t="shared" si="17"/>
        <v>-6338583.7985848412</v>
      </c>
    </row>
    <row r="474" spans="1:13">
      <c r="A474" s="9" t="s">
        <v>329</v>
      </c>
      <c r="B474" s="9" t="s">
        <v>1548</v>
      </c>
      <c r="C474" s="9" t="s">
        <v>222</v>
      </c>
      <c r="D474" s="4" t="s">
        <v>330</v>
      </c>
      <c r="E474" s="14" t="s">
        <v>330</v>
      </c>
      <c r="F474" s="14" t="s">
        <v>331</v>
      </c>
      <c r="G474" s="14" t="s">
        <v>329</v>
      </c>
      <c r="H474" s="9" t="s">
        <v>1871</v>
      </c>
      <c r="I474" s="3">
        <v>0</v>
      </c>
      <c r="J474" s="3">
        <v>0</v>
      </c>
      <c r="K474" s="3">
        <f t="shared" si="16"/>
        <v>0</v>
      </c>
      <c r="L474" s="3">
        <f>IFERROR(INDEX('CHIRP Payment Calc'!K:K,MATCH(A:A,'CHIRP Payment Calc'!A:A,0)),0)</f>
        <v>0</v>
      </c>
      <c r="M474" s="3">
        <f t="shared" si="17"/>
        <v>0</v>
      </c>
    </row>
    <row r="475" spans="1:13">
      <c r="A475" s="9" t="s">
        <v>1395</v>
      </c>
      <c r="B475" s="9" t="s">
        <v>1548</v>
      </c>
      <c r="C475" s="9" t="s">
        <v>222</v>
      </c>
      <c r="D475" s="4" t="s">
        <v>1396</v>
      </c>
      <c r="E475" s="14" t="s">
        <v>1396</v>
      </c>
      <c r="F475" s="14" t="s">
        <v>1397</v>
      </c>
      <c r="G475" s="14" t="s">
        <v>1395</v>
      </c>
      <c r="H475" s="9" t="s">
        <v>1702</v>
      </c>
      <c r="I475" s="3">
        <v>38386.339467054095</v>
      </c>
      <c r="J475" s="3">
        <v>316484.61498195346</v>
      </c>
      <c r="K475" s="3">
        <f t="shared" si="16"/>
        <v>354870.95444900758</v>
      </c>
      <c r="L475" s="3">
        <f>IFERROR(INDEX('CHIRP Payment Calc'!K:K,MATCH(A:A,'CHIRP Payment Calc'!A:A,0)),0)</f>
        <v>0</v>
      </c>
      <c r="M475" s="3">
        <f t="shared" si="17"/>
        <v>354870.95444900758</v>
      </c>
    </row>
    <row r="476" spans="1:13">
      <c r="A476" s="9" t="s">
        <v>1552</v>
      </c>
      <c r="B476" s="9" t="s">
        <v>1548</v>
      </c>
      <c r="C476" s="9" t="s">
        <v>222</v>
      </c>
      <c r="D476" s="4" t="s">
        <v>1697</v>
      </c>
      <c r="E476" s="14" t="s">
        <v>1697</v>
      </c>
      <c r="F476" s="14" t="s">
        <v>477</v>
      </c>
      <c r="G476" s="14" t="s">
        <v>1552</v>
      </c>
      <c r="H476" s="9" t="s">
        <v>1870</v>
      </c>
      <c r="I476" s="3">
        <v>5680828.2448568055</v>
      </c>
      <c r="J476" s="3">
        <v>2864163.9548656275</v>
      </c>
      <c r="K476" s="3">
        <f t="shared" si="16"/>
        <v>8544992.1997224335</v>
      </c>
      <c r="L476" s="3">
        <f>IFERROR(INDEX('CHIRP Payment Calc'!K:K,MATCH(A:A,'CHIRP Payment Calc'!A:A,0)),0)</f>
        <v>9756228.0475818478</v>
      </c>
      <c r="M476" s="3">
        <f t="shared" si="17"/>
        <v>-1211235.8478594143</v>
      </c>
    </row>
    <row r="477" spans="1:13">
      <c r="A477" s="9" t="s">
        <v>311</v>
      </c>
      <c r="B477" s="9" t="s">
        <v>1548</v>
      </c>
      <c r="C477" s="9" t="s">
        <v>222</v>
      </c>
      <c r="D477" s="4" t="s">
        <v>1869</v>
      </c>
      <c r="E477" s="14" t="s">
        <v>312</v>
      </c>
      <c r="F477" s="14" t="s">
        <v>313</v>
      </c>
      <c r="G477" s="14" t="s">
        <v>311</v>
      </c>
      <c r="H477" s="9" t="s">
        <v>1868</v>
      </c>
      <c r="I477" s="3">
        <v>0</v>
      </c>
      <c r="J477" s="3">
        <v>0</v>
      </c>
      <c r="K477" s="3">
        <f t="shared" si="16"/>
        <v>0</v>
      </c>
      <c r="L477" s="3">
        <f>IFERROR(INDEX('CHIRP Payment Calc'!K:K,MATCH(A:A,'CHIRP Payment Calc'!A:A,0)),0)</f>
        <v>0</v>
      </c>
      <c r="M477" s="3">
        <f t="shared" si="17"/>
        <v>0</v>
      </c>
    </row>
    <row r="478" spans="1:13">
      <c r="A478" s="9" t="s">
        <v>73</v>
      </c>
      <c r="B478" s="9" t="s">
        <v>1548</v>
      </c>
      <c r="C478" s="9" t="s">
        <v>1479</v>
      </c>
      <c r="D478" s="4" t="s">
        <v>74</v>
      </c>
      <c r="E478" s="14" t="s">
        <v>74</v>
      </c>
      <c r="F478" s="14" t="s">
        <v>75</v>
      </c>
      <c r="G478" s="14" t="s">
        <v>73</v>
      </c>
      <c r="H478" s="9" t="s">
        <v>1867</v>
      </c>
      <c r="I478" s="3">
        <v>2392498.6805992355</v>
      </c>
      <c r="J478" s="3">
        <v>1445618.4617287086</v>
      </c>
      <c r="K478" s="3">
        <f t="shared" si="16"/>
        <v>3838117.1423279438</v>
      </c>
      <c r="L478" s="3">
        <f>IFERROR(INDEX('CHIRP Payment Calc'!K:K,MATCH(A:A,'CHIRP Payment Calc'!A:A,0)),0)</f>
        <v>4859559.8670010744</v>
      </c>
      <c r="M478" s="3">
        <f t="shared" si="17"/>
        <v>-1021442.7246731305</v>
      </c>
    </row>
    <row r="479" spans="1:13">
      <c r="A479" s="9" t="s">
        <v>608</v>
      </c>
      <c r="B479" s="9" t="s">
        <v>1548</v>
      </c>
      <c r="C479" s="9" t="s">
        <v>1479</v>
      </c>
      <c r="D479" s="4" t="s">
        <v>609</v>
      </c>
      <c r="E479" s="14" t="s">
        <v>609</v>
      </c>
      <c r="F479" s="14" t="s">
        <v>610</v>
      </c>
      <c r="G479" s="14" t="s">
        <v>608</v>
      </c>
      <c r="H479" s="9" t="s">
        <v>1866</v>
      </c>
      <c r="I479" s="3">
        <v>2371938.8657005066</v>
      </c>
      <c r="J479" s="3">
        <v>1099623.4903880849</v>
      </c>
      <c r="K479" s="3">
        <f t="shared" si="16"/>
        <v>3471562.3560885917</v>
      </c>
      <c r="L479" s="3">
        <f>IFERROR(INDEX('CHIRP Payment Calc'!K:K,MATCH(A:A,'CHIRP Payment Calc'!A:A,0)),0)</f>
        <v>4538265.057098086</v>
      </c>
      <c r="M479" s="3">
        <f t="shared" si="17"/>
        <v>-1066702.7010094943</v>
      </c>
    </row>
    <row r="480" spans="1:13">
      <c r="A480" s="9" t="s">
        <v>602</v>
      </c>
      <c r="B480" s="9" t="s">
        <v>1548</v>
      </c>
      <c r="C480" s="9" t="s">
        <v>1479</v>
      </c>
      <c r="D480" s="4" t="s">
        <v>603</v>
      </c>
      <c r="E480" s="14" t="s">
        <v>603</v>
      </c>
      <c r="F480" s="14" t="s">
        <v>604</v>
      </c>
      <c r="G480" s="14" t="s">
        <v>602</v>
      </c>
      <c r="H480" s="9" t="s">
        <v>1865</v>
      </c>
      <c r="I480" s="3">
        <v>2839992.8721295632</v>
      </c>
      <c r="J480" s="3">
        <v>996758.6393487259</v>
      </c>
      <c r="K480" s="3">
        <f t="shared" si="16"/>
        <v>3836751.511478289</v>
      </c>
      <c r="L480" s="3">
        <f>IFERROR(INDEX('CHIRP Payment Calc'!K:K,MATCH(A:A,'CHIRP Payment Calc'!A:A,0)),0)</f>
        <v>4765796.3854897143</v>
      </c>
      <c r="M480" s="3">
        <f t="shared" si="17"/>
        <v>-929044.8740114253</v>
      </c>
    </row>
    <row r="481" spans="1:13">
      <c r="A481" s="9" t="s">
        <v>850</v>
      </c>
      <c r="B481" s="9" t="s">
        <v>1548</v>
      </c>
      <c r="C481" s="9" t="s">
        <v>1545</v>
      </c>
      <c r="D481" s="4" t="s">
        <v>851</v>
      </c>
      <c r="E481" s="14" t="s">
        <v>851</v>
      </c>
      <c r="F481" s="14" t="s">
        <v>852</v>
      </c>
      <c r="G481" s="14" t="s">
        <v>850</v>
      </c>
      <c r="H481" s="9" t="s">
        <v>1660</v>
      </c>
      <c r="I481" s="3">
        <v>1012428.8615903972</v>
      </c>
      <c r="J481" s="3">
        <v>451692.28012832522</v>
      </c>
      <c r="K481" s="3">
        <f t="shared" si="16"/>
        <v>1464121.1417187224</v>
      </c>
      <c r="L481" s="3">
        <f>IFERROR(INDEX('CHIRP Payment Calc'!K:K,MATCH(A:A,'CHIRP Payment Calc'!A:A,0)),0)</f>
        <v>1776402.4081452158</v>
      </c>
      <c r="M481" s="3">
        <f t="shared" si="17"/>
        <v>-312281.26642649341</v>
      </c>
    </row>
    <row r="482" spans="1:13">
      <c r="A482" s="9" t="s">
        <v>195</v>
      </c>
      <c r="B482" s="9" t="s">
        <v>1548</v>
      </c>
      <c r="C482" s="9" t="s">
        <v>1545</v>
      </c>
      <c r="D482" s="4" t="s">
        <v>196</v>
      </c>
      <c r="E482" s="14" t="s">
        <v>196</v>
      </c>
      <c r="F482" s="14" t="s">
        <v>197</v>
      </c>
      <c r="G482" s="14" t="s">
        <v>195</v>
      </c>
      <c r="H482" s="9" t="s">
        <v>1864</v>
      </c>
      <c r="I482" s="3">
        <v>615612.78117883077</v>
      </c>
      <c r="J482" s="3">
        <v>152351.83648488292</v>
      </c>
      <c r="K482" s="3">
        <f t="shared" si="16"/>
        <v>767964.61766371364</v>
      </c>
      <c r="L482" s="3">
        <f>IFERROR(INDEX('CHIRP Payment Calc'!K:K,MATCH(A:A,'CHIRP Payment Calc'!A:A,0)),0)</f>
        <v>852170.79213810561</v>
      </c>
      <c r="M482" s="3">
        <f t="shared" si="17"/>
        <v>-84206.17447439197</v>
      </c>
    </row>
    <row r="483" spans="1:13">
      <c r="A483" s="9" t="s">
        <v>989</v>
      </c>
      <c r="B483" s="9" t="s">
        <v>1548</v>
      </c>
      <c r="C483" s="9" t="s">
        <v>1545</v>
      </c>
      <c r="D483" s="4" t="s">
        <v>990</v>
      </c>
      <c r="E483" s="14" t="s">
        <v>990</v>
      </c>
      <c r="F483" s="14" t="s">
        <v>991</v>
      </c>
      <c r="G483" s="14" t="s">
        <v>989</v>
      </c>
      <c r="H483" s="9" t="s">
        <v>1629</v>
      </c>
      <c r="I483" s="3">
        <v>293379.42057664623</v>
      </c>
      <c r="J483" s="3">
        <v>209413.53247130214</v>
      </c>
      <c r="K483" s="3">
        <f t="shared" si="16"/>
        <v>502792.95304794837</v>
      </c>
      <c r="L483" s="3">
        <f>IFERROR(INDEX('CHIRP Payment Calc'!K:K,MATCH(A:A,'CHIRP Payment Calc'!A:A,0)),0)</f>
        <v>570929.30695648747</v>
      </c>
      <c r="M483" s="3">
        <f t="shared" si="17"/>
        <v>-68136.353908539109</v>
      </c>
    </row>
    <row r="484" spans="1:13">
      <c r="A484" s="9" t="s">
        <v>1555</v>
      </c>
      <c r="B484" s="9" t="s">
        <v>1548</v>
      </c>
      <c r="C484" s="9" t="s">
        <v>1554</v>
      </c>
      <c r="D484" s="4" t="s">
        <v>1712</v>
      </c>
      <c r="E484" s="14" t="s">
        <v>1712</v>
      </c>
      <c r="F484" s="14" t="s">
        <v>728</v>
      </c>
      <c r="G484" s="14" t="s">
        <v>1555</v>
      </c>
      <c r="H484" s="9" t="s">
        <v>1863</v>
      </c>
      <c r="I484" s="3">
        <v>12122078.059088843</v>
      </c>
      <c r="J484" s="3">
        <v>16272792.80816772</v>
      </c>
      <c r="K484" s="3">
        <f t="shared" si="16"/>
        <v>28394870.867256563</v>
      </c>
      <c r="L484" s="3">
        <f>IFERROR(INDEX('CHIRP Payment Calc'!K:K,MATCH(A:A,'CHIRP Payment Calc'!A:A,0)),0)</f>
        <v>30983382.13506519</v>
      </c>
      <c r="M484" s="3">
        <f t="shared" si="17"/>
        <v>-2588511.2678086273</v>
      </c>
    </row>
    <row r="485" spans="1:13">
      <c r="A485" s="9" t="s">
        <v>85</v>
      </c>
      <c r="B485" s="9" t="s">
        <v>1365</v>
      </c>
      <c r="C485" s="9" t="s">
        <v>1594</v>
      </c>
      <c r="D485" s="4" t="s">
        <v>86</v>
      </c>
      <c r="E485" s="14" t="s">
        <v>86</v>
      </c>
      <c r="F485" s="14" t="s">
        <v>87</v>
      </c>
      <c r="G485" s="14" t="s">
        <v>85</v>
      </c>
      <c r="H485" s="9" t="s">
        <v>1862</v>
      </c>
      <c r="I485" s="3">
        <v>177866596.47597089</v>
      </c>
      <c r="J485" s="3">
        <v>757366.82728482108</v>
      </c>
      <c r="K485" s="3">
        <f t="shared" si="16"/>
        <v>178623963.30325571</v>
      </c>
      <c r="L485" s="3">
        <f>IFERROR(INDEX('CHIRP Payment Calc'!K:K,MATCH(A:A,'CHIRP Payment Calc'!A:A,0)),0)</f>
        <v>241139566.29919916</v>
      </c>
      <c r="M485" s="3">
        <f t="shared" si="17"/>
        <v>-62515602.995943457</v>
      </c>
    </row>
    <row r="486" spans="1:13">
      <c r="A486" s="9" t="s">
        <v>1274</v>
      </c>
      <c r="B486" s="9" t="s">
        <v>1365</v>
      </c>
      <c r="C486" s="9" t="s">
        <v>1801</v>
      </c>
      <c r="D486" s="4" t="s">
        <v>1275</v>
      </c>
      <c r="E486" s="14" t="s">
        <v>1275</v>
      </c>
      <c r="F486" s="14" t="s">
        <v>1276</v>
      </c>
      <c r="G486" s="14" t="s">
        <v>1274</v>
      </c>
      <c r="H486" s="9" t="s">
        <v>1861</v>
      </c>
      <c r="I486" s="3">
        <v>4623700.1272091931</v>
      </c>
      <c r="J486" s="3">
        <v>0</v>
      </c>
      <c r="K486" s="3">
        <f t="shared" si="16"/>
        <v>4623700.1272091931</v>
      </c>
      <c r="L486" s="3">
        <f>IFERROR(INDEX('CHIRP Payment Calc'!K:K,MATCH(A:A,'CHIRP Payment Calc'!A:A,0)),0)</f>
        <v>3920127.9088175599</v>
      </c>
      <c r="M486" s="3">
        <f t="shared" si="17"/>
        <v>703572.21839163313</v>
      </c>
    </row>
    <row r="487" spans="1:13">
      <c r="A487" s="9" t="s">
        <v>1221</v>
      </c>
      <c r="B487" s="9" t="s">
        <v>1365</v>
      </c>
      <c r="C487" s="9" t="s">
        <v>1801</v>
      </c>
      <c r="D487" s="4" t="s">
        <v>1222</v>
      </c>
      <c r="E487" s="14" t="s">
        <v>1222</v>
      </c>
      <c r="F487" s="14" t="s">
        <v>1223</v>
      </c>
      <c r="G487" s="14" t="s">
        <v>1221</v>
      </c>
      <c r="H487" s="9" t="s">
        <v>1860</v>
      </c>
      <c r="I487" s="3">
        <v>1137.1813054636809</v>
      </c>
      <c r="J487" s="3">
        <v>0</v>
      </c>
      <c r="K487" s="3">
        <f t="shared" si="16"/>
        <v>1137.1813054636809</v>
      </c>
      <c r="L487" s="3">
        <f>IFERROR(INDEX('CHIRP Payment Calc'!K:K,MATCH(A:A,'CHIRP Payment Calc'!A:A,0)),0)</f>
        <v>0</v>
      </c>
      <c r="M487" s="3">
        <f t="shared" si="17"/>
        <v>1137.1813054636809</v>
      </c>
    </row>
    <row r="488" spans="1:13">
      <c r="A488" s="9" t="s">
        <v>1362</v>
      </c>
      <c r="B488" s="9" t="s">
        <v>1365</v>
      </c>
      <c r="C488" s="9" t="s">
        <v>1801</v>
      </c>
      <c r="D488" s="4" t="s">
        <v>1859</v>
      </c>
      <c r="E488" s="14" t="s">
        <v>1363</v>
      </c>
      <c r="F488" s="14" t="s">
        <v>1364</v>
      </c>
      <c r="G488" s="14" t="s">
        <v>1362</v>
      </c>
      <c r="H488" s="9" t="s">
        <v>1858</v>
      </c>
      <c r="I488" s="3">
        <v>8229.4419559465241</v>
      </c>
      <c r="J488" s="3">
        <v>0</v>
      </c>
      <c r="K488" s="3">
        <f t="shared" si="16"/>
        <v>8229.4419559465241</v>
      </c>
      <c r="L488" s="3">
        <f>IFERROR(INDEX('CHIRP Payment Calc'!K:K,MATCH(A:A,'CHIRP Payment Calc'!A:A,0)),0)</f>
        <v>46987.931204469336</v>
      </c>
      <c r="M488" s="3">
        <f t="shared" si="17"/>
        <v>-38758.489248522812</v>
      </c>
    </row>
    <row r="489" spans="1:13">
      <c r="A489" s="9" t="s">
        <v>1271</v>
      </c>
      <c r="B489" s="9" t="s">
        <v>1365</v>
      </c>
      <c r="C489" s="9" t="s">
        <v>1801</v>
      </c>
      <c r="D489" s="4" t="s">
        <v>1272</v>
      </c>
      <c r="E489" s="14" t="s">
        <v>1272</v>
      </c>
      <c r="F489" s="14" t="s">
        <v>1273</v>
      </c>
      <c r="G489" s="14" t="s">
        <v>1271</v>
      </c>
      <c r="H489" s="9" t="s">
        <v>1857</v>
      </c>
      <c r="I489" s="3">
        <v>3150256.73784169</v>
      </c>
      <c r="J489" s="3">
        <v>0</v>
      </c>
      <c r="K489" s="3">
        <f t="shared" si="16"/>
        <v>3150256.73784169</v>
      </c>
      <c r="L489" s="3">
        <f>IFERROR(INDEX('CHIRP Payment Calc'!K:K,MATCH(A:A,'CHIRP Payment Calc'!A:A,0)),0)</f>
        <v>2234316.5170726096</v>
      </c>
      <c r="M489" s="3">
        <f t="shared" si="17"/>
        <v>915940.22076908033</v>
      </c>
    </row>
    <row r="490" spans="1:13">
      <c r="A490" s="9" t="s">
        <v>1324</v>
      </c>
      <c r="B490" s="9" t="s">
        <v>1365</v>
      </c>
      <c r="C490" s="9" t="s">
        <v>1801</v>
      </c>
      <c r="D490" s="4" t="s">
        <v>1325</v>
      </c>
      <c r="E490" s="14" t="s">
        <v>1325</v>
      </c>
      <c r="F490" s="14" t="s">
        <v>1326</v>
      </c>
      <c r="G490" s="14" t="s">
        <v>1324</v>
      </c>
      <c r="H490" s="9" t="s">
        <v>1856</v>
      </c>
      <c r="I490" s="3">
        <v>0</v>
      </c>
      <c r="J490" s="3">
        <v>0</v>
      </c>
      <c r="K490" s="3">
        <f t="shared" si="16"/>
        <v>0</v>
      </c>
      <c r="L490" s="3">
        <f>IFERROR(INDEX('CHIRP Payment Calc'!K:K,MATCH(A:A,'CHIRP Payment Calc'!A:A,0)),0)</f>
        <v>0</v>
      </c>
      <c r="M490" s="3">
        <f t="shared" si="17"/>
        <v>0</v>
      </c>
    </row>
    <row r="491" spans="1:13">
      <c r="A491" s="9" t="s">
        <v>1253</v>
      </c>
      <c r="B491" s="9" t="s">
        <v>1365</v>
      </c>
      <c r="C491" s="9" t="s">
        <v>1801</v>
      </c>
      <c r="D491" s="4" t="s">
        <v>1254</v>
      </c>
      <c r="E491" s="14" t="s">
        <v>1254</v>
      </c>
      <c r="F491" s="14" t="s">
        <v>1255</v>
      </c>
      <c r="G491" s="14" t="s">
        <v>1253</v>
      </c>
      <c r="H491" s="9" t="s">
        <v>1855</v>
      </c>
      <c r="I491" s="3">
        <v>0</v>
      </c>
      <c r="J491" s="3">
        <v>0</v>
      </c>
      <c r="K491" s="3">
        <f t="shared" si="16"/>
        <v>0</v>
      </c>
      <c r="L491" s="3">
        <f>IFERROR(INDEX('CHIRP Payment Calc'!K:K,MATCH(A:A,'CHIRP Payment Calc'!A:A,0)),0)</f>
        <v>210130.79837517755</v>
      </c>
      <c r="M491" s="3">
        <f t="shared" si="17"/>
        <v>-210130.79837517755</v>
      </c>
    </row>
    <row r="492" spans="1:13">
      <c r="A492" s="9" t="s">
        <v>1345</v>
      </c>
      <c r="B492" s="9" t="s">
        <v>1365</v>
      </c>
      <c r="C492" s="9" t="s">
        <v>1801</v>
      </c>
      <c r="D492" s="4" t="s">
        <v>1346</v>
      </c>
      <c r="E492" s="14" t="s">
        <v>1346</v>
      </c>
      <c r="F492" s="14" t="s">
        <v>1347</v>
      </c>
      <c r="G492" s="14" t="s">
        <v>1345</v>
      </c>
      <c r="H492" s="9" t="s">
        <v>1854</v>
      </c>
      <c r="I492" s="3">
        <v>1234056.9363257573</v>
      </c>
      <c r="J492" s="3">
        <v>0</v>
      </c>
      <c r="K492" s="3">
        <f t="shared" si="16"/>
        <v>1234056.9363257573</v>
      </c>
      <c r="L492" s="3">
        <f>IFERROR(INDEX('CHIRP Payment Calc'!K:K,MATCH(A:A,'CHIRP Payment Calc'!A:A,0)),0)</f>
        <v>1543861.1404494434</v>
      </c>
      <c r="M492" s="3">
        <f t="shared" si="17"/>
        <v>-309804.20412368607</v>
      </c>
    </row>
    <row r="493" spans="1:13">
      <c r="A493" s="9" t="s">
        <v>1116</v>
      </c>
      <c r="B493" s="9" t="s">
        <v>1365</v>
      </c>
      <c r="C493" s="9" t="s">
        <v>222</v>
      </c>
      <c r="D493" s="4" t="s">
        <v>1117</v>
      </c>
      <c r="E493" s="14" t="s">
        <v>1117</v>
      </c>
      <c r="F493" s="14" t="s">
        <v>1118</v>
      </c>
      <c r="G493" s="14" t="s">
        <v>1116</v>
      </c>
      <c r="H493" s="9" t="s">
        <v>1853</v>
      </c>
      <c r="I493" s="3">
        <v>4421024.6626616241</v>
      </c>
      <c r="J493" s="3">
        <v>2352852.6193137509</v>
      </c>
      <c r="K493" s="3">
        <f t="shared" si="16"/>
        <v>6773877.2819753755</v>
      </c>
      <c r="L493" s="3">
        <f>IFERROR(INDEX('CHIRP Payment Calc'!K:K,MATCH(A:A,'CHIRP Payment Calc'!A:A,0)),0)</f>
        <v>8415003.8640415333</v>
      </c>
      <c r="M493" s="3">
        <f t="shared" si="17"/>
        <v>-1641126.5820661578</v>
      </c>
    </row>
    <row r="494" spans="1:13">
      <c r="A494" s="9" t="s">
        <v>1110</v>
      </c>
      <c r="B494" s="9" t="s">
        <v>1365</v>
      </c>
      <c r="C494" s="9" t="s">
        <v>222</v>
      </c>
      <c r="D494" s="4" t="s">
        <v>1111</v>
      </c>
      <c r="E494" s="14" t="s">
        <v>1111</v>
      </c>
      <c r="F494" s="14" t="s">
        <v>1112</v>
      </c>
      <c r="G494" s="14" t="s">
        <v>1110</v>
      </c>
      <c r="H494" s="9" t="s">
        <v>1852</v>
      </c>
      <c r="I494" s="3">
        <v>4143735.9017699673</v>
      </c>
      <c r="J494" s="3">
        <v>5381701.227344186</v>
      </c>
      <c r="K494" s="3">
        <f t="shared" si="16"/>
        <v>9525437.1291141529</v>
      </c>
      <c r="L494" s="3">
        <f>IFERROR(INDEX('CHIRP Payment Calc'!K:K,MATCH(A:A,'CHIRP Payment Calc'!A:A,0)),0)</f>
        <v>12028049.903434496</v>
      </c>
      <c r="M494" s="3">
        <f t="shared" si="17"/>
        <v>-2502612.7743203435</v>
      </c>
    </row>
    <row r="495" spans="1:13">
      <c r="A495" s="9" t="s">
        <v>935</v>
      </c>
      <c r="B495" s="9" t="s">
        <v>1365</v>
      </c>
      <c r="C495" s="9" t="s">
        <v>222</v>
      </c>
      <c r="D495" s="4" t="s">
        <v>936</v>
      </c>
      <c r="E495" s="14" t="s">
        <v>936</v>
      </c>
      <c r="F495" s="14" t="s">
        <v>937</v>
      </c>
      <c r="G495" s="14" t="s">
        <v>935</v>
      </c>
      <c r="H495" s="9" t="s">
        <v>1851</v>
      </c>
      <c r="I495" s="3">
        <v>0</v>
      </c>
      <c r="J495" s="3">
        <v>0</v>
      </c>
      <c r="K495" s="3">
        <f t="shared" si="16"/>
        <v>0</v>
      </c>
      <c r="L495" s="3">
        <f>IFERROR(INDEX('CHIRP Payment Calc'!K:K,MATCH(A:A,'CHIRP Payment Calc'!A:A,0)),0)</f>
        <v>163463.96671336409</v>
      </c>
      <c r="M495" s="3">
        <f t="shared" si="17"/>
        <v>-163463.96671336409</v>
      </c>
    </row>
    <row r="496" spans="1:13">
      <c r="A496" s="9" t="s">
        <v>1561</v>
      </c>
      <c r="B496" s="9" t="s">
        <v>1365</v>
      </c>
      <c r="C496" s="9" t="s">
        <v>222</v>
      </c>
      <c r="D496" s="4" t="s">
        <v>1596</v>
      </c>
      <c r="E496" s="14" t="s">
        <v>1596</v>
      </c>
      <c r="F496" s="14" t="s">
        <v>1224</v>
      </c>
      <c r="G496" s="14" t="s">
        <v>1561</v>
      </c>
      <c r="H496" s="9" t="s">
        <v>1595</v>
      </c>
      <c r="I496" s="3">
        <v>4677962.3985591857</v>
      </c>
      <c r="J496" s="3">
        <v>1717894.3167358157</v>
      </c>
      <c r="K496" s="3">
        <f t="shared" si="16"/>
        <v>6395856.7152950019</v>
      </c>
      <c r="L496" s="3">
        <f>IFERROR(INDEX('CHIRP Payment Calc'!K:K,MATCH(A:A,'CHIRP Payment Calc'!A:A,0)),0)</f>
        <v>8220253.2198332753</v>
      </c>
      <c r="M496" s="3">
        <f t="shared" si="17"/>
        <v>-1824396.5045382734</v>
      </c>
    </row>
    <row r="497" spans="1:13">
      <c r="A497" s="9" t="s">
        <v>623</v>
      </c>
      <c r="B497" s="9" t="s">
        <v>1365</v>
      </c>
      <c r="C497" s="9" t="s">
        <v>222</v>
      </c>
      <c r="D497" s="4" t="s">
        <v>624</v>
      </c>
      <c r="E497" s="14" t="s">
        <v>624</v>
      </c>
      <c r="F497" s="14" t="s">
        <v>625</v>
      </c>
      <c r="G497" s="14" t="s">
        <v>623</v>
      </c>
      <c r="H497" s="9" t="s">
        <v>1850</v>
      </c>
      <c r="I497" s="3">
        <v>14226022.000838358</v>
      </c>
      <c r="J497" s="3">
        <v>2074874.7826543918</v>
      </c>
      <c r="K497" s="3">
        <f t="shared" si="16"/>
        <v>16300896.78349275</v>
      </c>
      <c r="L497" s="3">
        <f>IFERROR(INDEX('CHIRP Payment Calc'!K:K,MATCH(A:A,'CHIRP Payment Calc'!A:A,0)),0)</f>
        <v>25914936.471894193</v>
      </c>
      <c r="M497" s="3">
        <f t="shared" si="17"/>
        <v>-9614039.6884014439</v>
      </c>
    </row>
    <row r="498" spans="1:13">
      <c r="A498" s="9" t="s">
        <v>1089</v>
      </c>
      <c r="B498" s="9" t="s">
        <v>1365</v>
      </c>
      <c r="C498" s="9" t="s">
        <v>222</v>
      </c>
      <c r="D498" s="4" t="s">
        <v>1090</v>
      </c>
      <c r="E498" s="14" t="s">
        <v>1090</v>
      </c>
      <c r="F498" s="14" t="s">
        <v>1091</v>
      </c>
      <c r="G498" s="14" t="s">
        <v>1089</v>
      </c>
      <c r="H498" s="9" t="s">
        <v>1849</v>
      </c>
      <c r="I498" s="3">
        <v>5041691.9543372486</v>
      </c>
      <c r="J498" s="3">
        <v>3094648.4913324378</v>
      </c>
      <c r="K498" s="3">
        <f t="shared" si="16"/>
        <v>8136340.4456696864</v>
      </c>
      <c r="L498" s="3">
        <f>IFERROR(INDEX('CHIRP Payment Calc'!K:K,MATCH(A:A,'CHIRP Payment Calc'!A:A,0)),0)</f>
        <v>9346282.6070371121</v>
      </c>
      <c r="M498" s="3">
        <f t="shared" si="17"/>
        <v>-1209942.1613674257</v>
      </c>
    </row>
    <row r="499" spans="1:13">
      <c r="A499" s="9" t="s">
        <v>301</v>
      </c>
      <c r="B499" s="9" t="s">
        <v>1365</v>
      </c>
      <c r="C499" s="9" t="s">
        <v>222</v>
      </c>
      <c r="D499" s="4" t="s">
        <v>1848</v>
      </c>
      <c r="E499" s="14" t="s">
        <v>302</v>
      </c>
      <c r="F499" s="14" t="s">
        <v>303</v>
      </c>
      <c r="G499" s="14" t="s">
        <v>301</v>
      </c>
      <c r="H499" s="9" t="s">
        <v>1847</v>
      </c>
      <c r="I499" s="3">
        <v>0</v>
      </c>
      <c r="J499" s="3">
        <v>0</v>
      </c>
      <c r="K499" s="3">
        <f t="shared" si="16"/>
        <v>0</v>
      </c>
      <c r="L499" s="3">
        <f>IFERROR(INDEX('CHIRP Payment Calc'!K:K,MATCH(A:A,'CHIRP Payment Calc'!A:A,0)),0)</f>
        <v>0</v>
      </c>
      <c r="M499" s="3">
        <f t="shared" si="17"/>
        <v>0</v>
      </c>
    </row>
    <row r="500" spans="1:13">
      <c r="A500" s="9" t="s">
        <v>443</v>
      </c>
      <c r="B500" s="9" t="s">
        <v>1365</v>
      </c>
      <c r="C500" s="9" t="s">
        <v>222</v>
      </c>
      <c r="D500" s="4" t="s">
        <v>444</v>
      </c>
      <c r="E500" s="14" t="s">
        <v>444</v>
      </c>
      <c r="F500" s="14" t="s">
        <v>445</v>
      </c>
      <c r="G500" s="14" t="s">
        <v>443</v>
      </c>
      <c r="H500" s="9" t="s">
        <v>1846</v>
      </c>
      <c r="I500" s="3">
        <v>0</v>
      </c>
      <c r="J500" s="3">
        <v>0</v>
      </c>
      <c r="K500" s="3">
        <f t="shared" si="16"/>
        <v>0</v>
      </c>
      <c r="L500" s="3">
        <f>IFERROR(INDEX('CHIRP Payment Calc'!K:K,MATCH(A:A,'CHIRP Payment Calc'!A:A,0)),0)</f>
        <v>0</v>
      </c>
      <c r="M500" s="3">
        <f t="shared" si="17"/>
        <v>0</v>
      </c>
    </row>
    <row r="501" spans="1:13">
      <c r="A501" s="9" t="s">
        <v>1092</v>
      </c>
      <c r="B501" s="9" t="s">
        <v>1365</v>
      </c>
      <c r="C501" s="9" t="s">
        <v>222</v>
      </c>
      <c r="D501" s="4" t="s">
        <v>1093</v>
      </c>
      <c r="E501" s="14" t="s">
        <v>1093</v>
      </c>
      <c r="F501" s="14" t="s">
        <v>1094</v>
      </c>
      <c r="G501" s="14" t="s">
        <v>1092</v>
      </c>
      <c r="H501" s="9" t="s">
        <v>1845</v>
      </c>
      <c r="I501" s="3">
        <v>1562521.8055722031</v>
      </c>
      <c r="J501" s="3">
        <v>567429.32539011689</v>
      </c>
      <c r="K501" s="3">
        <f t="shared" si="16"/>
        <v>2129951.1309623201</v>
      </c>
      <c r="L501" s="3">
        <f>IFERROR(INDEX('CHIRP Payment Calc'!K:K,MATCH(A:A,'CHIRP Payment Calc'!A:A,0)),0)</f>
        <v>3041819.3100176123</v>
      </c>
      <c r="M501" s="3">
        <f t="shared" si="17"/>
        <v>-911868.17905529216</v>
      </c>
    </row>
    <row r="502" spans="1:13">
      <c r="A502" s="9" t="s">
        <v>659</v>
      </c>
      <c r="B502" s="9" t="s">
        <v>1365</v>
      </c>
      <c r="C502" s="9" t="s">
        <v>222</v>
      </c>
      <c r="D502" s="4" t="s">
        <v>660</v>
      </c>
      <c r="E502" s="14" t="s">
        <v>660</v>
      </c>
      <c r="F502" s="14" t="s">
        <v>661</v>
      </c>
      <c r="G502" s="14" t="s">
        <v>659</v>
      </c>
      <c r="H502" s="9" t="s">
        <v>1844</v>
      </c>
      <c r="I502" s="3">
        <v>0</v>
      </c>
      <c r="J502" s="3">
        <v>0</v>
      </c>
      <c r="K502" s="3">
        <f t="shared" si="16"/>
        <v>0</v>
      </c>
      <c r="L502" s="3">
        <f>IFERROR(INDEX('CHIRP Payment Calc'!K:K,MATCH(A:A,'CHIRP Payment Calc'!A:A,0)),0)</f>
        <v>0</v>
      </c>
      <c r="M502" s="3">
        <f t="shared" si="17"/>
        <v>0</v>
      </c>
    </row>
    <row r="503" spans="1:13">
      <c r="A503" s="9" t="s">
        <v>828</v>
      </c>
      <c r="B503" s="9" t="s">
        <v>1365</v>
      </c>
      <c r="C503" s="9" t="s">
        <v>222</v>
      </c>
      <c r="D503" s="4" t="s">
        <v>829</v>
      </c>
      <c r="E503" s="14" t="s">
        <v>829</v>
      </c>
      <c r="F503" s="14" t="s">
        <v>830</v>
      </c>
      <c r="G503" s="14" t="s">
        <v>828</v>
      </c>
      <c r="H503" s="9" t="s">
        <v>1843</v>
      </c>
      <c r="I503" s="3">
        <v>2536011.41103371</v>
      </c>
      <c r="J503" s="3">
        <v>523309.20208913431</v>
      </c>
      <c r="K503" s="3">
        <f t="shared" si="16"/>
        <v>3059320.6131228441</v>
      </c>
      <c r="L503" s="3">
        <f>IFERROR(INDEX('CHIRP Payment Calc'!K:K,MATCH(A:A,'CHIRP Payment Calc'!A:A,0)),0)</f>
        <v>4469808.0429505836</v>
      </c>
      <c r="M503" s="3">
        <f t="shared" si="17"/>
        <v>-1410487.4298277395</v>
      </c>
    </row>
    <row r="504" spans="1:13">
      <c r="A504" s="9" t="s">
        <v>626</v>
      </c>
      <c r="B504" s="9" t="s">
        <v>1365</v>
      </c>
      <c r="C504" s="9" t="s">
        <v>222</v>
      </c>
      <c r="D504" s="4" t="s">
        <v>627</v>
      </c>
      <c r="E504" s="14" t="s">
        <v>627</v>
      </c>
      <c r="F504" s="14" t="s">
        <v>628</v>
      </c>
      <c r="G504" s="14" t="s">
        <v>626</v>
      </c>
      <c r="H504" s="9" t="s">
        <v>1842</v>
      </c>
      <c r="I504" s="3">
        <v>633364.3009344358</v>
      </c>
      <c r="J504" s="3">
        <v>2162293.3152594673</v>
      </c>
      <c r="K504" s="3">
        <f t="shared" si="16"/>
        <v>2795657.6161939031</v>
      </c>
      <c r="L504" s="3">
        <f>IFERROR(INDEX('CHIRP Payment Calc'!K:K,MATCH(A:A,'CHIRP Payment Calc'!A:A,0)),0)</f>
        <v>3401908.9290583869</v>
      </c>
      <c r="M504" s="3">
        <f t="shared" si="17"/>
        <v>-606251.3128644838</v>
      </c>
    </row>
    <row r="505" spans="1:13">
      <c r="A505" s="9" t="s">
        <v>1101</v>
      </c>
      <c r="B505" s="9" t="s">
        <v>1365</v>
      </c>
      <c r="C505" s="9" t="s">
        <v>222</v>
      </c>
      <c r="D505" s="4" t="s">
        <v>1102</v>
      </c>
      <c r="E505" s="14" t="s">
        <v>1102</v>
      </c>
      <c r="F505" s="14" t="s">
        <v>1103</v>
      </c>
      <c r="G505" s="14" t="s">
        <v>1101</v>
      </c>
      <c r="H505" s="9" t="s">
        <v>1841</v>
      </c>
      <c r="I505" s="3">
        <v>18234950.647716425</v>
      </c>
      <c r="J505" s="3">
        <v>18497903.620186023</v>
      </c>
      <c r="K505" s="3">
        <f t="shared" si="16"/>
        <v>36732854.267902449</v>
      </c>
      <c r="L505" s="3">
        <f>IFERROR(INDEX('CHIRP Payment Calc'!K:K,MATCH(A:A,'CHIRP Payment Calc'!A:A,0)),0)</f>
        <v>41205815.913018554</v>
      </c>
      <c r="M505" s="3">
        <f t="shared" si="17"/>
        <v>-4472961.6451161057</v>
      </c>
    </row>
    <row r="506" spans="1:13">
      <c r="A506" s="9" t="s">
        <v>1098</v>
      </c>
      <c r="B506" s="9" t="s">
        <v>1365</v>
      </c>
      <c r="C506" s="9" t="s">
        <v>222</v>
      </c>
      <c r="D506" s="4" t="s">
        <v>1099</v>
      </c>
      <c r="E506" s="14" t="s">
        <v>1099</v>
      </c>
      <c r="F506" s="14" t="s">
        <v>1100</v>
      </c>
      <c r="G506" s="14" t="s">
        <v>1098</v>
      </c>
      <c r="H506" s="9" t="s">
        <v>1840</v>
      </c>
      <c r="I506" s="3">
        <v>1555515.2258921319</v>
      </c>
      <c r="J506" s="3">
        <v>1216311.6748973615</v>
      </c>
      <c r="K506" s="3">
        <f t="shared" si="16"/>
        <v>2771826.9007894937</v>
      </c>
      <c r="L506" s="3">
        <f>IFERROR(INDEX('CHIRP Payment Calc'!K:K,MATCH(A:A,'CHIRP Payment Calc'!A:A,0)),0)</f>
        <v>3557606.7733054045</v>
      </c>
      <c r="M506" s="3">
        <f t="shared" si="17"/>
        <v>-785779.87251591077</v>
      </c>
    </row>
    <row r="507" spans="1:13">
      <c r="A507" s="9" t="s">
        <v>1403</v>
      </c>
      <c r="B507" s="9" t="s">
        <v>1365</v>
      </c>
      <c r="C507" s="9" t="s">
        <v>222</v>
      </c>
      <c r="D507" s="4" t="s">
        <v>1404</v>
      </c>
      <c r="E507" s="14" t="s">
        <v>1404</v>
      </c>
      <c r="F507" s="14" t="s">
        <v>1405</v>
      </c>
      <c r="G507" s="14" t="s">
        <v>1403</v>
      </c>
      <c r="H507" s="9" t="s">
        <v>1839</v>
      </c>
      <c r="I507" s="3">
        <v>0</v>
      </c>
      <c r="J507" s="3">
        <v>0</v>
      </c>
      <c r="K507" s="3">
        <f t="shared" si="16"/>
        <v>0</v>
      </c>
      <c r="L507" s="3">
        <f>IFERROR(INDEX('CHIRP Payment Calc'!K:K,MATCH(A:A,'CHIRP Payment Calc'!A:A,0)),0)</f>
        <v>0</v>
      </c>
      <c r="M507" s="3">
        <f t="shared" si="17"/>
        <v>0</v>
      </c>
    </row>
    <row r="508" spans="1:13">
      <c r="A508" s="9" t="s">
        <v>7</v>
      </c>
      <c r="B508" s="9" t="s">
        <v>1365</v>
      </c>
      <c r="C508" s="9" t="s">
        <v>222</v>
      </c>
      <c r="D508" s="4" t="s">
        <v>8</v>
      </c>
      <c r="E508" s="14" t="s">
        <v>8</v>
      </c>
      <c r="F508" s="14" t="s">
        <v>9</v>
      </c>
      <c r="G508" s="14" t="s">
        <v>7</v>
      </c>
      <c r="H508" s="9" t="s">
        <v>1838</v>
      </c>
      <c r="I508" s="3">
        <v>33523.526441429174</v>
      </c>
      <c r="J508" s="3">
        <v>123628.1511629845</v>
      </c>
      <c r="K508" s="3">
        <f t="shared" si="16"/>
        <v>157151.67760441368</v>
      </c>
      <c r="L508" s="3">
        <f>IFERROR(INDEX('CHIRP Payment Calc'!K:K,MATCH(A:A,'CHIRP Payment Calc'!A:A,0)),0)</f>
        <v>151948.82287578276</v>
      </c>
      <c r="M508" s="3">
        <f t="shared" si="17"/>
        <v>5202.8547286309185</v>
      </c>
    </row>
    <row r="509" spans="1:13">
      <c r="A509" s="9" t="s">
        <v>1168</v>
      </c>
      <c r="B509" s="9" t="s">
        <v>1365</v>
      </c>
      <c r="C509" s="9" t="s">
        <v>222</v>
      </c>
      <c r="D509" s="4" t="s">
        <v>1169</v>
      </c>
      <c r="E509" s="14" t="s">
        <v>1169</v>
      </c>
      <c r="F509" s="14" t="s">
        <v>1170</v>
      </c>
      <c r="G509" s="14" t="s">
        <v>1168</v>
      </c>
      <c r="H509" s="9" t="s">
        <v>1837</v>
      </c>
      <c r="I509" s="3">
        <v>1558424.2384121178</v>
      </c>
      <c r="J509" s="3">
        <v>1451481.562033016</v>
      </c>
      <c r="K509" s="3">
        <f t="shared" si="16"/>
        <v>3009905.8004451338</v>
      </c>
      <c r="L509" s="3">
        <f>IFERROR(INDEX('CHIRP Payment Calc'!K:K,MATCH(A:A,'CHIRP Payment Calc'!A:A,0)),0)</f>
        <v>4024177.8333398425</v>
      </c>
      <c r="M509" s="3">
        <f t="shared" si="17"/>
        <v>-1014272.0328947087</v>
      </c>
    </row>
    <row r="510" spans="1:13">
      <c r="A510" s="9" t="s">
        <v>1104</v>
      </c>
      <c r="B510" s="9" t="s">
        <v>1365</v>
      </c>
      <c r="C510" s="9" t="s">
        <v>222</v>
      </c>
      <c r="D510" s="4" t="s">
        <v>1105</v>
      </c>
      <c r="E510" s="14" t="s">
        <v>1105</v>
      </c>
      <c r="F510" s="14" t="s">
        <v>1106</v>
      </c>
      <c r="G510" s="14" t="s">
        <v>1104</v>
      </c>
      <c r="H510" s="9" t="s">
        <v>1836</v>
      </c>
      <c r="I510" s="3">
        <v>6300006.0982818706</v>
      </c>
      <c r="J510" s="3">
        <v>3182569.4842539532</v>
      </c>
      <c r="K510" s="3">
        <f t="shared" si="16"/>
        <v>9482575.5825358238</v>
      </c>
      <c r="L510" s="3">
        <f>IFERROR(INDEX('CHIRP Payment Calc'!K:K,MATCH(A:A,'CHIRP Payment Calc'!A:A,0)),0)</f>
        <v>12161685.604000464</v>
      </c>
      <c r="M510" s="3">
        <f t="shared" si="17"/>
        <v>-2679110.0214646403</v>
      </c>
    </row>
    <row r="511" spans="1:13">
      <c r="A511" s="9" t="s">
        <v>1419</v>
      </c>
      <c r="B511" s="9" t="s">
        <v>1365</v>
      </c>
      <c r="C511" s="9" t="s">
        <v>222</v>
      </c>
      <c r="D511" s="4" t="s">
        <v>1420</v>
      </c>
      <c r="E511" s="14" t="s">
        <v>1420</v>
      </c>
      <c r="F511" s="14" t="s">
        <v>1421</v>
      </c>
      <c r="G511" s="14" t="s">
        <v>1419</v>
      </c>
      <c r="H511" s="9" t="s">
        <v>1835</v>
      </c>
      <c r="I511" s="3">
        <v>0</v>
      </c>
      <c r="J511" s="3">
        <v>0</v>
      </c>
      <c r="K511" s="3">
        <f t="shared" si="16"/>
        <v>0</v>
      </c>
      <c r="L511" s="3">
        <f>IFERROR(INDEX('CHIRP Payment Calc'!K:K,MATCH(A:A,'CHIRP Payment Calc'!A:A,0)),0)</f>
        <v>0</v>
      </c>
      <c r="M511" s="3">
        <f t="shared" si="17"/>
        <v>0</v>
      </c>
    </row>
    <row r="512" spans="1:13">
      <c r="A512" s="9" t="s">
        <v>1095</v>
      </c>
      <c r="B512" s="9" t="s">
        <v>1365</v>
      </c>
      <c r="C512" s="9" t="s">
        <v>222</v>
      </c>
      <c r="D512" s="4" t="s">
        <v>1096</v>
      </c>
      <c r="E512" s="14" t="s">
        <v>1096</v>
      </c>
      <c r="F512" s="14" t="s">
        <v>1097</v>
      </c>
      <c r="G512" s="14" t="s">
        <v>1095</v>
      </c>
      <c r="H512" s="9" t="s">
        <v>1834</v>
      </c>
      <c r="I512" s="3">
        <v>437275.601460387</v>
      </c>
      <c r="J512" s="3">
        <v>719232.90632195154</v>
      </c>
      <c r="K512" s="3">
        <f t="shared" si="16"/>
        <v>1156508.5077823387</v>
      </c>
      <c r="L512" s="3">
        <f>IFERROR(INDEX('CHIRP Payment Calc'!K:K,MATCH(A:A,'CHIRP Payment Calc'!A:A,0)),0)</f>
        <v>1596603.241168526</v>
      </c>
      <c r="M512" s="3">
        <f t="shared" si="17"/>
        <v>-440094.73338618735</v>
      </c>
    </row>
    <row r="513" spans="1:13">
      <c r="A513" s="9" t="s">
        <v>635</v>
      </c>
      <c r="B513" s="9" t="s">
        <v>1365</v>
      </c>
      <c r="C513" s="9" t="s">
        <v>222</v>
      </c>
      <c r="D513" s="4" t="s">
        <v>636</v>
      </c>
      <c r="E513" s="14" t="s">
        <v>636</v>
      </c>
      <c r="F513" s="14" t="s">
        <v>637</v>
      </c>
      <c r="G513" s="14" t="s">
        <v>635</v>
      </c>
      <c r="H513" s="9" t="s">
        <v>1833</v>
      </c>
      <c r="I513" s="3">
        <v>564123.15981949074</v>
      </c>
      <c r="J513" s="3">
        <v>1247006.6495898492</v>
      </c>
      <c r="K513" s="3">
        <f t="shared" si="16"/>
        <v>1811129.8094093399</v>
      </c>
      <c r="L513" s="3">
        <f>IFERROR(INDEX('CHIRP Payment Calc'!K:K,MATCH(A:A,'CHIRP Payment Calc'!A:A,0)),0)</f>
        <v>2066069.008054906</v>
      </c>
      <c r="M513" s="3">
        <f t="shared" si="17"/>
        <v>-254939.19864556612</v>
      </c>
    </row>
    <row r="514" spans="1:13">
      <c r="A514" s="9" t="e">
        <v>#N/A</v>
      </c>
      <c r="B514" s="9" t="s">
        <v>1365</v>
      </c>
      <c r="C514" s="9" t="s">
        <v>222</v>
      </c>
      <c r="D514" s="4" t="s">
        <v>1832</v>
      </c>
      <c r="E514" s="14" t="e">
        <v>#N/A</v>
      </c>
      <c r="F514" s="14" t="e">
        <v>#N/A</v>
      </c>
      <c r="G514" s="14" t="e">
        <v>#N/A</v>
      </c>
      <c r="H514" s="9" t="s">
        <v>1831</v>
      </c>
      <c r="I514" s="3">
        <v>0</v>
      </c>
      <c r="J514" s="3">
        <v>0</v>
      </c>
      <c r="K514" s="3">
        <f t="shared" si="16"/>
        <v>0</v>
      </c>
      <c r="L514" s="3">
        <f>IFERROR(INDEX('CHIRP Payment Calc'!K:K,MATCH(A:A,'CHIRP Payment Calc'!A:A,0)),0)</f>
        <v>0</v>
      </c>
      <c r="M514" s="3">
        <f t="shared" si="17"/>
        <v>0</v>
      </c>
    </row>
    <row r="515" spans="1:13">
      <c r="A515" s="9" t="s">
        <v>1409</v>
      </c>
      <c r="D515" s="4" t="s">
        <v>1647</v>
      </c>
      <c r="E515" s="14" t="s">
        <v>1647</v>
      </c>
      <c r="F515" s="14" t="s">
        <v>2082</v>
      </c>
      <c r="G515" s="14" t="s">
        <v>1409</v>
      </c>
      <c r="H515" s="9" t="s">
        <v>2082</v>
      </c>
      <c r="I515" s="3" t="e">
        <f>#REF!+#REF!</f>
        <v>#REF!</v>
      </c>
      <c r="J515" s="3" t="e">
        <f>#REF!+#REF!</f>
        <v>#REF!</v>
      </c>
      <c r="K515" s="3" t="e">
        <f t="shared" si="16"/>
        <v>#REF!</v>
      </c>
      <c r="L515" s="3">
        <f>IFERROR(INDEX('CHIRP Payment Calc'!K:K,MATCH(A:A,'CHIRP Payment Calc'!A:A,0)),0)</f>
        <v>7820446.3821162572</v>
      </c>
      <c r="M515" s="3" t="e">
        <f t="shared" si="17"/>
        <v>#REF!</v>
      </c>
    </row>
    <row r="516" spans="1:13">
      <c r="A516" s="9" t="s">
        <v>204</v>
      </c>
      <c r="B516" s="9" t="s">
        <v>1365</v>
      </c>
      <c r="C516" s="9" t="s">
        <v>222</v>
      </c>
      <c r="D516" s="4" t="s">
        <v>205</v>
      </c>
      <c r="E516" s="14" t="s">
        <v>205</v>
      </c>
      <c r="F516" s="14" t="s">
        <v>206</v>
      </c>
      <c r="G516" s="14" t="s">
        <v>204</v>
      </c>
      <c r="H516" s="9" t="s">
        <v>1830</v>
      </c>
      <c r="I516" s="3">
        <v>0</v>
      </c>
      <c r="J516" s="3">
        <v>0</v>
      </c>
      <c r="K516" s="3">
        <f t="shared" si="16"/>
        <v>0</v>
      </c>
      <c r="L516" s="3">
        <f>IFERROR(INDEX('CHIRP Payment Calc'!K:K,MATCH(A:A,'CHIRP Payment Calc'!A:A,0)),0)</f>
        <v>0</v>
      </c>
      <c r="M516" s="3">
        <f t="shared" si="17"/>
        <v>0</v>
      </c>
    </row>
    <row r="517" spans="1:13">
      <c r="A517" s="9" t="s">
        <v>404</v>
      </c>
      <c r="B517" s="9" t="s">
        <v>1365</v>
      </c>
      <c r="C517" s="9" t="s">
        <v>222</v>
      </c>
      <c r="D517" s="4" t="s">
        <v>405</v>
      </c>
      <c r="E517" s="14" t="s">
        <v>405</v>
      </c>
      <c r="F517" s="14" t="s">
        <v>406</v>
      </c>
      <c r="G517" s="14" t="s">
        <v>404</v>
      </c>
      <c r="H517" s="9" t="s">
        <v>1829</v>
      </c>
      <c r="I517" s="3">
        <v>55936.646126578547</v>
      </c>
      <c r="J517" s="3">
        <v>38311.394953697411</v>
      </c>
      <c r="K517" s="3">
        <f t="shared" si="16"/>
        <v>94248.041080275958</v>
      </c>
      <c r="L517" s="3">
        <f>IFERROR(INDEX('CHIRP Payment Calc'!K:K,MATCH(A:A,'CHIRP Payment Calc'!A:A,0)),0)</f>
        <v>88868.193671045636</v>
      </c>
      <c r="M517" s="3">
        <f t="shared" si="17"/>
        <v>5379.8474092303222</v>
      </c>
    </row>
    <row r="518" spans="1:13">
      <c r="A518" s="9" t="s">
        <v>638</v>
      </c>
      <c r="B518" s="9" t="s">
        <v>1365</v>
      </c>
      <c r="C518" s="9" t="s">
        <v>222</v>
      </c>
      <c r="D518" s="4" t="s">
        <v>639</v>
      </c>
      <c r="E518" s="14" t="s">
        <v>639</v>
      </c>
      <c r="F518" s="14" t="s">
        <v>640</v>
      </c>
      <c r="G518" s="14" t="s">
        <v>638</v>
      </c>
      <c r="H518" s="9" t="s">
        <v>1828</v>
      </c>
      <c r="I518" s="3">
        <v>1416039.1799435292</v>
      </c>
      <c r="J518" s="3">
        <v>4336459.1534202658</v>
      </c>
      <c r="K518" s="3">
        <f t="shared" si="16"/>
        <v>5752498.3333637947</v>
      </c>
      <c r="L518" s="3">
        <f>IFERROR(INDEX('CHIRP Payment Calc'!K:K,MATCH(A:A,'CHIRP Payment Calc'!A:A,0)),0)</f>
        <v>8601607.7597425357</v>
      </c>
      <c r="M518" s="3">
        <f t="shared" si="17"/>
        <v>-2849109.4263787409</v>
      </c>
    </row>
    <row r="519" spans="1:13">
      <c r="A519" s="9" t="s">
        <v>468</v>
      </c>
      <c r="B519" s="9" t="s">
        <v>1365</v>
      </c>
      <c r="C519" s="9" t="s">
        <v>222</v>
      </c>
      <c r="D519" s="4" t="s">
        <v>469</v>
      </c>
      <c r="E519" s="14" t="s">
        <v>469</v>
      </c>
      <c r="F519" s="14" t="s">
        <v>470</v>
      </c>
      <c r="G519" s="14" t="s">
        <v>468</v>
      </c>
      <c r="H519" s="9" t="s">
        <v>1579</v>
      </c>
      <c r="I519" s="3">
        <v>165691.00927211772</v>
      </c>
      <c r="J519" s="3">
        <v>419416.50936218415</v>
      </c>
      <c r="K519" s="3">
        <f t="shared" si="16"/>
        <v>585107.51863430184</v>
      </c>
      <c r="L519" s="3">
        <f>IFERROR(INDEX('CHIRP Payment Calc'!K:K,MATCH(A:A,'CHIRP Payment Calc'!A:A,0)),0)</f>
        <v>867939.17161787557</v>
      </c>
      <c r="M519" s="3">
        <f t="shared" si="17"/>
        <v>-282831.65298357373</v>
      </c>
    </row>
    <row r="520" spans="1:13">
      <c r="A520" s="9" t="s">
        <v>509</v>
      </c>
      <c r="B520" s="9" t="s">
        <v>1365</v>
      </c>
      <c r="C520" s="9" t="s">
        <v>222</v>
      </c>
      <c r="D520" s="4" t="s">
        <v>510</v>
      </c>
      <c r="E520" s="14" t="s">
        <v>510</v>
      </c>
      <c r="F520" s="14" t="s">
        <v>511</v>
      </c>
      <c r="G520" s="14" t="s">
        <v>509</v>
      </c>
      <c r="H520" s="9" t="s">
        <v>511</v>
      </c>
      <c r="I520" s="3">
        <v>11847883.680187967</v>
      </c>
      <c r="J520" s="3">
        <v>0</v>
      </c>
      <c r="K520" s="3">
        <f t="shared" ref="K520:K583" si="18">I520+J520</f>
        <v>11847883.680187967</v>
      </c>
      <c r="L520" s="3">
        <f>IFERROR(INDEX('CHIRP Payment Calc'!K:K,MATCH(A:A,'CHIRP Payment Calc'!A:A,0)),0)</f>
        <v>19237424.297943488</v>
      </c>
      <c r="M520" s="3">
        <f t="shared" ref="M520:M583" si="19">K520-L520</f>
        <v>-7389540.6177555211</v>
      </c>
    </row>
    <row r="521" spans="1:13">
      <c r="A521" s="9" t="s">
        <v>120</v>
      </c>
      <c r="B521" s="9" t="s">
        <v>1365</v>
      </c>
      <c r="C521" s="9" t="s">
        <v>222</v>
      </c>
      <c r="D521" s="4" t="s">
        <v>121</v>
      </c>
      <c r="E521" s="14" t="s">
        <v>121</v>
      </c>
      <c r="F521" s="14" t="s">
        <v>122</v>
      </c>
      <c r="G521" s="14" t="s">
        <v>120</v>
      </c>
      <c r="H521" s="9" t="s">
        <v>1827</v>
      </c>
      <c r="I521" s="3">
        <v>0</v>
      </c>
      <c r="J521" s="3">
        <v>0</v>
      </c>
      <c r="K521" s="3">
        <f t="shared" si="18"/>
        <v>0</v>
      </c>
      <c r="L521" s="3">
        <f>IFERROR(INDEX('CHIRP Payment Calc'!K:K,MATCH(A:A,'CHIRP Payment Calc'!A:A,0)),0)</f>
        <v>519888.59264732682</v>
      </c>
      <c r="M521" s="3">
        <f t="shared" si="19"/>
        <v>-519888.59264732682</v>
      </c>
    </row>
    <row r="522" spans="1:13">
      <c r="A522" s="9" t="s">
        <v>264</v>
      </c>
      <c r="B522" s="9" t="s">
        <v>1365</v>
      </c>
      <c r="C522" s="9" t="s">
        <v>222</v>
      </c>
      <c r="D522" s="4" t="s">
        <v>265</v>
      </c>
      <c r="E522" s="14" t="s">
        <v>265</v>
      </c>
      <c r="F522" s="14" t="s">
        <v>266</v>
      </c>
      <c r="G522" s="14" t="s">
        <v>264</v>
      </c>
      <c r="H522" s="9" t="s">
        <v>1826</v>
      </c>
      <c r="I522" s="3">
        <v>2043621.2259649951</v>
      </c>
      <c r="J522" s="3">
        <v>778332.31864209566</v>
      </c>
      <c r="K522" s="3">
        <f t="shared" si="18"/>
        <v>2821953.5446070908</v>
      </c>
      <c r="L522" s="3">
        <f>IFERROR(INDEX('CHIRP Payment Calc'!K:K,MATCH(A:A,'CHIRP Payment Calc'!A:A,0)),0)</f>
        <v>4182147.9635206801</v>
      </c>
      <c r="M522" s="3">
        <f t="shared" si="19"/>
        <v>-1360194.4189135893</v>
      </c>
    </row>
    <row r="523" spans="1:13">
      <c r="A523" s="9" t="s">
        <v>1410</v>
      </c>
      <c r="B523" s="9" t="s">
        <v>1365</v>
      </c>
      <c r="C523" s="9" t="s">
        <v>222</v>
      </c>
      <c r="D523" s="4" t="s">
        <v>1411</v>
      </c>
      <c r="E523" s="14" t="s">
        <v>1411</v>
      </c>
      <c r="F523" s="14" t="s">
        <v>1412</v>
      </c>
      <c r="G523" s="14" t="s">
        <v>1410</v>
      </c>
      <c r="H523" s="9" t="s">
        <v>1412</v>
      </c>
      <c r="I523" s="3">
        <v>0</v>
      </c>
      <c r="J523" s="3">
        <v>0</v>
      </c>
      <c r="K523" s="3">
        <f t="shared" si="18"/>
        <v>0</v>
      </c>
      <c r="L523" s="3">
        <f>IFERROR(INDEX('CHIRP Payment Calc'!K:K,MATCH(A:A,'CHIRP Payment Calc'!A:A,0)),0)</f>
        <v>0</v>
      </c>
      <c r="M523" s="3">
        <f t="shared" si="19"/>
        <v>0</v>
      </c>
    </row>
    <row r="524" spans="1:13">
      <c r="A524" s="9" t="s">
        <v>1597</v>
      </c>
      <c r="B524" s="9" t="s">
        <v>1365</v>
      </c>
      <c r="C524" s="9" t="s">
        <v>222</v>
      </c>
      <c r="D524" s="4" t="s">
        <v>1598</v>
      </c>
      <c r="E524" s="14" t="s">
        <v>1598</v>
      </c>
      <c r="F524" s="14" t="e">
        <v>#N/A</v>
      </c>
      <c r="G524" s="14" t="s">
        <v>1597</v>
      </c>
      <c r="H524" s="9" t="s">
        <v>1825</v>
      </c>
      <c r="I524" s="3">
        <v>0</v>
      </c>
      <c r="J524" s="3">
        <v>0</v>
      </c>
      <c r="K524" s="3">
        <f t="shared" si="18"/>
        <v>0</v>
      </c>
      <c r="L524" s="3">
        <f>IFERROR(INDEX('CHIRP Payment Calc'!K:K,MATCH(A:A,'CHIRP Payment Calc'!A:A,0)),0)</f>
        <v>0</v>
      </c>
      <c r="M524" s="3">
        <f t="shared" si="19"/>
        <v>0</v>
      </c>
    </row>
    <row r="525" spans="1:13">
      <c r="A525" s="9" t="s">
        <v>1125</v>
      </c>
      <c r="B525" s="9" t="s">
        <v>1365</v>
      </c>
      <c r="C525" s="9" t="s">
        <v>222</v>
      </c>
      <c r="D525" s="4" t="s">
        <v>1126</v>
      </c>
      <c r="E525" s="14" t="s">
        <v>1126</v>
      </c>
      <c r="F525" s="14" t="s">
        <v>1127</v>
      </c>
      <c r="G525" s="14" t="s">
        <v>1125</v>
      </c>
      <c r="H525" s="9" t="s">
        <v>1824</v>
      </c>
      <c r="I525" s="3">
        <v>0</v>
      </c>
      <c r="J525" s="3">
        <v>0</v>
      </c>
      <c r="K525" s="3">
        <f t="shared" si="18"/>
        <v>0</v>
      </c>
      <c r="L525" s="3">
        <f>IFERROR(INDEX('CHIRP Payment Calc'!K:K,MATCH(A:A,'CHIRP Payment Calc'!A:A,0)),0)</f>
        <v>0</v>
      </c>
      <c r="M525" s="3">
        <f t="shared" si="19"/>
        <v>0</v>
      </c>
    </row>
    <row r="526" spans="1:13">
      <c r="A526" s="9" t="s">
        <v>1497</v>
      </c>
      <c r="B526" s="9" t="s">
        <v>1365</v>
      </c>
      <c r="C526" s="9" t="s">
        <v>222</v>
      </c>
      <c r="D526" s="4" t="s">
        <v>1498</v>
      </c>
      <c r="E526" s="14" t="s">
        <v>1498</v>
      </c>
      <c r="F526" s="14" t="s">
        <v>1499</v>
      </c>
      <c r="G526" s="14" t="s">
        <v>1497</v>
      </c>
      <c r="H526" s="9" t="s">
        <v>1823</v>
      </c>
      <c r="I526" s="3">
        <v>0</v>
      </c>
      <c r="J526" s="3">
        <v>0</v>
      </c>
      <c r="K526" s="3">
        <f t="shared" si="18"/>
        <v>0</v>
      </c>
      <c r="L526" s="3">
        <f>IFERROR(INDEX('CHIRP Payment Calc'!K:K,MATCH(A:A,'CHIRP Payment Calc'!A:A,0)),0)</f>
        <v>0</v>
      </c>
      <c r="M526" s="3">
        <f t="shared" si="19"/>
        <v>0</v>
      </c>
    </row>
    <row r="527" spans="1:13">
      <c r="A527" s="9" t="s">
        <v>1422</v>
      </c>
      <c r="B527" s="9" t="s">
        <v>1365</v>
      </c>
      <c r="C527" s="9" t="s">
        <v>222</v>
      </c>
      <c r="D527" s="4" t="s">
        <v>1423</v>
      </c>
      <c r="E527" s="14" t="s">
        <v>1423</v>
      </c>
      <c r="F527" s="14" t="s">
        <v>1424</v>
      </c>
      <c r="G527" s="14" t="s">
        <v>1422</v>
      </c>
      <c r="H527" s="9" t="s">
        <v>1679</v>
      </c>
      <c r="I527" s="3">
        <v>0</v>
      </c>
      <c r="J527" s="3">
        <v>0</v>
      </c>
      <c r="K527" s="3">
        <f t="shared" si="18"/>
        <v>0</v>
      </c>
      <c r="L527" s="3">
        <f>IFERROR(INDEX('CHIRP Payment Calc'!K:K,MATCH(A:A,'CHIRP Payment Calc'!A:A,0)),0)</f>
        <v>0</v>
      </c>
      <c r="M527" s="3">
        <f t="shared" si="19"/>
        <v>0</v>
      </c>
    </row>
    <row r="528" spans="1:13">
      <c r="A528" s="9" t="s">
        <v>149</v>
      </c>
      <c r="B528" s="9" t="s">
        <v>1365</v>
      </c>
      <c r="C528" s="9" t="s">
        <v>222</v>
      </c>
      <c r="D528" s="4" t="s">
        <v>150</v>
      </c>
      <c r="E528" s="14" t="s">
        <v>150</v>
      </c>
      <c r="F528" s="14" t="s">
        <v>151</v>
      </c>
      <c r="G528" s="14" t="s">
        <v>149</v>
      </c>
      <c r="H528" s="9" t="s">
        <v>1822</v>
      </c>
      <c r="I528" s="3">
        <v>0</v>
      </c>
      <c r="J528" s="3">
        <v>0</v>
      </c>
      <c r="K528" s="3">
        <f t="shared" si="18"/>
        <v>0</v>
      </c>
      <c r="L528" s="3">
        <f>IFERROR(INDEX('CHIRP Payment Calc'!K:K,MATCH(A:A,'CHIRP Payment Calc'!A:A,0)),0)</f>
        <v>0</v>
      </c>
      <c r="M528" s="3">
        <f t="shared" si="19"/>
        <v>0</v>
      </c>
    </row>
    <row r="529" spans="1:13">
      <c r="A529" s="9" t="s">
        <v>929</v>
      </c>
      <c r="B529" s="9" t="s">
        <v>1365</v>
      </c>
      <c r="C529" s="9" t="s">
        <v>222</v>
      </c>
      <c r="D529" s="4" t="s">
        <v>930</v>
      </c>
      <c r="E529" s="14" t="s">
        <v>930</v>
      </c>
      <c r="F529" s="14" t="s">
        <v>931</v>
      </c>
      <c r="G529" s="14" t="s">
        <v>929</v>
      </c>
      <c r="H529" s="9" t="s">
        <v>1821</v>
      </c>
      <c r="I529" s="3">
        <v>1749175.1640318572</v>
      </c>
      <c r="J529" s="3">
        <v>476072.85106844828</v>
      </c>
      <c r="K529" s="3">
        <f t="shared" si="18"/>
        <v>2225248.0151003054</v>
      </c>
      <c r="L529" s="3">
        <f>IFERROR(INDEX('CHIRP Payment Calc'!K:K,MATCH(A:A,'CHIRP Payment Calc'!A:A,0)),0)</f>
        <v>3085989.8421785454</v>
      </c>
      <c r="M529" s="3">
        <f t="shared" si="19"/>
        <v>-860741.82707823999</v>
      </c>
    </row>
    <row r="530" spans="1:13">
      <c r="A530" s="9" t="s">
        <v>143</v>
      </c>
      <c r="B530" s="9" t="s">
        <v>1365</v>
      </c>
      <c r="C530" s="9" t="s">
        <v>222</v>
      </c>
      <c r="D530" s="4" t="s">
        <v>144</v>
      </c>
      <c r="E530" s="14" t="s">
        <v>144</v>
      </c>
      <c r="F530" s="14" t="s">
        <v>145</v>
      </c>
      <c r="G530" s="14" t="s">
        <v>143</v>
      </c>
      <c r="H530" s="9" t="s">
        <v>1820</v>
      </c>
      <c r="I530" s="3">
        <v>1656160.464769335</v>
      </c>
      <c r="J530" s="3">
        <v>291372.97792092885</v>
      </c>
      <c r="K530" s="3">
        <f t="shared" si="18"/>
        <v>1947533.442690264</v>
      </c>
      <c r="L530" s="3">
        <f>IFERROR(INDEX('CHIRP Payment Calc'!K:K,MATCH(A:A,'CHIRP Payment Calc'!A:A,0)),0)</f>
        <v>2557768.7129922947</v>
      </c>
      <c r="M530" s="3">
        <f t="shared" si="19"/>
        <v>-610235.27030203072</v>
      </c>
    </row>
    <row r="531" spans="1:13">
      <c r="A531" s="9" t="s">
        <v>207</v>
      </c>
      <c r="B531" s="9" t="s">
        <v>1365</v>
      </c>
      <c r="C531" s="9" t="s">
        <v>222</v>
      </c>
      <c r="D531" s="4" t="s">
        <v>208</v>
      </c>
      <c r="E531" s="14" t="s">
        <v>208</v>
      </c>
      <c r="F531" s="14" t="s">
        <v>209</v>
      </c>
      <c r="G531" s="14" t="s">
        <v>207</v>
      </c>
      <c r="H531" s="9" t="s">
        <v>1819</v>
      </c>
      <c r="I531" s="3">
        <v>0</v>
      </c>
      <c r="J531" s="3">
        <v>0</v>
      </c>
      <c r="K531" s="3">
        <f t="shared" si="18"/>
        <v>0</v>
      </c>
      <c r="L531" s="3">
        <f>IFERROR(INDEX('CHIRP Payment Calc'!K:K,MATCH(A:A,'CHIRP Payment Calc'!A:A,0)),0)</f>
        <v>0</v>
      </c>
      <c r="M531" s="3">
        <f t="shared" si="19"/>
        <v>0</v>
      </c>
    </row>
    <row r="532" spans="1:13">
      <c r="A532" s="9" t="s">
        <v>28</v>
      </c>
      <c r="B532" s="9" t="s">
        <v>1365</v>
      </c>
      <c r="C532" s="9" t="s">
        <v>222</v>
      </c>
      <c r="D532" s="4" t="s">
        <v>29</v>
      </c>
      <c r="E532" s="14" t="s">
        <v>29</v>
      </c>
      <c r="F532" s="14" t="s">
        <v>30</v>
      </c>
      <c r="G532" s="14" t="s">
        <v>28</v>
      </c>
      <c r="H532" s="9" t="s">
        <v>1818</v>
      </c>
      <c r="I532" s="3">
        <v>115763.63583012542</v>
      </c>
      <c r="J532" s="3">
        <v>0</v>
      </c>
      <c r="K532" s="3">
        <f t="shared" si="18"/>
        <v>115763.63583012542</v>
      </c>
      <c r="L532" s="3">
        <f>IFERROR(INDEX('CHIRP Payment Calc'!K:K,MATCH(A:A,'CHIRP Payment Calc'!A:A,0)),0)</f>
        <v>0</v>
      </c>
      <c r="M532" s="3">
        <f t="shared" si="19"/>
        <v>115763.63583012542</v>
      </c>
    </row>
    <row r="533" spans="1:13">
      <c r="A533" s="9" t="e">
        <v>#N/A</v>
      </c>
      <c r="B533" s="9" t="s">
        <v>1365</v>
      </c>
      <c r="C533" s="9" t="s">
        <v>222</v>
      </c>
      <c r="D533" s="4" t="s">
        <v>1817</v>
      </c>
      <c r="E533" s="14" t="e">
        <v>#N/A</v>
      </c>
      <c r="F533" s="14" t="e">
        <v>#N/A</v>
      </c>
      <c r="G533" s="14" t="e">
        <v>#N/A</v>
      </c>
      <c r="H533" s="9" t="s">
        <v>1816</v>
      </c>
      <c r="I533" s="3">
        <v>0</v>
      </c>
      <c r="J533" s="3">
        <v>0</v>
      </c>
      <c r="K533" s="3">
        <f t="shared" si="18"/>
        <v>0</v>
      </c>
      <c r="L533" s="3">
        <f>IFERROR(INDEX('CHIRP Payment Calc'!K:K,MATCH(A:A,'CHIRP Payment Calc'!A:A,0)),0)</f>
        <v>0</v>
      </c>
      <c r="M533" s="3">
        <f t="shared" si="19"/>
        <v>0</v>
      </c>
    </row>
    <row r="534" spans="1:13">
      <c r="A534" s="9" t="s">
        <v>456</v>
      </c>
      <c r="B534" s="9" t="s">
        <v>1365</v>
      </c>
      <c r="C534" s="9" t="s">
        <v>222</v>
      </c>
      <c r="D534" s="4" t="s">
        <v>457</v>
      </c>
      <c r="E534" s="14" t="s">
        <v>457</v>
      </c>
      <c r="F534" s="14" t="s">
        <v>458</v>
      </c>
      <c r="G534" s="14" t="s">
        <v>456</v>
      </c>
      <c r="H534" s="9" t="s">
        <v>1751</v>
      </c>
      <c r="I534" s="3">
        <v>0</v>
      </c>
      <c r="J534" s="3">
        <v>0</v>
      </c>
      <c r="K534" s="3">
        <f t="shared" si="18"/>
        <v>0</v>
      </c>
      <c r="L534" s="3">
        <f>IFERROR(INDEX('CHIRP Payment Calc'!K:K,MATCH(A:A,'CHIRP Payment Calc'!A:A,0)),0)</f>
        <v>0</v>
      </c>
      <c r="M534" s="3">
        <f t="shared" si="19"/>
        <v>0</v>
      </c>
    </row>
    <row r="535" spans="1:13">
      <c r="A535" s="9" t="s">
        <v>780</v>
      </c>
      <c r="B535" s="9" t="s">
        <v>1365</v>
      </c>
      <c r="C535" s="9" t="s">
        <v>1479</v>
      </c>
      <c r="D535" s="4" t="s">
        <v>781</v>
      </c>
      <c r="E535" s="14" t="s">
        <v>781</v>
      </c>
      <c r="F535" s="14" t="s">
        <v>782</v>
      </c>
      <c r="G535" s="14" t="s">
        <v>780</v>
      </c>
      <c r="H535" s="9" t="s">
        <v>1673</v>
      </c>
      <c r="I535" s="3">
        <v>2320743.0215383782</v>
      </c>
      <c r="J535" s="3">
        <v>1557536.4572858256</v>
      </c>
      <c r="K535" s="3">
        <f t="shared" si="18"/>
        <v>3878279.4788242038</v>
      </c>
      <c r="L535" s="3">
        <f>IFERROR(INDEX('CHIRP Payment Calc'!K:K,MATCH(A:A,'CHIRP Payment Calc'!A:A,0)),0)</f>
        <v>5022303.9082105551</v>
      </c>
      <c r="M535" s="3">
        <f t="shared" si="19"/>
        <v>-1144024.4293863513</v>
      </c>
    </row>
    <row r="536" spans="1:13">
      <c r="A536" s="9" t="e">
        <v>#N/A</v>
      </c>
      <c r="B536" s="9" t="s">
        <v>1365</v>
      </c>
      <c r="C536" s="9" t="s">
        <v>1545</v>
      </c>
      <c r="D536" s="4" t="s">
        <v>1815</v>
      </c>
      <c r="E536" s="14" t="e">
        <v>#N/A</v>
      </c>
      <c r="F536" s="14" t="e">
        <v>#N/A</v>
      </c>
      <c r="G536" s="14" t="e">
        <v>#N/A</v>
      </c>
      <c r="H536" s="9" t="s">
        <v>1814</v>
      </c>
      <c r="I536" s="3">
        <v>0</v>
      </c>
      <c r="J536" s="3">
        <v>0</v>
      </c>
      <c r="K536" s="3">
        <f t="shared" si="18"/>
        <v>0</v>
      </c>
      <c r="L536" s="3">
        <f>IFERROR(INDEX('CHIRP Payment Calc'!K:K,MATCH(A:A,'CHIRP Payment Calc'!A:A,0)),0)</f>
        <v>0</v>
      </c>
      <c r="M536" s="3">
        <f t="shared" si="19"/>
        <v>0</v>
      </c>
    </row>
    <row r="537" spans="1:13">
      <c r="A537" s="9" t="s">
        <v>1078</v>
      </c>
      <c r="B537" s="9" t="s">
        <v>1365</v>
      </c>
      <c r="C537" s="9" t="s">
        <v>1545</v>
      </c>
      <c r="D537" s="4" t="s">
        <v>1079</v>
      </c>
      <c r="E537" s="14" t="s">
        <v>1079</v>
      </c>
      <c r="F537" s="14" t="s">
        <v>688</v>
      </c>
      <c r="G537" s="14" t="s">
        <v>1078</v>
      </c>
      <c r="H537" s="9" t="s">
        <v>1813</v>
      </c>
      <c r="I537" s="3">
        <v>3255546.4834144278</v>
      </c>
      <c r="J537" s="3">
        <v>2996347.4560434143</v>
      </c>
      <c r="K537" s="3">
        <f t="shared" si="18"/>
        <v>6251893.9394578421</v>
      </c>
      <c r="L537" s="3">
        <f>IFERROR(INDEX('CHIRP Payment Calc'!K:K,MATCH(A:A,'CHIRP Payment Calc'!A:A,0)),0)</f>
        <v>8206046.2915525502</v>
      </c>
      <c r="M537" s="3">
        <f t="shared" si="19"/>
        <v>-1954152.352094708</v>
      </c>
    </row>
    <row r="538" spans="1:13">
      <c r="A538" s="9" t="s">
        <v>686</v>
      </c>
      <c r="B538" s="9" t="s">
        <v>1365</v>
      </c>
      <c r="C538" s="9" t="s">
        <v>1545</v>
      </c>
      <c r="D538" s="4" t="s">
        <v>687</v>
      </c>
      <c r="E538" s="14" t="s">
        <v>687</v>
      </c>
      <c r="F538" s="14" t="s">
        <v>688</v>
      </c>
      <c r="G538" s="14" t="s">
        <v>686</v>
      </c>
      <c r="H538" s="9" t="s">
        <v>1813</v>
      </c>
      <c r="I538" s="3">
        <v>30855.25899366448</v>
      </c>
      <c r="J538" s="3">
        <v>5794.0707089625084</v>
      </c>
      <c r="K538" s="3">
        <f t="shared" si="18"/>
        <v>36649.329702626987</v>
      </c>
      <c r="L538" s="3">
        <f>IFERROR(INDEX('CHIRP Payment Calc'!K:K,MATCH(A:A,'CHIRP Payment Calc'!A:A,0)),0)</f>
        <v>0</v>
      </c>
      <c r="M538" s="3">
        <f t="shared" si="19"/>
        <v>36649.329702626987</v>
      </c>
    </row>
    <row r="539" spans="1:13">
      <c r="A539" s="9" t="s">
        <v>917</v>
      </c>
      <c r="B539" s="9" t="s">
        <v>1365</v>
      </c>
      <c r="C539" s="9" t="s">
        <v>1554</v>
      </c>
      <c r="D539" s="4" t="s">
        <v>918</v>
      </c>
      <c r="E539" s="14" t="s">
        <v>918</v>
      </c>
      <c r="F539" s="14" t="s">
        <v>919</v>
      </c>
      <c r="G539" s="14" t="s">
        <v>917</v>
      </c>
      <c r="H539" s="9" t="s">
        <v>1812</v>
      </c>
      <c r="I539" s="3">
        <v>20138276.558540389</v>
      </c>
      <c r="J539" s="3">
        <v>22250804.680319209</v>
      </c>
      <c r="K539" s="3">
        <f t="shared" si="18"/>
        <v>42389081.238859594</v>
      </c>
      <c r="L539" s="3">
        <f>IFERROR(INDEX('CHIRP Payment Calc'!K:K,MATCH(A:A,'CHIRP Payment Calc'!A:A,0)),0)</f>
        <v>54065682.950242311</v>
      </c>
      <c r="M539" s="3">
        <f t="shared" si="19"/>
        <v>-11676601.711382717</v>
      </c>
    </row>
    <row r="540" spans="1:13">
      <c r="A540" s="9" t="s">
        <v>392</v>
      </c>
      <c r="C540" s="9" t="s">
        <v>1594</v>
      </c>
      <c r="D540" s="4" t="s">
        <v>393</v>
      </c>
      <c r="E540" s="14" t="s">
        <v>393</v>
      </c>
      <c r="F540" s="14" t="s">
        <v>394</v>
      </c>
      <c r="G540" s="14" t="s">
        <v>392</v>
      </c>
      <c r="H540" s="9" t="s">
        <v>1811</v>
      </c>
      <c r="I540" s="3">
        <v>65027454.904037446</v>
      </c>
      <c r="J540" s="3">
        <v>730854.56117207848</v>
      </c>
      <c r="K540" s="3">
        <f t="shared" si="18"/>
        <v>65758309.465209521</v>
      </c>
      <c r="L540" s="3">
        <f>IFERROR(INDEX('CHIRP Payment Calc'!K:K,MATCH(A:A,'CHIRP Payment Calc'!A:A,0)),0)</f>
        <v>82179177.803797558</v>
      </c>
      <c r="M540" s="3">
        <f t="shared" si="19"/>
        <v>-16420868.338588037</v>
      </c>
    </row>
    <row r="541" spans="1:13">
      <c r="A541" s="9" t="s">
        <v>1199</v>
      </c>
      <c r="C541" s="9" t="s">
        <v>1801</v>
      </c>
      <c r="D541" s="4" t="s">
        <v>1200</v>
      </c>
      <c r="E541" s="14" t="s">
        <v>1200</v>
      </c>
      <c r="F541" s="14" t="s">
        <v>1201</v>
      </c>
      <c r="G541" s="14" t="s">
        <v>1199</v>
      </c>
      <c r="H541" s="9" t="s">
        <v>1810</v>
      </c>
      <c r="I541" s="3">
        <v>0</v>
      </c>
      <c r="J541" s="3">
        <v>0</v>
      </c>
      <c r="K541" s="3">
        <f t="shared" si="18"/>
        <v>0</v>
      </c>
      <c r="L541" s="3">
        <f>IFERROR(INDEX('CHIRP Payment Calc'!K:K,MATCH(A:A,'CHIRP Payment Calc'!A:A,0)),0)</f>
        <v>0</v>
      </c>
      <c r="M541" s="3">
        <f t="shared" si="19"/>
        <v>0</v>
      </c>
    </row>
    <row r="542" spans="1:13">
      <c r="A542" s="9" t="s">
        <v>1212</v>
      </c>
      <c r="C542" s="9" t="s">
        <v>1801</v>
      </c>
      <c r="D542" s="4" t="s">
        <v>1213</v>
      </c>
      <c r="E542" s="14" t="s">
        <v>1213</v>
      </c>
      <c r="F542" s="14" t="s">
        <v>1214</v>
      </c>
      <c r="G542" s="14" t="s">
        <v>1212</v>
      </c>
      <c r="H542" s="9" t="s">
        <v>1809</v>
      </c>
      <c r="I542" s="3">
        <v>817353.87719957333</v>
      </c>
      <c r="J542" s="3">
        <v>0</v>
      </c>
      <c r="K542" s="3">
        <f t="shared" si="18"/>
        <v>817353.87719957333</v>
      </c>
      <c r="L542" s="3">
        <f>IFERROR(INDEX('CHIRP Payment Calc'!K:K,MATCH(A:A,'CHIRP Payment Calc'!A:A,0)),0)</f>
        <v>1301219.8927996513</v>
      </c>
      <c r="M542" s="3">
        <f t="shared" si="19"/>
        <v>-483866.01560007792</v>
      </c>
    </row>
    <row r="543" spans="1:13">
      <c r="A543" s="9" t="s">
        <v>1327</v>
      </c>
      <c r="C543" s="9" t="s">
        <v>1801</v>
      </c>
      <c r="D543" s="4" t="s">
        <v>1328</v>
      </c>
      <c r="E543" s="14" t="s">
        <v>1328</v>
      </c>
      <c r="F543" s="14" t="s">
        <v>1329</v>
      </c>
      <c r="G543" s="14" t="s">
        <v>1327</v>
      </c>
      <c r="H543" s="9" t="s">
        <v>1808</v>
      </c>
      <c r="I543" s="3">
        <v>3394.6981970891288</v>
      </c>
      <c r="J543" s="3">
        <v>0</v>
      </c>
      <c r="K543" s="3">
        <f t="shared" si="18"/>
        <v>3394.6981970891288</v>
      </c>
      <c r="L543" s="3">
        <f>IFERROR(INDEX('CHIRP Payment Calc'!K:K,MATCH(A:A,'CHIRP Payment Calc'!A:A,0)),0)</f>
        <v>0</v>
      </c>
      <c r="M543" s="3">
        <f t="shared" si="19"/>
        <v>3394.6981970891288</v>
      </c>
    </row>
    <row r="544" spans="1:13">
      <c r="A544" s="9" t="s">
        <v>1303</v>
      </c>
      <c r="C544" s="9" t="s">
        <v>1801</v>
      </c>
      <c r="D544" s="4" t="s">
        <v>1304</v>
      </c>
      <c r="E544" s="14" t="s">
        <v>1304</v>
      </c>
      <c r="F544" s="14" t="s">
        <v>1305</v>
      </c>
      <c r="G544" s="14" t="s">
        <v>1303</v>
      </c>
      <c r="H544" s="9" t="s">
        <v>1807</v>
      </c>
      <c r="I544" s="3">
        <v>81422.723974489854</v>
      </c>
      <c r="J544" s="3">
        <v>0</v>
      </c>
      <c r="K544" s="3">
        <f t="shared" si="18"/>
        <v>81422.723974489854</v>
      </c>
      <c r="L544" s="3">
        <f>IFERROR(INDEX('CHIRP Payment Calc'!K:K,MATCH(A:A,'CHIRP Payment Calc'!A:A,0)),0)</f>
        <v>81795.555919790437</v>
      </c>
      <c r="M544" s="3">
        <f t="shared" si="19"/>
        <v>-372.83194530058245</v>
      </c>
    </row>
    <row r="545" spans="1:13">
      <c r="A545" s="9" t="s">
        <v>1244</v>
      </c>
      <c r="C545" s="9" t="s">
        <v>1801</v>
      </c>
      <c r="D545" s="4" t="s">
        <v>1245</v>
      </c>
      <c r="E545" s="14" t="s">
        <v>1245</v>
      </c>
      <c r="F545" s="14" t="s">
        <v>1246</v>
      </c>
      <c r="G545" s="14" t="s">
        <v>1244</v>
      </c>
      <c r="H545" s="9" t="s">
        <v>1806</v>
      </c>
      <c r="I545" s="3">
        <v>903440.69420253276</v>
      </c>
      <c r="J545" s="3">
        <v>0</v>
      </c>
      <c r="K545" s="3">
        <f t="shared" si="18"/>
        <v>903440.69420253276</v>
      </c>
      <c r="L545" s="3">
        <f>IFERROR(INDEX('CHIRP Payment Calc'!K:K,MATCH(A:A,'CHIRP Payment Calc'!A:A,0)),0)</f>
        <v>1377580.423091081</v>
      </c>
      <c r="M545" s="3">
        <f t="shared" si="19"/>
        <v>-474139.72888854821</v>
      </c>
    </row>
    <row r="546" spans="1:13">
      <c r="A546" s="9" t="s">
        <v>1649</v>
      </c>
      <c r="B546" s="9" t="s">
        <v>487</v>
      </c>
      <c r="C546" s="9" t="s">
        <v>222</v>
      </c>
      <c r="D546" s="4" t="s">
        <v>1650</v>
      </c>
      <c r="E546" s="14" t="s">
        <v>1650</v>
      </c>
      <c r="F546" s="14" t="e">
        <v>#N/A</v>
      </c>
      <c r="G546" s="14" t="s">
        <v>1649</v>
      </c>
      <c r="H546" s="9" t="s">
        <v>1648</v>
      </c>
      <c r="I546" s="3">
        <v>123389.88784197367</v>
      </c>
      <c r="J546" s="3">
        <v>1521974.6333284958</v>
      </c>
      <c r="K546" s="3">
        <f t="shared" si="18"/>
        <v>1645364.5211704695</v>
      </c>
      <c r="L546" s="3">
        <f>IFERROR(INDEX('CHIRP Payment Calc'!K:K,MATCH(A:A,'CHIRP Payment Calc'!A:A,0)),0)</f>
        <v>0</v>
      </c>
      <c r="M546" s="3">
        <f t="shared" si="19"/>
        <v>1645364.5211704695</v>
      </c>
    </row>
    <row r="547" spans="1:13">
      <c r="A547" s="9" t="s">
        <v>1309</v>
      </c>
      <c r="C547" s="9" t="s">
        <v>1801</v>
      </c>
      <c r="D547" s="4" t="s">
        <v>1310</v>
      </c>
      <c r="E547" s="14" t="s">
        <v>1310</v>
      </c>
      <c r="F547" s="14" t="s">
        <v>1311</v>
      </c>
      <c r="G547" s="14" t="s">
        <v>1309</v>
      </c>
      <c r="H547" s="9" t="s">
        <v>1803</v>
      </c>
      <c r="I547" s="3">
        <v>31028.228232847614</v>
      </c>
      <c r="J547" s="3">
        <v>0</v>
      </c>
      <c r="K547" s="3">
        <f t="shared" si="18"/>
        <v>31028.228232847614</v>
      </c>
      <c r="L547" s="3">
        <f>IFERROR(INDEX('CHIRP Payment Calc'!K:K,MATCH(A:A,'CHIRP Payment Calc'!A:A,0)),0)</f>
        <v>65460.243001008625</v>
      </c>
      <c r="M547" s="3">
        <f t="shared" si="19"/>
        <v>-34432.014768161011</v>
      </c>
    </row>
    <row r="548" spans="1:13">
      <c r="A548" s="9" t="s">
        <v>1342</v>
      </c>
      <c r="C548" s="9" t="s">
        <v>1801</v>
      </c>
      <c r="D548" s="4" t="s">
        <v>1343</v>
      </c>
      <c r="E548" s="14" t="s">
        <v>1343</v>
      </c>
      <c r="F548" s="14" t="s">
        <v>1344</v>
      </c>
      <c r="G548" s="14" t="s">
        <v>1342</v>
      </c>
      <c r="H548" s="9" t="s">
        <v>1802</v>
      </c>
      <c r="I548" s="3">
        <v>2044717.9495899789</v>
      </c>
      <c r="J548" s="3">
        <v>0</v>
      </c>
      <c r="K548" s="3">
        <f t="shared" si="18"/>
        <v>2044717.9495899789</v>
      </c>
      <c r="L548" s="3">
        <f>IFERROR(INDEX('CHIRP Payment Calc'!K:K,MATCH(A:A,'CHIRP Payment Calc'!A:A,0)),0)</f>
        <v>1998544.0856444507</v>
      </c>
      <c r="M548" s="3">
        <f t="shared" si="19"/>
        <v>46173.863945528166</v>
      </c>
    </row>
    <row r="549" spans="1:13">
      <c r="A549" s="9" t="s">
        <v>1262</v>
      </c>
      <c r="C549" s="9" t="s">
        <v>1801</v>
      </c>
      <c r="D549" s="4" t="s">
        <v>1263</v>
      </c>
      <c r="E549" s="14" t="s">
        <v>1263</v>
      </c>
      <c r="F549" s="14" t="s">
        <v>1264</v>
      </c>
      <c r="G549" s="14" t="s">
        <v>1262</v>
      </c>
      <c r="H549" s="9" t="s">
        <v>1800</v>
      </c>
      <c r="I549" s="3">
        <v>25111.565086278017</v>
      </c>
      <c r="J549" s="3">
        <v>0</v>
      </c>
      <c r="K549" s="3">
        <f t="shared" si="18"/>
        <v>25111.565086278017</v>
      </c>
      <c r="L549" s="3">
        <f>IFERROR(INDEX('CHIRP Payment Calc'!K:K,MATCH(A:A,'CHIRP Payment Calc'!A:A,0)),0)</f>
        <v>48518.781870927065</v>
      </c>
      <c r="M549" s="3">
        <f t="shared" si="19"/>
        <v>-23407.216784649048</v>
      </c>
    </row>
    <row r="550" spans="1:13">
      <c r="A550" s="9" t="s">
        <v>1131</v>
      </c>
      <c r="C550" s="9" t="s">
        <v>222</v>
      </c>
      <c r="D550" s="4" t="s">
        <v>1132</v>
      </c>
      <c r="E550" s="14" t="s">
        <v>1132</v>
      </c>
      <c r="F550" s="14" t="s">
        <v>1133</v>
      </c>
      <c r="G550" s="14" t="s">
        <v>1131</v>
      </c>
      <c r="H550" s="9" t="s">
        <v>1799</v>
      </c>
      <c r="I550" s="3">
        <v>2618.5116247494771</v>
      </c>
      <c r="J550" s="3">
        <v>0</v>
      </c>
      <c r="K550" s="3">
        <f t="shared" si="18"/>
        <v>2618.5116247494771</v>
      </c>
      <c r="L550" s="3">
        <f>IFERROR(INDEX('CHIRP Payment Calc'!K:K,MATCH(A:A,'CHIRP Payment Calc'!A:A,0)),0)</f>
        <v>0</v>
      </c>
      <c r="M550" s="3">
        <f t="shared" si="19"/>
        <v>2618.5116247494771</v>
      </c>
    </row>
    <row r="551" spans="1:13">
      <c r="A551" s="9" t="s">
        <v>386</v>
      </c>
      <c r="C551" s="9" t="s">
        <v>222</v>
      </c>
      <c r="D551" s="4" t="s">
        <v>387</v>
      </c>
      <c r="E551" s="14" t="s">
        <v>387</v>
      </c>
      <c r="F551" s="14" t="s">
        <v>388</v>
      </c>
      <c r="G551" s="14" t="s">
        <v>386</v>
      </c>
      <c r="H551" s="9" t="s">
        <v>1798</v>
      </c>
      <c r="I551" s="3">
        <v>2785509.3798224032</v>
      </c>
      <c r="J551" s="3">
        <v>1145325.2619698292</v>
      </c>
      <c r="K551" s="3">
        <f t="shared" si="18"/>
        <v>3930834.6417922322</v>
      </c>
      <c r="L551" s="3">
        <f>IFERROR(INDEX('CHIRP Payment Calc'!K:K,MATCH(A:A,'CHIRP Payment Calc'!A:A,0)),0)</f>
        <v>4666965.5837686015</v>
      </c>
      <c r="M551" s="3">
        <f t="shared" si="19"/>
        <v>-736130.94197636936</v>
      </c>
    </row>
    <row r="552" spans="1:13">
      <c r="A552" s="9" t="s">
        <v>1729</v>
      </c>
      <c r="C552" s="9" t="s">
        <v>222</v>
      </c>
      <c r="D552" s="4" t="s">
        <v>1728</v>
      </c>
      <c r="E552" s="14" t="s">
        <v>1728</v>
      </c>
      <c r="F552" s="14" t="e">
        <v>#N/A</v>
      </c>
      <c r="G552" s="14" t="s">
        <v>1729</v>
      </c>
      <c r="H552" s="9" t="s">
        <v>1797</v>
      </c>
      <c r="I552" s="3">
        <v>0</v>
      </c>
      <c r="J552" s="3">
        <v>0</v>
      </c>
      <c r="K552" s="3">
        <f t="shared" si="18"/>
        <v>0</v>
      </c>
      <c r="L552" s="3">
        <f>IFERROR(INDEX('CHIRP Payment Calc'!K:K,MATCH(A:A,'CHIRP Payment Calc'!A:A,0)),0)</f>
        <v>0</v>
      </c>
      <c r="M552" s="3">
        <f t="shared" si="19"/>
        <v>0</v>
      </c>
    </row>
    <row r="553" spans="1:13">
      <c r="A553" s="9" t="s">
        <v>1621</v>
      </c>
      <c r="C553" s="9" t="s">
        <v>222</v>
      </c>
      <c r="D553" s="4" t="s">
        <v>1622</v>
      </c>
      <c r="E553" s="14" t="s">
        <v>1622</v>
      </c>
      <c r="F553" s="14" t="s">
        <v>1768</v>
      </c>
      <c r="G553" s="14" t="s">
        <v>1621</v>
      </c>
      <c r="H553" s="9" t="s">
        <v>1768</v>
      </c>
      <c r="I553" s="3">
        <v>222649.78663678007</v>
      </c>
      <c r="J553" s="3">
        <v>173178.57560394178</v>
      </c>
      <c r="K553" s="3">
        <f t="shared" si="18"/>
        <v>395828.36224072182</v>
      </c>
      <c r="L553" s="3">
        <f>IFERROR(INDEX('CHIRP Payment Calc'!K:K,MATCH(A:A,'CHIRP Payment Calc'!A:A,0)),0)</f>
        <v>616457.64249972056</v>
      </c>
      <c r="M553" s="3">
        <f t="shared" si="19"/>
        <v>-220629.28025899874</v>
      </c>
    </row>
    <row r="554" spans="1:13">
      <c r="A554" s="9" t="s">
        <v>1028</v>
      </c>
      <c r="C554" s="9" t="s">
        <v>222</v>
      </c>
      <c r="D554" s="4" t="s">
        <v>1029</v>
      </c>
      <c r="E554" s="14" t="s">
        <v>1029</v>
      </c>
      <c r="F554" s="14" t="s">
        <v>1030</v>
      </c>
      <c r="G554" s="14" t="s">
        <v>1028</v>
      </c>
      <c r="H554" s="9" t="s">
        <v>1796</v>
      </c>
      <c r="I554" s="3">
        <v>16932358.270591531</v>
      </c>
      <c r="J554" s="3">
        <v>4334778.085447778</v>
      </c>
      <c r="K554" s="3">
        <f t="shared" si="18"/>
        <v>21267136.356039308</v>
      </c>
      <c r="L554" s="3">
        <f>IFERROR(INDEX('CHIRP Payment Calc'!K:K,MATCH(A:A,'CHIRP Payment Calc'!A:A,0)),0)</f>
        <v>19249681.010731887</v>
      </c>
      <c r="M554" s="3">
        <f t="shared" si="19"/>
        <v>2017455.3453074209</v>
      </c>
    </row>
    <row r="555" spans="1:13">
      <c r="A555" s="9" t="s">
        <v>1384</v>
      </c>
      <c r="C555" s="9" t="s">
        <v>222</v>
      </c>
      <c r="D555" s="4" t="s">
        <v>1795</v>
      </c>
      <c r="E555" s="14" t="s">
        <v>1795</v>
      </c>
      <c r="F555" s="14" t="s">
        <v>1385</v>
      </c>
      <c r="G555" s="14" t="s">
        <v>1569</v>
      </c>
      <c r="H555" s="9" t="s">
        <v>1794</v>
      </c>
      <c r="I555" s="3">
        <v>0</v>
      </c>
      <c r="J555" s="3">
        <v>0</v>
      </c>
      <c r="K555" s="3">
        <f t="shared" si="18"/>
        <v>0</v>
      </c>
      <c r="L555" s="3">
        <f>IFERROR(INDEX('CHIRP Payment Calc'!K:K,MATCH(A:A,'CHIRP Payment Calc'!A:A,0)),0)</f>
        <v>0</v>
      </c>
      <c r="M555" s="3">
        <f t="shared" si="19"/>
        <v>0</v>
      </c>
    </row>
    <row r="556" spans="1:13">
      <c r="A556" s="9" t="s">
        <v>22</v>
      </c>
      <c r="C556" s="9" t="s">
        <v>222</v>
      </c>
      <c r="D556" s="4" t="s">
        <v>23</v>
      </c>
      <c r="E556" s="14" t="s">
        <v>23</v>
      </c>
      <c r="F556" s="14" t="s">
        <v>24</v>
      </c>
      <c r="G556" s="14" t="s">
        <v>22</v>
      </c>
      <c r="H556" s="9" t="s">
        <v>1793</v>
      </c>
      <c r="I556" s="3">
        <v>15743.742991872781</v>
      </c>
      <c r="J556" s="3">
        <v>4056.5494736692417</v>
      </c>
      <c r="K556" s="3">
        <f t="shared" si="18"/>
        <v>19800.292465542021</v>
      </c>
      <c r="L556" s="3">
        <f>IFERROR(INDEX('CHIRP Payment Calc'!K:K,MATCH(A:A,'CHIRP Payment Calc'!A:A,0)),0)</f>
        <v>0</v>
      </c>
      <c r="M556" s="3">
        <f t="shared" si="19"/>
        <v>19800.292465542021</v>
      </c>
    </row>
    <row r="557" spans="1:13">
      <c r="A557" s="9" t="s">
        <v>1447</v>
      </c>
      <c r="C557" s="9" t="s">
        <v>222</v>
      </c>
      <c r="D557" s="4" t="s">
        <v>1448</v>
      </c>
      <c r="E557" s="14" t="s">
        <v>1448</v>
      </c>
      <c r="F557" s="14" t="s">
        <v>1449</v>
      </c>
      <c r="G557" s="14" t="s">
        <v>1447</v>
      </c>
      <c r="H557" s="9" t="s">
        <v>1677</v>
      </c>
      <c r="I557" s="3">
        <v>28766.56136446739</v>
      </c>
      <c r="J557" s="3">
        <v>162275.1662102626</v>
      </c>
      <c r="K557" s="3">
        <f t="shared" si="18"/>
        <v>191041.72757473</v>
      </c>
      <c r="L557" s="3">
        <f>IFERROR(INDEX('CHIRP Payment Calc'!K:K,MATCH(A:A,'CHIRP Payment Calc'!A:A,0)),0)</f>
        <v>370262.65351571329</v>
      </c>
      <c r="M557" s="3">
        <f t="shared" si="19"/>
        <v>-179220.92594098329</v>
      </c>
    </row>
    <row r="558" spans="1:13">
      <c r="A558" s="9" t="s">
        <v>1004</v>
      </c>
      <c r="C558" s="9" t="s">
        <v>222</v>
      </c>
      <c r="D558" s="4" t="s">
        <v>1005</v>
      </c>
      <c r="E558" s="14" t="s">
        <v>1005</v>
      </c>
      <c r="F558" s="14" t="s">
        <v>1006</v>
      </c>
      <c r="G558" s="14" t="s">
        <v>1004</v>
      </c>
      <c r="H558" s="9" t="s">
        <v>1792</v>
      </c>
      <c r="I558" s="3">
        <v>1331055.6187002929</v>
      </c>
      <c r="J558" s="3">
        <v>2206060.5999399284</v>
      </c>
      <c r="K558" s="3">
        <f t="shared" si="18"/>
        <v>3537116.2186402213</v>
      </c>
      <c r="L558" s="3">
        <f>IFERROR(INDEX('CHIRP Payment Calc'!K:K,MATCH(A:A,'CHIRP Payment Calc'!A:A,0)),0)</f>
        <v>3951816.4066566909</v>
      </c>
      <c r="M558" s="3">
        <f t="shared" si="19"/>
        <v>-414700.18801646959</v>
      </c>
    </row>
    <row r="559" spans="1:13">
      <c r="A559" s="9" t="s">
        <v>756</v>
      </c>
      <c r="B559" s="9" t="s">
        <v>1486</v>
      </c>
      <c r="C559" s="9" t="s">
        <v>222</v>
      </c>
      <c r="D559" s="4" t="s">
        <v>757</v>
      </c>
      <c r="E559" s="14" t="s">
        <v>757</v>
      </c>
      <c r="F559" s="14" t="s">
        <v>758</v>
      </c>
      <c r="G559" s="14" t="s">
        <v>756</v>
      </c>
      <c r="H559" s="9" t="s">
        <v>1998</v>
      </c>
      <c r="I559" s="3">
        <v>9607063.7296157386</v>
      </c>
      <c r="J559" s="3">
        <f>4880323.28627934+50758.6622542907</f>
        <v>4931081.9485336309</v>
      </c>
      <c r="K559" s="3">
        <f t="shared" si="18"/>
        <v>14538145.678149369</v>
      </c>
      <c r="L559" s="3">
        <f>IFERROR(INDEX('CHIRP Payment Calc'!K:K,MATCH(A:A,'CHIRP Payment Calc'!A:A,0)),0)</f>
        <v>18304058.84004223</v>
      </c>
      <c r="M559" s="3">
        <f t="shared" si="19"/>
        <v>-3765913.1618928611</v>
      </c>
    </row>
    <row r="560" spans="1:13">
      <c r="A560" s="4" t="s">
        <v>1268</v>
      </c>
      <c r="B560" s="15" t="s">
        <v>1526</v>
      </c>
      <c r="C560" s="15" t="s">
        <v>1801</v>
      </c>
      <c r="D560" s="4" t="s">
        <v>1269</v>
      </c>
      <c r="E560" s="14" t="s">
        <v>1269</v>
      </c>
      <c r="F560" s="14" t="e">
        <v>#N/A</v>
      </c>
      <c r="G560" s="14" t="s">
        <v>1269</v>
      </c>
      <c r="H560" s="9" t="s">
        <v>2028</v>
      </c>
      <c r="I560" s="3">
        <v>375884.01350041141</v>
      </c>
      <c r="J560" s="3">
        <v>0</v>
      </c>
      <c r="K560" s="3">
        <f t="shared" si="18"/>
        <v>375884.01350041141</v>
      </c>
      <c r="L560" s="3">
        <f>IFERROR(INDEX('CHIRP Payment Calc'!K:K,MATCH(A:A,'CHIRP Payment Calc'!A:A,0)),0)</f>
        <v>5872.5329898181408</v>
      </c>
      <c r="M560" s="3">
        <f t="shared" si="19"/>
        <v>370011.48051059328</v>
      </c>
    </row>
    <row r="561" spans="1:13">
      <c r="A561" s="9" t="s">
        <v>554</v>
      </c>
      <c r="C561" s="9" t="s">
        <v>222</v>
      </c>
      <c r="D561" s="4" t="s">
        <v>555</v>
      </c>
      <c r="E561" s="14" t="s">
        <v>555</v>
      </c>
      <c r="F561" s="14" t="s">
        <v>556</v>
      </c>
      <c r="G561" s="14" t="s">
        <v>554</v>
      </c>
      <c r="H561" s="9" t="s">
        <v>1713</v>
      </c>
      <c r="I561" s="3">
        <v>1676665.5899617579</v>
      </c>
      <c r="J561" s="3">
        <v>580567.06793624139</v>
      </c>
      <c r="K561" s="3">
        <f t="shared" si="18"/>
        <v>2257232.6578979995</v>
      </c>
      <c r="L561" s="3">
        <f>IFERROR(INDEX('CHIRP Payment Calc'!K:K,MATCH(A:A,'CHIRP Payment Calc'!A:A,0)),0)</f>
        <v>3096079.536464043</v>
      </c>
      <c r="M561" s="3">
        <f t="shared" si="19"/>
        <v>-838846.87856604345</v>
      </c>
    </row>
    <row r="562" spans="1:13">
      <c r="A562" s="9" t="s">
        <v>1527</v>
      </c>
      <c r="C562" s="9" t="s">
        <v>222</v>
      </c>
      <c r="D562" s="4" t="s">
        <v>1528</v>
      </c>
      <c r="E562" s="14" t="e">
        <v>#N/A</v>
      </c>
      <c r="F562" s="14" t="e">
        <v>#N/A</v>
      </c>
      <c r="G562" s="14" t="e">
        <v>#N/A</v>
      </c>
      <c r="H562" s="9" t="s">
        <v>1791</v>
      </c>
      <c r="I562" s="3">
        <v>0</v>
      </c>
      <c r="J562" s="3">
        <v>0</v>
      </c>
      <c r="K562" s="3">
        <f t="shared" si="18"/>
        <v>0</v>
      </c>
      <c r="L562" s="3">
        <f>IFERROR(INDEX('CHIRP Payment Calc'!K:K,MATCH(A:A,'CHIRP Payment Calc'!A:A,0)),0)</f>
        <v>0</v>
      </c>
      <c r="M562" s="3">
        <f t="shared" si="19"/>
        <v>0</v>
      </c>
    </row>
    <row r="563" spans="1:13">
      <c r="A563" s="9" t="s">
        <v>1416</v>
      </c>
      <c r="C563" s="9" t="s">
        <v>222</v>
      </c>
      <c r="D563" s="4" t="s">
        <v>1417</v>
      </c>
      <c r="E563" s="14" t="s">
        <v>1417</v>
      </c>
      <c r="F563" s="14" t="s">
        <v>1418</v>
      </c>
      <c r="G563" s="14" t="s">
        <v>1416</v>
      </c>
      <c r="H563" s="9" t="s">
        <v>1790</v>
      </c>
      <c r="I563" s="3">
        <v>65513.582849327293</v>
      </c>
      <c r="J563" s="3">
        <v>99537.770837421791</v>
      </c>
      <c r="K563" s="3">
        <f t="shared" si="18"/>
        <v>165051.35368674909</v>
      </c>
      <c r="L563" s="3">
        <f>IFERROR(INDEX('CHIRP Payment Calc'!K:K,MATCH(A:A,'CHIRP Payment Calc'!A:A,0)),0)</f>
        <v>187841.73610447277</v>
      </c>
      <c r="M563" s="3">
        <f t="shared" si="19"/>
        <v>-22790.382417723682</v>
      </c>
    </row>
    <row r="564" spans="1:13">
      <c r="A564" s="9" t="s">
        <v>1788</v>
      </c>
      <c r="C564" s="9" t="s">
        <v>222</v>
      </c>
      <c r="D564" s="4" t="s">
        <v>1789</v>
      </c>
      <c r="E564" s="14" t="s">
        <v>1789</v>
      </c>
      <c r="F564" s="14" t="e">
        <v>#N/A</v>
      </c>
      <c r="G564" s="14" t="s">
        <v>1788</v>
      </c>
      <c r="H564" s="9" t="s">
        <v>1787</v>
      </c>
      <c r="I564" s="3">
        <v>0</v>
      </c>
      <c r="J564" s="3">
        <v>0</v>
      </c>
      <c r="K564" s="3">
        <f t="shared" si="18"/>
        <v>0</v>
      </c>
      <c r="L564" s="3">
        <f>IFERROR(INDEX('CHIRP Payment Calc'!K:K,MATCH(A:A,'CHIRP Payment Calc'!A:A,0)),0)</f>
        <v>0</v>
      </c>
      <c r="M564" s="3">
        <f t="shared" si="19"/>
        <v>0</v>
      </c>
    </row>
    <row r="565" spans="1:13">
      <c r="A565" s="9" t="s">
        <v>1034</v>
      </c>
      <c r="C565" s="9" t="s">
        <v>222</v>
      </c>
      <c r="D565" s="4" t="s">
        <v>1035</v>
      </c>
      <c r="E565" s="14" t="s">
        <v>1035</v>
      </c>
      <c r="F565" s="14" t="s">
        <v>1036</v>
      </c>
      <c r="G565" s="14" t="s">
        <v>1034</v>
      </c>
      <c r="H565" s="9" t="s">
        <v>1786</v>
      </c>
      <c r="I565" s="3">
        <v>1645780.0598209491</v>
      </c>
      <c r="J565" s="3">
        <v>2164818.9870330691</v>
      </c>
      <c r="K565" s="3">
        <f t="shared" si="18"/>
        <v>3810599.0468540182</v>
      </c>
      <c r="L565" s="3">
        <f>IFERROR(INDEX('CHIRP Payment Calc'!K:K,MATCH(A:A,'CHIRP Payment Calc'!A:A,0)),0)</f>
        <v>4169519.458244063</v>
      </c>
      <c r="M565" s="3">
        <f t="shared" si="19"/>
        <v>-358920.41139004473</v>
      </c>
    </row>
    <row r="566" spans="1:13">
      <c r="A566" s="9" t="s">
        <v>1378</v>
      </c>
      <c r="C566" s="9" t="s">
        <v>222</v>
      </c>
      <c r="D566" s="4" t="s">
        <v>1379</v>
      </c>
      <c r="E566" s="14" t="s">
        <v>1379</v>
      </c>
      <c r="F566" s="14" t="s">
        <v>1380</v>
      </c>
      <c r="G566" s="14" t="s">
        <v>1378</v>
      </c>
      <c r="H566" s="9" t="s">
        <v>1785</v>
      </c>
      <c r="I566" s="3">
        <v>0</v>
      </c>
      <c r="J566" s="3">
        <v>0</v>
      </c>
      <c r="K566" s="3">
        <f t="shared" si="18"/>
        <v>0</v>
      </c>
      <c r="L566" s="3">
        <f>IFERROR(INDEX('CHIRP Payment Calc'!K:K,MATCH(A:A,'CHIRP Payment Calc'!A:A,0)),0)</f>
        <v>0</v>
      </c>
      <c r="M566" s="3">
        <f t="shared" si="19"/>
        <v>0</v>
      </c>
    </row>
    <row r="567" spans="1:13">
      <c r="A567" s="9" t="s">
        <v>1031</v>
      </c>
      <c r="C567" s="9" t="s">
        <v>222</v>
      </c>
      <c r="D567" s="4" t="s">
        <v>1032</v>
      </c>
      <c r="E567" s="14" t="s">
        <v>1032</v>
      </c>
      <c r="F567" s="14" t="s">
        <v>1033</v>
      </c>
      <c r="G567" s="14" t="s">
        <v>1031</v>
      </c>
      <c r="H567" s="9" t="s">
        <v>1784</v>
      </c>
      <c r="I567" s="3">
        <v>2982350.3599278196</v>
      </c>
      <c r="J567" s="3">
        <v>2206601.0631567515</v>
      </c>
      <c r="K567" s="3">
        <f t="shared" si="18"/>
        <v>5188951.423084571</v>
      </c>
      <c r="L567" s="3">
        <f>IFERROR(INDEX('CHIRP Payment Calc'!K:K,MATCH(A:A,'CHIRP Payment Calc'!A:A,0)),0)</f>
        <v>6509485.9970711814</v>
      </c>
      <c r="M567" s="3">
        <f t="shared" si="19"/>
        <v>-1320534.5739866104</v>
      </c>
    </row>
    <row r="568" spans="1:13">
      <c r="A568" s="9" t="s">
        <v>1065</v>
      </c>
      <c r="C568" s="9" t="s">
        <v>222</v>
      </c>
      <c r="D568" s="4" t="s">
        <v>1066</v>
      </c>
      <c r="E568" s="14" t="s">
        <v>1066</v>
      </c>
      <c r="F568" s="14" t="s">
        <v>1067</v>
      </c>
      <c r="G568" s="14" t="s">
        <v>1065</v>
      </c>
      <c r="H568" s="9" t="s">
        <v>1783</v>
      </c>
      <c r="I568" s="3">
        <v>16665152.290954616</v>
      </c>
      <c r="J568" s="3">
        <v>2662132.4396368046</v>
      </c>
      <c r="K568" s="3">
        <f t="shared" si="18"/>
        <v>19327284.73059142</v>
      </c>
      <c r="L568" s="3">
        <f>IFERROR(INDEX('CHIRP Payment Calc'!K:K,MATCH(A:A,'CHIRP Payment Calc'!A:A,0)),0)</f>
        <v>27125037.925136175</v>
      </c>
      <c r="M568" s="3">
        <f t="shared" si="19"/>
        <v>-7797753.1945447549</v>
      </c>
    </row>
    <row r="569" spans="1:13">
      <c r="A569" s="9" t="s">
        <v>1059</v>
      </c>
      <c r="C569" s="9" t="s">
        <v>222</v>
      </c>
      <c r="D569" s="4" t="s">
        <v>1060</v>
      </c>
      <c r="E569" s="14" t="s">
        <v>1060</v>
      </c>
      <c r="F569" s="14" t="s">
        <v>1061</v>
      </c>
      <c r="G569" s="14" t="s">
        <v>1059</v>
      </c>
      <c r="H569" s="9" t="s">
        <v>1782</v>
      </c>
      <c r="I569" s="3">
        <v>2250614.3770119292</v>
      </c>
      <c r="J569" s="3">
        <v>1163221.3661406008</v>
      </c>
      <c r="K569" s="3">
        <f t="shared" si="18"/>
        <v>3413835.7431525299</v>
      </c>
      <c r="L569" s="3">
        <f>IFERROR(INDEX('CHIRP Payment Calc'!K:K,MATCH(A:A,'CHIRP Payment Calc'!A:A,0)),0)</f>
        <v>4827015.5718309963</v>
      </c>
      <c r="M569" s="3">
        <f t="shared" si="19"/>
        <v>-1413179.8286784664</v>
      </c>
    </row>
    <row r="570" spans="1:13">
      <c r="A570" s="9" t="s">
        <v>1062</v>
      </c>
      <c r="C570" s="9" t="s">
        <v>222</v>
      </c>
      <c r="D570" s="4" t="s">
        <v>1063</v>
      </c>
      <c r="E570" s="14" t="s">
        <v>1063</v>
      </c>
      <c r="F570" s="14" t="s">
        <v>1064</v>
      </c>
      <c r="G570" s="14" t="s">
        <v>1062</v>
      </c>
      <c r="H570" s="9" t="s">
        <v>1781</v>
      </c>
      <c r="I570" s="3">
        <v>4706961.2476003543</v>
      </c>
      <c r="J570" s="3">
        <v>5943889.0146941608</v>
      </c>
      <c r="K570" s="3">
        <f t="shared" si="18"/>
        <v>10650850.262294516</v>
      </c>
      <c r="L570" s="3">
        <f>IFERROR(INDEX('CHIRP Payment Calc'!K:K,MATCH(A:A,'CHIRP Payment Calc'!A:A,0)),0)</f>
        <v>14142543.471986793</v>
      </c>
      <c r="M570" s="3">
        <f t="shared" si="19"/>
        <v>-3491693.209692277</v>
      </c>
    </row>
    <row r="571" spans="1:13">
      <c r="A571" s="9" t="s">
        <v>1056</v>
      </c>
      <c r="C571" s="9" t="s">
        <v>222</v>
      </c>
      <c r="D571" s="4" t="s">
        <v>1057</v>
      </c>
      <c r="E571" s="14" t="s">
        <v>1057</v>
      </c>
      <c r="F571" s="14" t="s">
        <v>1058</v>
      </c>
      <c r="G571" s="14" t="s">
        <v>1056</v>
      </c>
      <c r="H571" s="9" t="s">
        <v>1780</v>
      </c>
      <c r="I571" s="3">
        <v>19514412.645020399</v>
      </c>
      <c r="J571" s="3">
        <v>5969971.0816532839</v>
      </c>
      <c r="K571" s="3">
        <f t="shared" si="18"/>
        <v>25484383.726673685</v>
      </c>
      <c r="L571" s="3">
        <f>IFERROR(INDEX('CHIRP Payment Calc'!K:K,MATCH(A:A,'CHIRP Payment Calc'!A:A,0)),0)</f>
        <v>31396730.024141029</v>
      </c>
      <c r="M571" s="3">
        <f t="shared" si="19"/>
        <v>-5912346.2974673435</v>
      </c>
    </row>
    <row r="572" spans="1:13">
      <c r="A572" s="9" t="s">
        <v>389</v>
      </c>
      <c r="C572" s="9" t="s">
        <v>222</v>
      </c>
      <c r="D572" s="4" t="s">
        <v>390</v>
      </c>
      <c r="E572" s="14" t="s">
        <v>390</v>
      </c>
      <c r="F572" s="14" t="s">
        <v>391</v>
      </c>
      <c r="G572" s="14" t="s">
        <v>389</v>
      </c>
      <c r="H572" s="9" t="s">
        <v>1779</v>
      </c>
      <c r="I572" s="3">
        <v>249768.9086501569</v>
      </c>
      <c r="J572" s="3">
        <v>135924.56019974148</v>
      </c>
      <c r="K572" s="3">
        <f t="shared" si="18"/>
        <v>385693.46884989837</v>
      </c>
      <c r="L572" s="3">
        <f>IFERROR(INDEX('CHIRP Payment Calc'!K:K,MATCH(A:A,'CHIRP Payment Calc'!A:A,0)),0)</f>
        <v>504633.87459995667</v>
      </c>
      <c r="M572" s="3">
        <f t="shared" si="19"/>
        <v>-118940.4057500583</v>
      </c>
    </row>
    <row r="573" spans="1:13">
      <c r="A573" s="9" t="s">
        <v>294</v>
      </c>
      <c r="C573" s="9" t="s">
        <v>222</v>
      </c>
      <c r="D573" s="4" t="s">
        <v>295</v>
      </c>
      <c r="E573" s="14" t="s">
        <v>295</v>
      </c>
      <c r="F573" s="14" t="s">
        <v>296</v>
      </c>
      <c r="G573" s="14" t="s">
        <v>294</v>
      </c>
      <c r="H573" s="9" t="s">
        <v>1778</v>
      </c>
      <c r="I573" s="3">
        <v>0</v>
      </c>
      <c r="J573" s="3">
        <v>0</v>
      </c>
      <c r="K573" s="3">
        <f t="shared" si="18"/>
        <v>0</v>
      </c>
      <c r="L573" s="3">
        <f>IFERROR(INDEX('CHIRP Payment Calc'!K:K,MATCH(A:A,'CHIRP Payment Calc'!A:A,0)),0)</f>
        <v>0</v>
      </c>
      <c r="M573" s="3">
        <f t="shared" si="19"/>
        <v>0</v>
      </c>
    </row>
    <row r="574" spans="1:13">
      <c r="A574" s="9" t="s">
        <v>1556</v>
      </c>
      <c r="C574" s="9" t="s">
        <v>222</v>
      </c>
      <c r="D574" s="4" t="s">
        <v>1725</v>
      </c>
      <c r="E574" s="14" t="s">
        <v>1725</v>
      </c>
      <c r="F574" s="14" t="s">
        <v>834</v>
      </c>
      <c r="G574" s="14" t="s">
        <v>1556</v>
      </c>
      <c r="H574" s="9" t="s">
        <v>1777</v>
      </c>
      <c r="I574" s="3">
        <v>1891910.5053131003</v>
      </c>
      <c r="J574" s="3">
        <v>879275.03707265831</v>
      </c>
      <c r="K574" s="3">
        <f t="shared" si="18"/>
        <v>2771185.5423857588</v>
      </c>
      <c r="L574" s="3">
        <f>IFERROR(INDEX('CHIRP Payment Calc'!K:K,MATCH(A:A,'CHIRP Payment Calc'!A:A,0)),0)</f>
        <v>0</v>
      </c>
      <c r="M574" s="3">
        <f t="shared" si="19"/>
        <v>2771185.5423857588</v>
      </c>
    </row>
    <row r="575" spans="1:13">
      <c r="A575" s="9" t="s">
        <v>1536</v>
      </c>
      <c r="C575" s="9" t="s">
        <v>222</v>
      </c>
      <c r="D575" s="4" t="s">
        <v>1537</v>
      </c>
      <c r="E575" s="14" t="s">
        <v>1537</v>
      </c>
      <c r="F575" s="14" t="s">
        <v>1538</v>
      </c>
      <c r="G575" s="14" t="s">
        <v>1536</v>
      </c>
      <c r="H575" s="9" t="s">
        <v>1776</v>
      </c>
      <c r="I575" s="3">
        <v>991.45533478735865</v>
      </c>
      <c r="J575" s="3">
        <v>0</v>
      </c>
      <c r="K575" s="3">
        <f t="shared" si="18"/>
        <v>991.45533478735865</v>
      </c>
      <c r="L575" s="3">
        <f>IFERROR(INDEX('CHIRP Payment Calc'!K:K,MATCH(A:A,'CHIRP Payment Calc'!A:A,0)),0)</f>
        <v>0</v>
      </c>
      <c r="M575" s="3">
        <f t="shared" si="19"/>
        <v>991.45533478735865</v>
      </c>
    </row>
    <row r="576" spans="1:13">
      <c r="A576" s="9" t="s">
        <v>52</v>
      </c>
      <c r="C576" s="9" t="s">
        <v>222</v>
      </c>
      <c r="D576" s="4" t="s">
        <v>53</v>
      </c>
      <c r="E576" s="14" t="s">
        <v>53</v>
      </c>
      <c r="F576" s="14" t="s">
        <v>54</v>
      </c>
      <c r="G576" s="14" t="s">
        <v>52</v>
      </c>
      <c r="H576" s="9" t="s">
        <v>1775</v>
      </c>
      <c r="I576" s="3">
        <v>0</v>
      </c>
      <c r="J576" s="3">
        <v>0</v>
      </c>
      <c r="K576" s="3">
        <f t="shared" si="18"/>
        <v>0</v>
      </c>
      <c r="L576" s="3">
        <f>IFERROR(INDEX('CHIRP Payment Calc'!K:K,MATCH(A:A,'CHIRP Payment Calc'!A:A,0)),0)</f>
        <v>0</v>
      </c>
      <c r="M576" s="3">
        <f t="shared" si="19"/>
        <v>0</v>
      </c>
    </row>
    <row r="577" spans="1:13">
      <c r="A577" s="9" t="s">
        <v>1025</v>
      </c>
      <c r="C577" s="9" t="s">
        <v>1479</v>
      </c>
      <c r="D577" s="4" t="s">
        <v>1026</v>
      </c>
      <c r="E577" s="14" t="s">
        <v>1026</v>
      </c>
      <c r="F577" s="14" t="s">
        <v>1027</v>
      </c>
      <c r="G577" s="14" t="s">
        <v>1025</v>
      </c>
      <c r="H577" s="9" t="s">
        <v>1774</v>
      </c>
      <c r="I577" s="3">
        <v>424047.79933854361</v>
      </c>
      <c r="J577" s="3">
        <v>402222.19857934234</v>
      </c>
      <c r="K577" s="3">
        <f t="shared" si="18"/>
        <v>826269.99791788589</v>
      </c>
      <c r="L577" s="3">
        <f>IFERROR(INDEX('CHIRP Payment Calc'!K:K,MATCH(A:A,'CHIRP Payment Calc'!A:A,0)),0)</f>
        <v>1008001.207234103</v>
      </c>
      <c r="M577" s="3">
        <f t="shared" si="19"/>
        <v>-181731.20931621711</v>
      </c>
    </row>
    <row r="578" spans="1:13">
      <c r="A578" s="9" t="s">
        <v>323</v>
      </c>
      <c r="C578" s="9" t="s">
        <v>1479</v>
      </c>
      <c r="D578" s="4" t="s">
        <v>324</v>
      </c>
      <c r="E578" s="14" t="s">
        <v>324</v>
      </c>
      <c r="F578" s="14" t="s">
        <v>325</v>
      </c>
      <c r="G578" s="14" t="s">
        <v>323</v>
      </c>
      <c r="H578" s="9" t="s">
        <v>1773</v>
      </c>
      <c r="I578" s="3">
        <v>7742.8441843080445</v>
      </c>
      <c r="J578" s="3">
        <v>33201.494883046958</v>
      </c>
      <c r="K578" s="3">
        <f t="shared" si="18"/>
        <v>40944.339067355002</v>
      </c>
      <c r="L578" s="3">
        <f>IFERROR(INDEX('CHIRP Payment Calc'!K:K,MATCH(A:A,'CHIRP Payment Calc'!A:A,0)),0)</f>
        <v>0</v>
      </c>
      <c r="M578" s="3">
        <f t="shared" si="19"/>
        <v>40944.339067355002</v>
      </c>
    </row>
    <row r="579" spans="1:13">
      <c r="A579" s="9" t="s">
        <v>1019</v>
      </c>
      <c r="C579" s="9" t="s">
        <v>1479</v>
      </c>
      <c r="D579" s="4" t="s">
        <v>1020</v>
      </c>
      <c r="E579" s="14" t="s">
        <v>1020</v>
      </c>
      <c r="F579" s="14" t="s">
        <v>1021</v>
      </c>
      <c r="G579" s="14" t="s">
        <v>1019</v>
      </c>
      <c r="H579" s="9" t="s">
        <v>1772</v>
      </c>
      <c r="I579" s="3">
        <v>620047.28201076796</v>
      </c>
      <c r="J579" s="3">
        <v>252649.76147978476</v>
      </c>
      <c r="K579" s="3">
        <f t="shared" si="18"/>
        <v>872697.04349055269</v>
      </c>
      <c r="L579" s="3">
        <f>IFERROR(INDEX('CHIRP Payment Calc'!K:K,MATCH(A:A,'CHIRP Payment Calc'!A:A,0)),0)</f>
        <v>1111398.1739900315</v>
      </c>
      <c r="M579" s="3">
        <f t="shared" si="19"/>
        <v>-238701.13049947878</v>
      </c>
    </row>
    <row r="580" spans="1:13">
      <c r="A580" s="9" t="s">
        <v>374</v>
      </c>
      <c r="C580" s="9" t="s">
        <v>1479</v>
      </c>
      <c r="D580" s="4" t="s">
        <v>375</v>
      </c>
      <c r="E580" s="14" t="s">
        <v>375</v>
      </c>
      <c r="F580" s="14" t="s">
        <v>376</v>
      </c>
      <c r="G580" s="14" t="s">
        <v>374</v>
      </c>
      <c r="H580" s="9" t="s">
        <v>1771</v>
      </c>
      <c r="I580" s="3">
        <v>2253838.4823481245</v>
      </c>
      <c r="J580" s="3">
        <v>1299344.5576933951</v>
      </c>
      <c r="K580" s="3">
        <f t="shared" si="18"/>
        <v>3553183.0400415193</v>
      </c>
      <c r="L580" s="3">
        <f>IFERROR(INDEX('CHIRP Payment Calc'!K:K,MATCH(A:A,'CHIRP Payment Calc'!A:A,0)),0)</f>
        <v>5228307.1551121641</v>
      </c>
      <c r="M580" s="3">
        <f t="shared" si="19"/>
        <v>-1675124.1150706448</v>
      </c>
    </row>
    <row r="581" spans="1:13">
      <c r="A581" s="9" t="s">
        <v>422</v>
      </c>
      <c r="C581" s="9" t="s">
        <v>1479</v>
      </c>
      <c r="D581" s="4" t="s">
        <v>423</v>
      </c>
      <c r="E581" s="14" t="s">
        <v>423</v>
      </c>
      <c r="F581" s="14" t="s">
        <v>424</v>
      </c>
      <c r="G581" s="14" t="s">
        <v>422</v>
      </c>
      <c r="H581" s="9" t="s">
        <v>1608</v>
      </c>
      <c r="I581" s="3">
        <v>304763.92245895922</v>
      </c>
      <c r="J581" s="3">
        <v>444179.79485404113</v>
      </c>
      <c r="K581" s="3">
        <f t="shared" si="18"/>
        <v>748943.71731300035</v>
      </c>
      <c r="L581" s="3">
        <f>IFERROR(INDEX('CHIRP Payment Calc'!K:K,MATCH(A:A,'CHIRP Payment Calc'!A:A,0)),0)</f>
        <v>885960.59955953248</v>
      </c>
      <c r="M581" s="3">
        <f t="shared" si="19"/>
        <v>-137016.88224653213</v>
      </c>
    </row>
    <row r="582" spans="1:13">
      <c r="A582" s="9" t="s">
        <v>1007</v>
      </c>
      <c r="C582" s="9" t="s">
        <v>1479</v>
      </c>
      <c r="D582" s="4" t="s">
        <v>1008</v>
      </c>
      <c r="E582" s="14" t="s">
        <v>1008</v>
      </c>
      <c r="F582" s="14" t="s">
        <v>1009</v>
      </c>
      <c r="G582" s="14" t="s">
        <v>1007</v>
      </c>
      <c r="H582" s="9" t="s">
        <v>1770</v>
      </c>
      <c r="I582" s="3">
        <v>361003.78538131935</v>
      </c>
      <c r="J582" s="3">
        <v>251475.22148591786</v>
      </c>
      <c r="K582" s="3">
        <f t="shared" si="18"/>
        <v>612479.00686723716</v>
      </c>
      <c r="L582" s="3">
        <f>IFERROR(INDEX('CHIRP Payment Calc'!K:K,MATCH(A:A,'CHIRP Payment Calc'!A:A,0)),0)</f>
        <v>800733.26960460993</v>
      </c>
      <c r="M582" s="3">
        <f t="shared" si="19"/>
        <v>-188254.26273737277</v>
      </c>
    </row>
    <row r="583" spans="1:13">
      <c r="A583" s="9" t="s">
        <v>1022</v>
      </c>
      <c r="C583" s="9" t="s">
        <v>1554</v>
      </c>
      <c r="D583" s="4" t="s">
        <v>1023</v>
      </c>
      <c r="E583" s="14" t="s">
        <v>1023</v>
      </c>
      <c r="F583" s="14" t="s">
        <v>1024</v>
      </c>
      <c r="G583" s="14" t="s">
        <v>1022</v>
      </c>
      <c r="H583" s="9" t="s">
        <v>1024</v>
      </c>
      <c r="I583" s="3">
        <v>2679605.6190732233</v>
      </c>
      <c r="J583" s="3">
        <v>10711922.630975118</v>
      </c>
      <c r="K583" s="3">
        <f t="shared" si="18"/>
        <v>13391528.250048341</v>
      </c>
      <c r="L583" s="3">
        <f>IFERROR(INDEX('CHIRP Payment Calc'!K:K,MATCH(A:A,'CHIRP Payment Calc'!A:A,0)),0)</f>
        <v>16001641.522808971</v>
      </c>
      <c r="M583" s="3">
        <f t="shared" si="19"/>
        <v>-2610113.2727606297</v>
      </c>
    </row>
    <row r="584" spans="1:13">
      <c r="K584" s="2" t="e">
        <f>SUM(K24,K109,K138,K141,K264,K289,K295,K354,#REF!,K435,K468,K515,K546,K559,K560)</f>
        <v>#REF!</v>
      </c>
      <c r="L584" s="2"/>
      <c r="M584" s="2"/>
    </row>
  </sheetData>
  <autoFilter ref="A1:M584" xr:uid="{7F72A074-E1F7-44AA-BD73-B86C8AB8E0BD}">
    <sortState xmlns:xlrd2="http://schemas.microsoft.com/office/spreadsheetml/2017/richdata2" ref="A8:M584">
      <sortCondition ref="D1:D584"/>
    </sortState>
  </autoFilter>
  <conditionalFormatting sqref="H540:H583 E1:F1048576">
    <cfRule type="duplicateValues" dxfId="2" priority="3"/>
  </conditionalFormatting>
  <conditionalFormatting sqref="I540:I583 G1:G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5CD6-CA08-45BE-9900-31D84AA3CA13}">
  <dimension ref="A1:E55"/>
  <sheetViews>
    <sheetView workbookViewId="0"/>
  </sheetViews>
  <sheetFormatPr defaultColWidth="8.796875" defaultRowHeight="12.75"/>
  <cols>
    <col min="1" max="1" width="22.5" style="18" customWidth="1"/>
    <col min="2" max="2" width="66" style="20" bestFit="1" customWidth="1"/>
    <col min="3" max="3" width="14.19921875" style="19" bestFit="1" customWidth="1"/>
    <col min="4" max="4" width="11.5" style="19" bestFit="1" customWidth="1"/>
    <col min="5" max="5" width="14.19921875" style="19" bestFit="1" customWidth="1"/>
    <col min="6" max="16384" width="8.796875" style="18"/>
  </cols>
  <sheetData>
    <row r="1" spans="1:5" ht="15">
      <c r="A1" t="s">
        <v>2395</v>
      </c>
      <c r="B1" s="7"/>
      <c r="C1" s="8" t="s">
        <v>2404</v>
      </c>
      <c r="D1" s="8"/>
      <c r="E1" s="8"/>
    </row>
    <row r="2" spans="1:5" ht="15">
      <c r="A2" t="s">
        <v>0</v>
      </c>
      <c r="B2" s="7" t="s">
        <v>2281</v>
      </c>
      <c r="C2" s="8" t="s">
        <v>2405</v>
      </c>
      <c r="D2" s="8" t="s">
        <v>2406</v>
      </c>
      <c r="E2" s="8" t="s">
        <v>2390</v>
      </c>
    </row>
    <row r="3" spans="1:5" ht="30">
      <c r="A3" t="s">
        <v>2327</v>
      </c>
      <c r="B3" s="7" t="s">
        <v>2356</v>
      </c>
      <c r="C3" s="8">
        <v>437092.37999999989</v>
      </c>
      <c r="D3" s="8">
        <v>19898.07</v>
      </c>
      <c r="E3" s="8">
        <v>456990.4499999999</v>
      </c>
    </row>
    <row r="4" spans="1:5" ht="15">
      <c r="A4" t="s">
        <v>1274</v>
      </c>
      <c r="B4" s="7" t="s">
        <v>1861</v>
      </c>
      <c r="C4" s="8">
        <v>2548354.3500000006</v>
      </c>
      <c r="D4" s="8"/>
      <c r="E4" s="8">
        <v>2548354.3500000006</v>
      </c>
    </row>
    <row r="5" spans="1:5" ht="15">
      <c r="A5" t="s">
        <v>2305</v>
      </c>
      <c r="B5" s="7" t="s">
        <v>2357</v>
      </c>
      <c r="C5" s="8">
        <v>315962.28000000003</v>
      </c>
      <c r="D5" s="8"/>
      <c r="E5" s="8">
        <v>315962.28000000003</v>
      </c>
    </row>
    <row r="6" spans="1:5" ht="15">
      <c r="A6" t="s">
        <v>2309</v>
      </c>
      <c r="B6" s="7" t="s">
        <v>2358</v>
      </c>
      <c r="C6" s="8">
        <v>407278.99000000005</v>
      </c>
      <c r="D6" s="8"/>
      <c r="E6" s="8">
        <v>407278.99000000005</v>
      </c>
    </row>
    <row r="7" spans="1:5" ht="15">
      <c r="A7" t="s">
        <v>2311</v>
      </c>
      <c r="B7" s="7" t="s">
        <v>2359</v>
      </c>
      <c r="C7" s="8">
        <v>1170990.22</v>
      </c>
      <c r="D7" s="8"/>
      <c r="E7" s="8">
        <v>1170990.22</v>
      </c>
    </row>
    <row r="8" spans="1:5" ht="15">
      <c r="A8" t="s">
        <v>1231</v>
      </c>
      <c r="B8" s="7" t="s">
        <v>2360</v>
      </c>
      <c r="C8" s="8">
        <v>2248289.4700000002</v>
      </c>
      <c r="D8" s="8">
        <v>14317.25</v>
      </c>
      <c r="E8" s="8">
        <v>2262606.7200000002</v>
      </c>
    </row>
    <row r="9" spans="1:5" ht="15">
      <c r="A9" t="s">
        <v>1259</v>
      </c>
      <c r="B9" s="7" t="s">
        <v>2361</v>
      </c>
      <c r="C9" s="8">
        <v>1926191.569999998</v>
      </c>
      <c r="D9" s="8">
        <v>0</v>
      </c>
      <c r="E9" s="8">
        <v>1926191.569999998</v>
      </c>
    </row>
    <row r="10" spans="1:5" ht="15">
      <c r="A10" t="s">
        <v>2061</v>
      </c>
      <c r="B10" s="7" t="s">
        <v>2362</v>
      </c>
      <c r="C10" s="8">
        <v>437</v>
      </c>
      <c r="D10" s="8"/>
      <c r="E10" s="8">
        <v>437</v>
      </c>
    </row>
    <row r="11" spans="1:5" ht="15">
      <c r="A11" t="s">
        <v>1250</v>
      </c>
      <c r="B11" s="7" t="s">
        <v>2363</v>
      </c>
      <c r="C11" s="8">
        <v>570523.56999999995</v>
      </c>
      <c r="D11" s="8">
        <v>0</v>
      </c>
      <c r="E11" s="8">
        <v>570523.56999999995</v>
      </c>
    </row>
    <row r="12" spans="1:5" ht="15">
      <c r="A12" t="s">
        <v>1339</v>
      </c>
      <c r="B12" s="7" t="s">
        <v>2364</v>
      </c>
      <c r="C12" s="8">
        <v>3818480.3200000012</v>
      </c>
      <c r="D12" s="8"/>
      <c r="E12" s="8">
        <v>3818480.3200000012</v>
      </c>
    </row>
    <row r="13" spans="1:5" ht="15">
      <c r="A13" t="s">
        <v>488</v>
      </c>
      <c r="B13" s="7" t="s">
        <v>2300</v>
      </c>
      <c r="C13" s="8">
        <v>1013911.5800000018</v>
      </c>
      <c r="D13" s="8">
        <v>7800</v>
      </c>
      <c r="E13" s="8">
        <v>1021711.5800000018</v>
      </c>
    </row>
    <row r="14" spans="1:5" ht="15">
      <c r="A14" t="s">
        <v>1309</v>
      </c>
      <c r="B14" s="7" t="s">
        <v>1803</v>
      </c>
      <c r="C14" s="8">
        <v>72506.73</v>
      </c>
      <c r="D14" s="8">
        <v>0</v>
      </c>
      <c r="E14" s="8">
        <v>72506.73</v>
      </c>
    </row>
    <row r="15" spans="1:5" ht="15">
      <c r="A15" t="s">
        <v>2333</v>
      </c>
      <c r="B15" s="7" t="s">
        <v>2365</v>
      </c>
      <c r="C15" s="8">
        <v>4970341.2200000035</v>
      </c>
      <c r="D15" s="8"/>
      <c r="E15" s="8">
        <v>4970341.2200000035</v>
      </c>
    </row>
    <row r="16" spans="1:5" ht="15">
      <c r="A16" t="s">
        <v>1300</v>
      </c>
      <c r="B16" s="7" t="s">
        <v>2366</v>
      </c>
      <c r="C16" s="8">
        <v>1062503.7000000002</v>
      </c>
      <c r="D16" s="8"/>
      <c r="E16" s="8">
        <v>1062503.7000000002</v>
      </c>
    </row>
    <row r="17" spans="1:5" ht="15">
      <c r="A17" t="s">
        <v>1247</v>
      </c>
      <c r="B17" s="7" t="s">
        <v>2297</v>
      </c>
      <c r="C17" s="8">
        <v>91508.66</v>
      </c>
      <c r="D17" s="8"/>
      <c r="E17" s="8">
        <v>91508.66</v>
      </c>
    </row>
    <row r="18" spans="1:5" ht="15">
      <c r="A18" t="s">
        <v>2318</v>
      </c>
      <c r="B18" s="7" t="s">
        <v>2367</v>
      </c>
      <c r="C18" s="8">
        <v>320683.46999999997</v>
      </c>
      <c r="D18" s="8"/>
      <c r="E18" s="8">
        <v>320683.46999999997</v>
      </c>
    </row>
    <row r="19" spans="1:5" ht="15">
      <c r="A19" t="s">
        <v>1353</v>
      </c>
      <c r="B19" s="7" t="s">
        <v>2368</v>
      </c>
      <c r="C19" s="8">
        <v>3628123.6400000062</v>
      </c>
      <c r="D19" s="8">
        <v>14893</v>
      </c>
      <c r="E19" s="8">
        <v>3643016.6400000062</v>
      </c>
    </row>
    <row r="20" spans="1:5" ht="15">
      <c r="A20" t="s">
        <v>2320</v>
      </c>
      <c r="B20" s="7" t="s">
        <v>2369</v>
      </c>
      <c r="C20" s="8">
        <v>264449.07999999996</v>
      </c>
      <c r="D20" s="8"/>
      <c r="E20" s="8">
        <v>264449.07999999996</v>
      </c>
    </row>
    <row r="21" spans="1:5" ht="15">
      <c r="A21" t="s">
        <v>2316</v>
      </c>
      <c r="B21" s="7" t="s">
        <v>2370</v>
      </c>
      <c r="C21" s="8">
        <v>98049.64</v>
      </c>
      <c r="D21" s="8"/>
      <c r="E21" s="8">
        <v>98049.64</v>
      </c>
    </row>
    <row r="22" spans="1:5" ht="15">
      <c r="A22" t="s">
        <v>1312</v>
      </c>
      <c r="B22" s="7" t="s">
        <v>2371</v>
      </c>
      <c r="C22" s="8">
        <v>3365143.350000001</v>
      </c>
      <c r="D22" s="8">
        <v>11886</v>
      </c>
      <c r="E22" s="8">
        <v>3377029.350000001</v>
      </c>
    </row>
    <row r="23" spans="1:5" ht="15">
      <c r="A23" t="s">
        <v>1345</v>
      </c>
      <c r="B23" s="7" t="s">
        <v>2372</v>
      </c>
      <c r="C23" s="8">
        <v>1210661.8199999998</v>
      </c>
      <c r="D23" s="8">
        <v>0</v>
      </c>
      <c r="E23" s="8">
        <v>1210661.8199999998</v>
      </c>
    </row>
    <row r="24" spans="1:5" ht="15">
      <c r="A24" t="s">
        <v>1256</v>
      </c>
      <c r="B24" s="7" t="s">
        <v>2244</v>
      </c>
      <c r="C24" s="8">
        <v>1111272.8500000001</v>
      </c>
      <c r="D24" s="8">
        <v>9100</v>
      </c>
      <c r="E24" s="8">
        <v>1120372.8500000001</v>
      </c>
    </row>
    <row r="25" spans="1:5" ht="15">
      <c r="A25" t="s">
        <v>1348</v>
      </c>
      <c r="B25" s="7" t="s">
        <v>2177</v>
      </c>
      <c r="C25" s="8">
        <v>2629930.9500000002</v>
      </c>
      <c r="D25" s="8">
        <v>0</v>
      </c>
      <c r="E25" s="8">
        <v>2629930.9500000002</v>
      </c>
    </row>
    <row r="26" spans="1:5" ht="15">
      <c r="A26" t="s">
        <v>1262</v>
      </c>
      <c r="B26" s="7" t="s">
        <v>2373</v>
      </c>
      <c r="C26" s="8">
        <v>27366</v>
      </c>
      <c r="D26" s="8">
        <v>14490</v>
      </c>
      <c r="E26" s="8">
        <v>41856</v>
      </c>
    </row>
    <row r="27" spans="1:5" ht="15">
      <c r="A27" t="s">
        <v>1297</v>
      </c>
      <c r="B27" s="7" t="s">
        <v>2374</v>
      </c>
      <c r="C27" s="8">
        <v>604533.33000000019</v>
      </c>
      <c r="D27" s="8">
        <v>0</v>
      </c>
      <c r="E27" s="8">
        <v>604533.33000000019</v>
      </c>
    </row>
    <row r="28" spans="1:5" ht="15">
      <c r="A28" t="s">
        <v>1218</v>
      </c>
      <c r="B28" s="7" t="s">
        <v>2375</v>
      </c>
      <c r="C28" s="8">
        <v>1715268.399999999</v>
      </c>
      <c r="D28" s="8">
        <v>18881.5</v>
      </c>
      <c r="E28" s="8">
        <v>1734149.899999999</v>
      </c>
    </row>
    <row r="29" spans="1:5" ht="15">
      <c r="A29" t="s">
        <v>1228</v>
      </c>
      <c r="B29" s="7" t="s">
        <v>2376</v>
      </c>
      <c r="C29" s="8">
        <v>11121.39</v>
      </c>
      <c r="D29" s="8"/>
      <c r="E29" s="8">
        <v>11121.39</v>
      </c>
    </row>
    <row r="30" spans="1:5" ht="15">
      <c r="A30" t="s">
        <v>1342</v>
      </c>
      <c r="B30" s="7" t="s">
        <v>2377</v>
      </c>
      <c r="C30" s="8">
        <v>1957767.4200000009</v>
      </c>
      <c r="D30" s="8">
        <v>1364</v>
      </c>
      <c r="E30" s="8">
        <v>1959131.4200000009</v>
      </c>
    </row>
    <row r="31" spans="1:5" ht="15">
      <c r="A31" t="s">
        <v>1234</v>
      </c>
      <c r="B31" s="7" t="s">
        <v>2380</v>
      </c>
      <c r="C31" s="8">
        <v>2991661.0399999986</v>
      </c>
      <c r="D31" s="8">
        <v>6884.67</v>
      </c>
      <c r="E31" s="8">
        <v>2998545.7099999986</v>
      </c>
    </row>
    <row r="32" spans="1:5" ht="15">
      <c r="A32" t="s">
        <v>1282</v>
      </c>
      <c r="B32" s="7" t="s">
        <v>2382</v>
      </c>
      <c r="C32" s="8">
        <v>756647.02999999991</v>
      </c>
      <c r="D32" s="8">
        <v>0</v>
      </c>
      <c r="E32" s="8">
        <v>756647.02999999991</v>
      </c>
    </row>
    <row r="33" spans="1:5" ht="15">
      <c r="A33" t="s">
        <v>1215</v>
      </c>
      <c r="B33" s="7" t="s">
        <v>2383</v>
      </c>
      <c r="C33" s="8">
        <v>702451.44</v>
      </c>
      <c r="D33" s="8"/>
      <c r="E33" s="8">
        <v>702451.44</v>
      </c>
    </row>
    <row r="34" spans="1:5" ht="15">
      <c r="A34" t="s">
        <v>1758</v>
      </c>
      <c r="B34" s="7" t="s">
        <v>1769</v>
      </c>
      <c r="C34" s="8">
        <v>641714.65000000014</v>
      </c>
      <c r="D34" s="8"/>
      <c r="E34" s="8">
        <v>641714.65000000014</v>
      </c>
    </row>
    <row r="35" spans="1:5" ht="15">
      <c r="A35" t="s">
        <v>1209</v>
      </c>
      <c r="B35" s="7" t="s">
        <v>2384</v>
      </c>
      <c r="C35" s="8"/>
      <c r="D35" s="8">
        <v>840</v>
      </c>
      <c r="E35" s="8">
        <v>840</v>
      </c>
    </row>
    <row r="36" spans="1:5" ht="15">
      <c r="A36" t="s">
        <v>1271</v>
      </c>
      <c r="B36" s="7" t="s">
        <v>2301</v>
      </c>
      <c r="C36" s="8">
        <v>1320612.6099999996</v>
      </c>
      <c r="D36" s="8"/>
      <c r="E36" s="8">
        <v>1320612.6099999996</v>
      </c>
    </row>
    <row r="37" spans="1:5" ht="15">
      <c r="A37" t="s">
        <v>1303</v>
      </c>
      <c r="B37" s="7" t="s">
        <v>2302</v>
      </c>
      <c r="C37" s="8">
        <v>89829</v>
      </c>
      <c r="D37" s="8">
        <v>3750</v>
      </c>
      <c r="E37" s="8">
        <v>93579</v>
      </c>
    </row>
    <row r="38" spans="1:5" ht="15">
      <c r="A38" t="s">
        <v>1291</v>
      </c>
      <c r="B38" s="7" t="s">
        <v>2381</v>
      </c>
      <c r="C38" s="8"/>
      <c r="D38" s="8">
        <v>1364</v>
      </c>
      <c r="E38" s="8">
        <v>1364</v>
      </c>
    </row>
    <row r="39" spans="1:5" ht="15">
      <c r="A39" t="s">
        <v>1356</v>
      </c>
      <c r="B39" s="7" t="s">
        <v>2379</v>
      </c>
      <c r="C39" s="8">
        <v>901530.47</v>
      </c>
      <c r="D39" s="8">
        <v>4851.5</v>
      </c>
      <c r="E39" s="8">
        <v>906381.97</v>
      </c>
    </row>
    <row r="40" spans="1:5" ht="15">
      <c r="A40" t="s">
        <v>1244</v>
      </c>
      <c r="B40" s="7" t="s">
        <v>2296</v>
      </c>
      <c r="C40" s="8">
        <v>1177958.6800000002</v>
      </c>
      <c r="D40" s="8">
        <v>15500</v>
      </c>
      <c r="E40" s="8">
        <v>1193458.6800000002</v>
      </c>
    </row>
    <row r="41" spans="1:5" ht="15">
      <c r="A41" t="s">
        <v>1212</v>
      </c>
      <c r="B41" s="7" t="s">
        <v>2378</v>
      </c>
      <c r="C41" s="8">
        <v>1169454.43</v>
      </c>
      <c r="D41" s="8">
        <v>900</v>
      </c>
      <c r="E41" s="8">
        <v>1170354.43</v>
      </c>
    </row>
    <row r="42" spans="1:5" ht="15">
      <c r="A42" t="s">
        <v>1265</v>
      </c>
      <c r="B42" s="7" t="s">
        <v>2299</v>
      </c>
      <c r="C42" s="8">
        <v>1418312.6999999979</v>
      </c>
      <c r="D42" s="8">
        <v>3850</v>
      </c>
      <c r="E42" s="8">
        <v>1422162.6999999979</v>
      </c>
    </row>
    <row r="43" spans="1:5" ht="15">
      <c r="A43" t="s">
        <v>1306</v>
      </c>
      <c r="B43" s="7" t="s">
        <v>2303</v>
      </c>
      <c r="C43" s="8">
        <v>3387502.4399999948</v>
      </c>
      <c r="D43" s="8"/>
      <c r="E43" s="8">
        <v>3387502.4399999948</v>
      </c>
    </row>
    <row r="44" spans="1:5" ht="15">
      <c r="A44" t="s">
        <v>1324</v>
      </c>
      <c r="B44" s="7" t="s">
        <v>2331</v>
      </c>
      <c r="C44" s="8"/>
      <c r="D44" s="8">
        <v>3707.13</v>
      </c>
      <c r="E44" s="8">
        <v>3707.13</v>
      </c>
    </row>
    <row r="45" spans="1:5" ht="15">
      <c r="A45" t="s">
        <v>1285</v>
      </c>
      <c r="B45" s="7" t="s">
        <v>2385</v>
      </c>
      <c r="C45" s="8"/>
      <c r="D45" s="8">
        <v>25561.06</v>
      </c>
      <c r="E45" s="8">
        <v>25561.06</v>
      </c>
    </row>
    <row r="46" spans="1:5" ht="15">
      <c r="A46" t="s">
        <v>1321</v>
      </c>
      <c r="B46" s="7" t="s">
        <v>2386</v>
      </c>
      <c r="C46" s="8"/>
      <c r="D46" s="8">
        <v>0</v>
      </c>
      <c r="E46" s="8">
        <v>0</v>
      </c>
    </row>
    <row r="47" spans="1:5" ht="15">
      <c r="A47" t="s">
        <v>1253</v>
      </c>
      <c r="B47" s="7" t="s">
        <v>2298</v>
      </c>
      <c r="C47" s="8">
        <v>39393.939999999995</v>
      </c>
      <c r="D47" s="8">
        <v>0</v>
      </c>
      <c r="E47" s="8">
        <v>39393.939999999995</v>
      </c>
    </row>
    <row r="48" spans="1:5" ht="15">
      <c r="A48" t="s">
        <v>1241</v>
      </c>
      <c r="B48" s="7" t="s">
        <v>2241</v>
      </c>
      <c r="C48" s="8">
        <v>42133.22</v>
      </c>
      <c r="D48" s="8">
        <v>59700</v>
      </c>
      <c r="E48" s="8">
        <v>101833.22</v>
      </c>
    </row>
    <row r="49" spans="1:5" ht="15">
      <c r="A49" t="s">
        <v>1333</v>
      </c>
      <c r="B49" s="7" t="s">
        <v>2304</v>
      </c>
      <c r="C49" s="8">
        <v>3154495.5200000037</v>
      </c>
      <c r="D49" s="8">
        <v>12915</v>
      </c>
      <c r="E49" s="8">
        <v>3167410.5200000037</v>
      </c>
    </row>
    <row r="50" spans="1:5" ht="15">
      <c r="A50" t="s">
        <v>1327</v>
      </c>
      <c r="B50" s="7" t="s">
        <v>2388</v>
      </c>
      <c r="C50" s="8">
        <v>3180</v>
      </c>
      <c r="D50" s="8">
        <v>7875</v>
      </c>
      <c r="E50" s="8">
        <v>11055</v>
      </c>
    </row>
    <row r="51" spans="1:5" ht="15">
      <c r="A51" t="s">
        <v>1400</v>
      </c>
      <c r="B51" s="7" t="s">
        <v>1727</v>
      </c>
      <c r="C51" s="8">
        <v>6779.6100000000006</v>
      </c>
      <c r="D51" s="8">
        <v>0</v>
      </c>
      <c r="E51" s="8">
        <v>6779.6100000000006</v>
      </c>
    </row>
    <row r="52" spans="1:5" ht="15">
      <c r="A52" t="s">
        <v>1330</v>
      </c>
      <c r="B52" s="7" t="s">
        <v>2387</v>
      </c>
      <c r="C52" s="8">
        <v>1773489.8600000008</v>
      </c>
      <c r="D52" s="8">
        <v>7800</v>
      </c>
      <c r="E52" s="8">
        <v>1781289.8600000008</v>
      </c>
    </row>
    <row r="53" spans="1:5" ht="15">
      <c r="A53" t="s">
        <v>1515</v>
      </c>
      <c r="B53" s="7" t="s">
        <v>2146</v>
      </c>
      <c r="C53" s="8">
        <v>723217.89999999979</v>
      </c>
      <c r="D53" s="8"/>
      <c r="E53" s="8">
        <v>723217.89999999979</v>
      </c>
    </row>
    <row r="54" spans="1:5" ht="15">
      <c r="A54" t="s">
        <v>2326</v>
      </c>
      <c r="B54" s="7" t="s">
        <v>2355</v>
      </c>
      <c r="C54" s="8">
        <v>25197.350000000002</v>
      </c>
      <c r="D54" s="8"/>
      <c r="E54" s="8">
        <v>25197.350000000002</v>
      </c>
    </row>
    <row r="55" spans="1:5" ht="15">
      <c r="A55" t="s">
        <v>2390</v>
      </c>
      <c r="B55" s="7"/>
      <c r="C55" s="8">
        <v>57924305.270000003</v>
      </c>
      <c r="D55" s="8">
        <v>268128.18</v>
      </c>
      <c r="E55" s="8">
        <v>58192433.450000003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88992711234A41B9CD13B3EE0F81BA" ma:contentTypeVersion="1040" ma:contentTypeDescription="Create a new document." ma:contentTypeScope="" ma:versionID="98d8a4c7d801ecb11ea281918c775b83">
  <xsd:schema xmlns:xsd="http://www.w3.org/2001/XMLSchema" xmlns:xs="http://www.w3.org/2001/XMLSchema" xmlns:p="http://schemas.microsoft.com/office/2006/metadata/properties" xmlns:ns1="http://schemas.microsoft.com/sharepoint/v3" xmlns:ns2="ea37a463-b99d-470c-8a85-4153a11441a9" xmlns:ns3="faab177a-4d71-43ef-a49b-5785f1f16e92" xmlns:ns4="d853a810-d2a2-4c28-9ad9-9100c9a22e04" targetNamespace="http://schemas.microsoft.com/office/2006/metadata/properties" ma:root="true" ma:fieldsID="a45491ffb1aea0f42697f04df99469ec" ns1:_="" ns2:_="" ns3:_="" ns4:_="">
    <xsd:import namespace="http://schemas.microsoft.com/sharepoint/v3"/>
    <xsd:import namespace="ea37a463-b99d-470c-8a85-4153a11441a9"/>
    <xsd:import namespace="faab177a-4d71-43ef-a49b-5785f1f16e92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  <xsd:element ref="ns3:Project_x0020_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177a-4d71-43ef-a49b-5785f1f16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Project_x0020_ID" ma:index="20" nillable="true" ma:displayName="Project ID" ma:indexed="true" ma:internalName="Project_x0020_ID">
      <xsd:simpleType>
        <xsd:restriction base="dms:Text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0d03e8e1-8068-4b4c-9c99-812f9c325840}" ma:internalName="TaxCatchAll" ma:showField="CatchAllData" ma:web="ea37a463-b99d-470c-8a85-4153a1144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oject_x0020_ID xmlns="faab177a-4d71-43ef-a49b-5785f1f16e92" xsi:nil="true"/>
    <_dlc_DocId xmlns="ea37a463-b99d-470c-8a85-4153a11441a9">Y2PHC7Y2YW5Y-101495679-23640</_dlc_DocId>
    <_dlc_DocIdUrl xmlns="ea37a463-b99d-470c-8a85-4153a11441a9">
      <Url>https://txhhs.sharepoint.com/sites/hhsc/fs/ra/hs/_layouts/15/DocIdRedir.aspx?ID=Y2PHC7Y2YW5Y-101495679-23640</Url>
      <Description>Y2PHC7Y2YW5Y-101495679-23640</Description>
    </_dlc_DocIdUrl>
    <TaxCatchAll xmlns="d853a810-d2a2-4c28-9ad9-9100c9a22e04" xsi:nil="true"/>
    <lcf76f155ced4ddcb4097134ff3c332f xmlns="faab177a-4d71-43ef-a49b-5785f1f16e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51E4D08-9B8A-41B0-93C8-4C8C1E508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37a463-b99d-470c-8a85-4153a11441a9"/>
    <ds:schemaRef ds:uri="faab177a-4d71-43ef-a49b-5785f1f16e92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BF52C0-7247-4354-8452-13CC4D5A966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A2B05B9-D849-4EC0-8168-A2AFBE0D59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01A2A6-CB31-4CC9-AE2F-23378468A901}">
  <ds:schemaRefs>
    <ds:schemaRef ds:uri="http://schemas.microsoft.com/office/2006/documentManagement/types"/>
    <ds:schemaRef ds:uri="http://purl.org/dc/elements/1.1/"/>
    <ds:schemaRef ds:uri="d853a810-d2a2-4c28-9ad9-9100c9a22e04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aab177a-4d71-43ef-a49b-5785f1f16e92"/>
    <ds:schemaRef ds:uri="ea37a463-b99d-470c-8a85-4153a11441a9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Key</vt:lpstr>
      <vt:lpstr>IGT Commitment Suggestions</vt:lpstr>
      <vt:lpstr>Summary</vt:lpstr>
      <vt:lpstr>90% of ACR</vt:lpstr>
      <vt:lpstr>CHIRP Payment Calc</vt:lpstr>
      <vt:lpstr>FeeCalc</vt:lpstr>
      <vt:lpstr>June IGT</vt:lpstr>
      <vt:lpstr>Final PGY4 AA Payment Summary</vt:lpstr>
      <vt:lpstr>MCO IMD Query from 2021 UPL</vt:lpstr>
      <vt:lpstr>FMAP_StateShr</vt:lpstr>
      <vt:lpstr>MCO_AdminFee</vt:lpstr>
      <vt:lpstr>MCO_PremiumTax</vt:lpstr>
      <vt:lpstr>RiskMargin_STAR</vt:lpstr>
      <vt:lpstr>RiskMargin_STARPLUS</vt:lpstr>
      <vt:lpstr>STAR_Fee</vt:lpstr>
      <vt:lpstr>STARPLUS_Fee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Fine,Mance (HHSC)</dc:creator>
  <cp:lastModifiedBy>Dutcher,James (HHSC)</cp:lastModifiedBy>
  <cp:lastPrinted>2021-01-25T19:40:18Z</cp:lastPrinted>
  <dcterms:created xsi:type="dcterms:W3CDTF">2020-03-02T16:04:44Z</dcterms:created>
  <dcterms:modified xsi:type="dcterms:W3CDTF">2022-11-02T18:12:34Z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926027a2-98eb-4f53-8567-c9d943f6e1c7</vt:lpwstr>
  </property>
  <property fmtid="{D5CDD505-2E9C-101B-9397-08002B2CF9AE}" pid="4" name="MediaServiceImageTags">
    <vt:lpwstr/>
  </property>
</Properties>
</file>