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filterPrivacy="1" defaultThemeVersion="166925"/>
  <xr:revisionPtr revIDLastSave="0" documentId="8_{EA59BBA6-A191-4932-9E06-1AF7FD0F5C48}" xr6:coauthVersionLast="46" xr6:coauthVersionMax="46" xr10:uidLastSave="{00000000-0000-0000-0000-000000000000}"/>
  <bookViews>
    <workbookView xWindow="33990" yWindow="3105" windowWidth="22425" windowHeight="11835" activeTab="2" xr2:uid="{0F0DE5BD-6108-4A07-84B7-90139040C1C0}"/>
  </bookViews>
  <sheets>
    <sheet name="Assumptions" sheetId="42" r:id="rId1"/>
    <sheet name="Final IGT and Payment_Redist" sheetId="48" r:id="rId2"/>
    <sheet name="State Redistribution Calc" sheetId="3" r:id="rId3"/>
    <sheet name="Non-State Redistribution Calc" sheetId="17" r:id="rId4"/>
  </sheets>
  <definedNames>
    <definedName name="_xlnm._FilterDatabase" localSheetId="1" hidden="1">'Final IGT and Payment_Redist'!$A$4:$F$176</definedName>
    <definedName name="_xlnm._FilterDatabase" localSheetId="3" hidden="1">'Non-State Redistribution Calc'!$A$6:$AI$189</definedName>
    <definedName name="_xlnm._FilterDatabase" localSheetId="2" hidden="1">'State Redistribution Calc'!$A$5:$T$19</definedName>
    <definedName name="FedShr_Enhanced">Assumptions!$B$9</definedName>
    <definedName name="FF_NonState">Assumptions!$C$18</definedName>
    <definedName name="FF_Redist">Assumptions!$B$5</definedName>
    <definedName name="FF_State">Assumptions!$B$18</definedName>
    <definedName name="LP_Refunds">Assumptions!$C$21</definedName>
    <definedName name="_xlnm.Print_Area" localSheetId="0">Assumptions!$A$1:$D$22</definedName>
    <definedName name="StateShr_Enhanced">Assumptions!$B$10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F4" i="17" l="1"/>
  <c r="AB16" i="17" l="1"/>
  <c r="AB17" i="17"/>
  <c r="AB18" i="17"/>
  <c r="AB21" i="17"/>
  <c r="AB23" i="17"/>
  <c r="AB24" i="17"/>
  <c r="AB26" i="17"/>
  <c r="AB31" i="17"/>
  <c r="AB33" i="17"/>
  <c r="AB35" i="17"/>
  <c r="AB37" i="17"/>
  <c r="AB43" i="17"/>
  <c r="AB44" i="17"/>
  <c r="AB48" i="17"/>
  <c r="AB54" i="17"/>
  <c r="AB59" i="17"/>
  <c r="AB60" i="17"/>
  <c r="AB61" i="17"/>
  <c r="AB62" i="17"/>
  <c r="AB63" i="17"/>
  <c r="AB66" i="17"/>
  <c r="AB68" i="17"/>
  <c r="AB69" i="17"/>
  <c r="AB73" i="17"/>
  <c r="AB74" i="17"/>
  <c r="AB78" i="17"/>
  <c r="AB79" i="17"/>
  <c r="AB82" i="17"/>
  <c r="AB83" i="17"/>
  <c r="AB84" i="17"/>
  <c r="AB85" i="17"/>
  <c r="AB86" i="17"/>
  <c r="AB87" i="17"/>
  <c r="AB88" i="17"/>
  <c r="AB89" i="17"/>
  <c r="AB90" i="17"/>
  <c r="AB91" i="17"/>
  <c r="AB92" i="17"/>
  <c r="AB95" i="17"/>
  <c r="AB96" i="17"/>
  <c r="AB97" i="17"/>
  <c r="AB98" i="17"/>
  <c r="AB99" i="17"/>
  <c r="AB100" i="17"/>
  <c r="AB101" i="17"/>
  <c r="AB102" i="17"/>
  <c r="AB103" i="17"/>
  <c r="AB105" i="17"/>
  <c r="AB106" i="17"/>
  <c r="AB107" i="17"/>
  <c r="AB108" i="17"/>
  <c r="AB109" i="17"/>
  <c r="AB110" i="17"/>
  <c r="AB112" i="17"/>
  <c r="AB113" i="17"/>
  <c r="AB114" i="17"/>
  <c r="AB115" i="17"/>
  <c r="AB116" i="17"/>
  <c r="AB117" i="17"/>
  <c r="AB118" i="17"/>
  <c r="AB119" i="17"/>
  <c r="AB120" i="17"/>
  <c r="AB121" i="17"/>
  <c r="AB122" i="17"/>
  <c r="AB123" i="17"/>
  <c r="AB124" i="17"/>
  <c r="AB125" i="17"/>
  <c r="AB127" i="17"/>
  <c r="AB128" i="17"/>
  <c r="AB129" i="17"/>
  <c r="AB130" i="17"/>
  <c r="AB131" i="17"/>
  <c r="AB132" i="17"/>
  <c r="AB133" i="17"/>
  <c r="AB134" i="17"/>
  <c r="AB135" i="17"/>
  <c r="AB136" i="17"/>
  <c r="AB137" i="17"/>
  <c r="AB139" i="17"/>
  <c r="AB140" i="17"/>
  <c r="AB141" i="17"/>
  <c r="AB142" i="17"/>
  <c r="AB143" i="17"/>
  <c r="AB144" i="17"/>
  <c r="AB145" i="17"/>
  <c r="AB146" i="17"/>
  <c r="AB147" i="17"/>
  <c r="AB148" i="17"/>
  <c r="AB149" i="17"/>
  <c r="AB150" i="17"/>
  <c r="AB151" i="17"/>
  <c r="AB152" i="17"/>
  <c r="AB153" i="17"/>
  <c r="AB154" i="17"/>
  <c r="AB156" i="17"/>
  <c r="AB157" i="17"/>
  <c r="AB158" i="17"/>
  <c r="AB159" i="17"/>
  <c r="AB160" i="17"/>
  <c r="AB161" i="17"/>
  <c r="AB162" i="17"/>
  <c r="AB163" i="17"/>
  <c r="AB164" i="17"/>
  <c r="AB165" i="17"/>
  <c r="AB166" i="17"/>
  <c r="AB167" i="17"/>
  <c r="AB168" i="17"/>
  <c r="AB169" i="17"/>
  <c r="AB170" i="17"/>
  <c r="AB171" i="17"/>
  <c r="AB172" i="17"/>
  <c r="AB173" i="17"/>
  <c r="AB174" i="17"/>
  <c r="AB176" i="17"/>
  <c r="AB177" i="17"/>
  <c r="AB179" i="17"/>
  <c r="AB180" i="17"/>
  <c r="AB181" i="17"/>
  <c r="AB182" i="17"/>
  <c r="AB183" i="17"/>
  <c r="AB185" i="17"/>
  <c r="AB186" i="17"/>
  <c r="AB2" i="17" l="1"/>
  <c r="P2" i="3" l="1"/>
  <c r="P1" i="3"/>
  <c r="P3" i="3"/>
  <c r="B10" i="42" l="1"/>
  <c r="C6" i="48"/>
  <c r="C7" i="48"/>
  <c r="C8" i="48"/>
  <c r="C9" i="48"/>
  <c r="C10" i="48"/>
  <c r="C11" i="48"/>
  <c r="C12" i="48"/>
  <c r="C13" i="48"/>
  <c r="C14" i="48"/>
  <c r="C15" i="48"/>
  <c r="C16" i="48"/>
  <c r="C17" i="48"/>
  <c r="C18" i="48"/>
  <c r="C19" i="48"/>
  <c r="C20" i="48"/>
  <c r="C21" i="48"/>
  <c r="C22" i="48"/>
  <c r="C23" i="48"/>
  <c r="C24" i="48"/>
  <c r="C25" i="48"/>
  <c r="C26" i="48"/>
  <c r="C27" i="48"/>
  <c r="C28" i="48"/>
  <c r="C29" i="48"/>
  <c r="C30" i="48"/>
  <c r="C31" i="48"/>
  <c r="C32" i="48"/>
  <c r="C33" i="48"/>
  <c r="C34" i="48"/>
  <c r="C35" i="48"/>
  <c r="C36" i="48"/>
  <c r="C37" i="48"/>
  <c r="C38" i="48"/>
  <c r="C39" i="48"/>
  <c r="C40" i="48"/>
  <c r="C41" i="48"/>
  <c r="C42" i="48"/>
  <c r="C43" i="48"/>
  <c r="C44" i="48"/>
  <c r="C45" i="48"/>
  <c r="C46" i="48"/>
  <c r="C47" i="48"/>
  <c r="C48" i="48"/>
  <c r="C49" i="48"/>
  <c r="C50" i="48"/>
  <c r="C51" i="48"/>
  <c r="C52" i="48"/>
  <c r="C53" i="48"/>
  <c r="C54" i="48"/>
  <c r="C55" i="48"/>
  <c r="C56" i="48"/>
  <c r="C57" i="48"/>
  <c r="C58" i="48"/>
  <c r="C59" i="48"/>
  <c r="C60" i="48"/>
  <c r="C61" i="48"/>
  <c r="C62" i="48"/>
  <c r="C63" i="48"/>
  <c r="C64" i="48"/>
  <c r="C65" i="48"/>
  <c r="C66" i="48"/>
  <c r="C67" i="48"/>
  <c r="C68" i="48"/>
  <c r="C69" i="48"/>
  <c r="C70" i="48"/>
  <c r="C71" i="48"/>
  <c r="C72" i="48"/>
  <c r="C73" i="48"/>
  <c r="C74" i="48"/>
  <c r="C75" i="48"/>
  <c r="C76" i="48"/>
  <c r="C77" i="48"/>
  <c r="C78" i="48"/>
  <c r="C79" i="48"/>
  <c r="C80" i="48"/>
  <c r="C81" i="48"/>
  <c r="C82" i="48"/>
  <c r="C83" i="48"/>
  <c r="C84" i="48"/>
  <c r="C85" i="48"/>
  <c r="C86" i="48"/>
  <c r="C87" i="48"/>
  <c r="C88" i="48"/>
  <c r="C89" i="48"/>
  <c r="C90" i="48"/>
  <c r="C91" i="48"/>
  <c r="C92" i="48"/>
  <c r="C93" i="48"/>
  <c r="C94" i="48"/>
  <c r="C95" i="48"/>
  <c r="C96" i="48"/>
  <c r="C97" i="48"/>
  <c r="C98" i="48"/>
  <c r="C99" i="48"/>
  <c r="C100" i="48"/>
  <c r="C101" i="48"/>
  <c r="C102" i="48"/>
  <c r="C103" i="48"/>
  <c r="C104" i="48"/>
  <c r="C105" i="48"/>
  <c r="C106" i="48"/>
  <c r="C107" i="48"/>
  <c r="C108" i="48"/>
  <c r="C109" i="48"/>
  <c r="C110" i="48"/>
  <c r="C111" i="48"/>
  <c r="C112" i="48"/>
  <c r="C113" i="48"/>
  <c r="C114" i="48"/>
  <c r="C115" i="48"/>
  <c r="C116" i="48"/>
  <c r="C117" i="48"/>
  <c r="C118" i="48"/>
  <c r="C119" i="48"/>
  <c r="C120" i="48"/>
  <c r="C121" i="48"/>
  <c r="C122" i="48"/>
  <c r="C123" i="48"/>
  <c r="C124" i="48"/>
  <c r="C125" i="48"/>
  <c r="C126" i="48"/>
  <c r="C127" i="48"/>
  <c r="C128" i="48"/>
  <c r="C129" i="48"/>
  <c r="C130" i="48"/>
  <c r="C131" i="48"/>
  <c r="C132" i="48"/>
  <c r="C133" i="48"/>
  <c r="C134" i="48"/>
  <c r="C135" i="48"/>
  <c r="C136" i="48"/>
  <c r="C137" i="48"/>
  <c r="C138" i="48"/>
  <c r="C139" i="48"/>
  <c r="C140" i="48"/>
  <c r="C141" i="48"/>
  <c r="C142" i="48"/>
  <c r="C143" i="48"/>
  <c r="C144" i="48"/>
  <c r="C145" i="48"/>
  <c r="C146" i="48"/>
  <c r="C147" i="48"/>
  <c r="C148" i="48"/>
  <c r="C149" i="48"/>
  <c r="C150" i="48"/>
  <c r="C151" i="48"/>
  <c r="C152" i="48"/>
  <c r="C153" i="48"/>
  <c r="C154" i="48"/>
  <c r="C155" i="48"/>
  <c r="C156" i="48"/>
  <c r="C157" i="48"/>
  <c r="C158" i="48"/>
  <c r="C159" i="48"/>
  <c r="C160" i="48"/>
  <c r="C161" i="48"/>
  <c r="C162" i="48"/>
  <c r="C163" i="48"/>
  <c r="C164" i="48"/>
  <c r="C165" i="48"/>
  <c r="C166" i="48"/>
  <c r="C167" i="48"/>
  <c r="C168" i="48"/>
  <c r="C169" i="48"/>
  <c r="C170" i="48"/>
  <c r="C171" i="48"/>
  <c r="C172" i="48"/>
  <c r="C173" i="48"/>
  <c r="C174" i="48"/>
  <c r="C175" i="48"/>
  <c r="C176" i="48"/>
  <c r="C5" i="48"/>
  <c r="B6" i="42" l="1"/>
  <c r="U3" i="17" l="1"/>
  <c r="L3" i="17"/>
  <c r="L4" i="17"/>
  <c r="L1" i="17"/>
  <c r="L2" i="17"/>
  <c r="U2" i="17"/>
  <c r="U1" i="17"/>
  <c r="U4" i="17"/>
  <c r="N37" i="17" l="1"/>
  <c r="N26" i="17"/>
  <c r="N186" i="17"/>
  <c r="N43" i="17"/>
  <c r="N181" i="17"/>
  <c r="N74" i="17"/>
  <c r="N48" i="17"/>
  <c r="O48" i="17" s="1"/>
  <c r="N177" i="17"/>
  <c r="O177" i="17" s="1"/>
  <c r="N171" i="17"/>
  <c r="N90" i="17"/>
  <c r="N173" i="17"/>
  <c r="N185" i="17"/>
  <c r="N172" i="17"/>
  <c r="N54" i="17"/>
  <c r="N7" i="17"/>
  <c r="N174" i="17"/>
  <c r="N179" i="17"/>
  <c r="N8" i="17"/>
  <c r="N178" i="17"/>
  <c r="N182" i="17"/>
  <c r="N180" i="17"/>
  <c r="N176" i="17"/>
  <c r="O174" i="17" l="1"/>
  <c r="O179" i="17"/>
  <c r="O54" i="17"/>
  <c r="M3" i="17"/>
  <c r="K3" i="17"/>
  <c r="H1" i="3"/>
  <c r="H3" i="3"/>
  <c r="H2" i="3"/>
  <c r="O182" i="17"/>
  <c r="O26" i="17"/>
  <c r="O172" i="17"/>
  <c r="O176" i="17"/>
  <c r="O171" i="17"/>
  <c r="O185" i="17"/>
  <c r="O173" i="17"/>
  <c r="O181" i="17"/>
  <c r="O37" i="17"/>
  <c r="O43" i="17"/>
  <c r="K4" i="17"/>
  <c r="K1" i="17"/>
  <c r="O90" i="17"/>
  <c r="K2" i="17"/>
  <c r="O178" i="17"/>
  <c r="O186" i="17"/>
  <c r="O180" i="17"/>
  <c r="O74" i="17"/>
  <c r="N95" i="17"/>
  <c r="O95" i="17" s="1"/>
  <c r="N31" i="17"/>
  <c r="O31" i="17" s="1"/>
  <c r="N150" i="17"/>
  <c r="O150" i="17" s="1"/>
  <c r="N86" i="17"/>
  <c r="O86" i="17" s="1"/>
  <c r="N22" i="17"/>
  <c r="O22" i="17" s="1"/>
  <c r="N141" i="17"/>
  <c r="O141" i="17" s="1"/>
  <c r="N77" i="17"/>
  <c r="O77" i="17" s="1"/>
  <c r="N132" i="17"/>
  <c r="O132" i="17" s="1"/>
  <c r="N68" i="17"/>
  <c r="O68" i="17" s="1"/>
  <c r="N123" i="17"/>
  <c r="O123" i="17" s="1"/>
  <c r="N59" i="17"/>
  <c r="O59" i="17" s="1"/>
  <c r="N114" i="17"/>
  <c r="O114" i="17" s="1"/>
  <c r="N50" i="17"/>
  <c r="O50" i="17" s="1"/>
  <c r="N121" i="17"/>
  <c r="O121" i="17" s="1"/>
  <c r="N112" i="17"/>
  <c r="O112" i="17" s="1"/>
  <c r="N103" i="17"/>
  <c r="O103" i="17" s="1"/>
  <c r="N158" i="17"/>
  <c r="O158" i="17" s="1"/>
  <c r="N85" i="17"/>
  <c r="O85" i="17" s="1"/>
  <c r="N140" i="17"/>
  <c r="O140" i="17" s="1"/>
  <c r="N113" i="17"/>
  <c r="O113" i="17" s="1"/>
  <c r="N104" i="17"/>
  <c r="O104" i="17" s="1"/>
  <c r="N159" i="17"/>
  <c r="O159" i="17" s="1"/>
  <c r="N105" i="17"/>
  <c r="O105" i="17" s="1"/>
  <c r="N41" i="17"/>
  <c r="O41" i="17" s="1"/>
  <c r="N160" i="17"/>
  <c r="O160" i="17" s="1"/>
  <c r="N96" i="17"/>
  <c r="O96" i="17" s="1"/>
  <c r="N32" i="17"/>
  <c r="O32" i="17" s="1"/>
  <c r="N151" i="17"/>
  <c r="O151" i="17" s="1"/>
  <c r="N87" i="17"/>
  <c r="O87" i="17" s="1"/>
  <c r="N23" i="17"/>
  <c r="O23" i="17" s="1"/>
  <c r="N142" i="17"/>
  <c r="O142" i="17" s="1"/>
  <c r="N78" i="17"/>
  <c r="O78" i="17" s="1"/>
  <c r="N14" i="17"/>
  <c r="O14" i="17" s="1"/>
  <c r="N133" i="17"/>
  <c r="O133" i="17" s="1"/>
  <c r="N69" i="17"/>
  <c r="O69" i="17" s="1"/>
  <c r="N124" i="17"/>
  <c r="O124" i="17" s="1"/>
  <c r="N60" i="17"/>
  <c r="O60" i="17" s="1"/>
  <c r="N115" i="17"/>
  <c r="O115" i="17" s="1"/>
  <c r="N51" i="17"/>
  <c r="O51" i="17" s="1"/>
  <c r="N106" i="17"/>
  <c r="O106" i="17" s="1"/>
  <c r="N42" i="17"/>
  <c r="O42" i="17" s="1"/>
  <c r="N57" i="17"/>
  <c r="O57" i="17" s="1"/>
  <c r="N183" i="17"/>
  <c r="O183" i="17" s="1"/>
  <c r="N167" i="17"/>
  <c r="O167" i="17" s="1"/>
  <c r="N30" i="17"/>
  <c r="O30" i="17" s="1"/>
  <c r="N149" i="17"/>
  <c r="O149" i="17" s="1"/>
  <c r="N21" i="17"/>
  <c r="O21" i="17" s="1"/>
  <c r="N49" i="17"/>
  <c r="O49" i="17" s="1"/>
  <c r="N168" i="17"/>
  <c r="O168" i="17" s="1"/>
  <c r="N40" i="17"/>
  <c r="O40" i="17" s="1"/>
  <c r="N169" i="17"/>
  <c r="O169" i="17" s="1"/>
  <c r="N161" i="17"/>
  <c r="O161" i="17" s="1"/>
  <c r="N97" i="17"/>
  <c r="O97" i="17" s="1"/>
  <c r="N33" i="17"/>
  <c r="O33" i="17" s="1"/>
  <c r="N152" i="17"/>
  <c r="O152" i="17" s="1"/>
  <c r="N88" i="17"/>
  <c r="O88" i="17" s="1"/>
  <c r="N24" i="17"/>
  <c r="O24" i="17" s="1"/>
  <c r="N143" i="17"/>
  <c r="O143" i="17" s="1"/>
  <c r="N79" i="17"/>
  <c r="O79" i="17" s="1"/>
  <c r="N15" i="17"/>
  <c r="O15" i="17" s="1"/>
  <c r="N134" i="17"/>
  <c r="O134" i="17" s="1"/>
  <c r="N70" i="17"/>
  <c r="O70" i="17" s="1"/>
  <c r="N125" i="17"/>
  <c r="O125" i="17" s="1"/>
  <c r="N61" i="17"/>
  <c r="O61" i="17" s="1"/>
  <c r="N116" i="17"/>
  <c r="O116" i="17" s="1"/>
  <c r="N52" i="17"/>
  <c r="O52" i="17" s="1"/>
  <c r="N107" i="17"/>
  <c r="O107" i="17" s="1"/>
  <c r="N170" i="17"/>
  <c r="O170" i="17" s="1"/>
  <c r="N162" i="17"/>
  <c r="O162" i="17" s="1"/>
  <c r="N98" i="17"/>
  <c r="O98" i="17" s="1"/>
  <c r="N34" i="17"/>
  <c r="O34" i="17" s="1"/>
  <c r="N89" i="17"/>
  <c r="O89" i="17" s="1"/>
  <c r="N71" i="17"/>
  <c r="O71" i="17" s="1"/>
  <c r="N53" i="17"/>
  <c r="O53" i="17" s="1"/>
  <c r="N189" i="17"/>
  <c r="O189" i="17" s="1"/>
  <c r="N44" i="17"/>
  <c r="O44" i="17" s="1"/>
  <c r="N163" i="17"/>
  <c r="O163" i="17" s="1"/>
  <c r="N99" i="17"/>
  <c r="O99" i="17" s="1"/>
  <c r="N35" i="17"/>
  <c r="O35" i="17" s="1"/>
  <c r="N154" i="17"/>
  <c r="O154" i="17" s="1"/>
  <c r="N187" i="17"/>
  <c r="O187" i="17" s="1"/>
  <c r="N175" i="17"/>
  <c r="O175" i="17" s="1"/>
  <c r="N153" i="17"/>
  <c r="O153" i="17" s="1"/>
  <c r="N25" i="17"/>
  <c r="O25" i="17" s="1"/>
  <c r="N80" i="17"/>
  <c r="O80" i="17" s="1"/>
  <c r="N135" i="17"/>
  <c r="O135" i="17" s="1"/>
  <c r="N126" i="17"/>
  <c r="O126" i="17" s="1"/>
  <c r="N62" i="17"/>
  <c r="O62" i="17" s="1"/>
  <c r="N117" i="17"/>
  <c r="O117" i="17" s="1"/>
  <c r="N145" i="17"/>
  <c r="O145" i="17" s="1"/>
  <c r="N81" i="17"/>
  <c r="O81" i="17" s="1"/>
  <c r="N17" i="17"/>
  <c r="O17" i="17" s="1"/>
  <c r="N136" i="17"/>
  <c r="O136" i="17" s="1"/>
  <c r="N72" i="17"/>
  <c r="O72" i="17" s="1"/>
  <c r="O8" i="17"/>
  <c r="N127" i="17"/>
  <c r="O127" i="17" s="1"/>
  <c r="N63" i="17"/>
  <c r="O63" i="17" s="1"/>
  <c r="N118" i="17"/>
  <c r="O118" i="17" s="1"/>
  <c r="N188" i="17"/>
  <c r="O188" i="17" s="1"/>
  <c r="N109" i="17"/>
  <c r="O109" i="17" s="1"/>
  <c r="N45" i="17"/>
  <c r="O45" i="17" s="1"/>
  <c r="N164" i="17"/>
  <c r="O164" i="17" s="1"/>
  <c r="N100" i="17"/>
  <c r="O100" i="17" s="1"/>
  <c r="N36" i="17"/>
  <c r="O36" i="17" s="1"/>
  <c r="N155" i="17"/>
  <c r="O155" i="17" s="1"/>
  <c r="N91" i="17"/>
  <c r="O91" i="17" s="1"/>
  <c r="N27" i="17"/>
  <c r="O27" i="17" s="1"/>
  <c r="N146" i="17"/>
  <c r="O146" i="17" s="1"/>
  <c r="N82" i="17"/>
  <c r="O82" i="17" s="1"/>
  <c r="N18" i="17"/>
  <c r="O18" i="17" s="1"/>
  <c r="N55" i="17"/>
  <c r="O55" i="17" s="1"/>
  <c r="N110" i="17"/>
  <c r="O110" i="17" s="1"/>
  <c r="N46" i="17"/>
  <c r="O46" i="17" s="1"/>
  <c r="N165" i="17"/>
  <c r="O165" i="17" s="1"/>
  <c r="N101" i="17"/>
  <c r="O101" i="17" s="1"/>
  <c r="N108" i="17"/>
  <c r="O108" i="17" s="1"/>
  <c r="N156" i="17"/>
  <c r="O156" i="17" s="1"/>
  <c r="N92" i="17"/>
  <c r="O92" i="17" s="1"/>
  <c r="N184" i="17"/>
  <c r="O184" i="17" s="1"/>
  <c r="N147" i="17"/>
  <c r="O147" i="17" s="1"/>
  <c r="N83" i="17"/>
  <c r="O83" i="17" s="1"/>
  <c r="N19" i="17"/>
  <c r="O19" i="17" s="1"/>
  <c r="N138" i="17"/>
  <c r="O138" i="17" s="1"/>
  <c r="N28" i="17"/>
  <c r="O28" i="17" s="1"/>
  <c r="N10" i="17"/>
  <c r="O10" i="17" s="1"/>
  <c r="N144" i="17"/>
  <c r="O144" i="17" s="1"/>
  <c r="N137" i="17"/>
  <c r="O137" i="17" s="1"/>
  <c r="N73" i="17"/>
  <c r="O73" i="17" s="1"/>
  <c r="N9" i="17"/>
  <c r="O9" i="17" s="1"/>
  <c r="N128" i="17"/>
  <c r="O128" i="17" s="1"/>
  <c r="N64" i="17"/>
  <c r="O64" i="17" s="1"/>
  <c r="N119" i="17"/>
  <c r="O119" i="17" s="1"/>
  <c r="N129" i="17"/>
  <c r="O129" i="17" s="1"/>
  <c r="N65" i="17"/>
  <c r="O65" i="17" s="1"/>
  <c r="N120" i="17"/>
  <c r="O120" i="17" s="1"/>
  <c r="N56" i="17"/>
  <c r="O56" i="17" s="1"/>
  <c r="N111" i="17"/>
  <c r="O111" i="17" s="1"/>
  <c r="N47" i="17"/>
  <c r="O47" i="17" s="1"/>
  <c r="N166" i="17"/>
  <c r="O166" i="17" s="1"/>
  <c r="N102" i="17"/>
  <c r="O102" i="17" s="1"/>
  <c r="N38" i="17"/>
  <c r="O38" i="17" s="1"/>
  <c r="N157" i="17"/>
  <c r="O157" i="17" s="1"/>
  <c r="N93" i="17"/>
  <c r="O93" i="17" s="1"/>
  <c r="N29" i="17"/>
  <c r="O29" i="17" s="1"/>
  <c r="N148" i="17"/>
  <c r="O148" i="17" s="1"/>
  <c r="N84" i="17"/>
  <c r="O84" i="17" s="1"/>
  <c r="N20" i="17"/>
  <c r="O20" i="17" s="1"/>
  <c r="N139" i="17"/>
  <c r="O139" i="17" s="1"/>
  <c r="N75" i="17"/>
  <c r="O75" i="17" s="1"/>
  <c r="N11" i="17"/>
  <c r="O11" i="17" s="1"/>
  <c r="N130" i="17"/>
  <c r="O130" i="17" s="1"/>
  <c r="N66" i="17"/>
  <c r="O66" i="17" s="1"/>
  <c r="N39" i="17"/>
  <c r="O39" i="17" s="1"/>
  <c r="N94" i="17"/>
  <c r="O94" i="17" s="1"/>
  <c r="N76" i="17"/>
  <c r="O76" i="17" s="1"/>
  <c r="N12" i="17"/>
  <c r="O12" i="17" s="1"/>
  <c r="N131" i="17"/>
  <c r="O131" i="17" s="1"/>
  <c r="N67" i="17"/>
  <c r="O67" i="17" s="1"/>
  <c r="N122" i="17"/>
  <c r="O122" i="17" s="1"/>
  <c r="N58" i="17"/>
  <c r="O58" i="17" s="1"/>
  <c r="N13" i="17"/>
  <c r="N16" i="17"/>
  <c r="M2" i="17"/>
  <c r="M1" i="17"/>
  <c r="M4" i="17"/>
  <c r="N3" i="17" l="1"/>
  <c r="O7" i="17"/>
  <c r="N4" i="17"/>
  <c r="N1" i="17"/>
  <c r="O16" i="17"/>
  <c r="O2" i="17" s="1"/>
  <c r="N2" i="17"/>
  <c r="O13" i="17"/>
  <c r="O3" i="17" s="1"/>
  <c r="O1" i="17" l="1"/>
  <c r="O4" i="17"/>
  <c r="I7" i="3" l="1"/>
  <c r="I8" i="3"/>
  <c r="I9" i="3"/>
  <c r="I10" i="3"/>
  <c r="I11" i="3"/>
  <c r="I12" i="3"/>
  <c r="I13" i="3"/>
  <c r="I14" i="3"/>
  <c r="I15" i="3"/>
  <c r="I16" i="3"/>
  <c r="I17" i="3"/>
  <c r="I18" i="3"/>
  <c r="I19" i="3"/>
  <c r="I6" i="3"/>
  <c r="J19" i="3" l="1"/>
  <c r="K19" i="3" s="1"/>
  <c r="J10" i="3"/>
  <c r="K10" i="3" s="1"/>
  <c r="J9" i="3"/>
  <c r="K9" i="3" s="1"/>
  <c r="J16" i="3"/>
  <c r="K16" i="3" s="1"/>
  <c r="J8" i="3"/>
  <c r="K8" i="3" s="1"/>
  <c r="J15" i="3"/>
  <c r="K15" i="3" s="1"/>
  <c r="J13" i="3"/>
  <c r="K13" i="3" s="1"/>
  <c r="J6" i="3"/>
  <c r="K6" i="3" s="1"/>
  <c r="V144" i="17"/>
  <c r="V152" i="17"/>
  <c r="V160" i="17"/>
  <c r="V168" i="17"/>
  <c r="V178" i="17"/>
  <c r="V145" i="17"/>
  <c r="V161" i="17"/>
  <c r="V169" i="17"/>
  <c r="V180" i="17"/>
  <c r="V176" i="17"/>
  <c r="V7" i="17"/>
  <c r="V138" i="17"/>
  <c r="V146" i="17"/>
  <c r="V154" i="17"/>
  <c r="V162" i="17"/>
  <c r="V37" i="17"/>
  <c r="V26" i="17"/>
  <c r="V139" i="17"/>
  <c r="V147" i="17"/>
  <c r="V163" i="17"/>
  <c r="V43" i="17"/>
  <c r="V181" i="17"/>
  <c r="V74" i="17"/>
  <c r="V123" i="17"/>
  <c r="V51" i="17"/>
  <c r="V83" i="17"/>
  <c r="V115" i="17"/>
  <c r="V140" i="17"/>
  <c r="V148" i="17"/>
  <c r="V156" i="17"/>
  <c r="V164" i="17"/>
  <c r="V48" i="17"/>
  <c r="V177" i="17"/>
  <c r="V59" i="17"/>
  <c r="V141" i="17"/>
  <c r="V157" i="17"/>
  <c r="V165" i="17"/>
  <c r="V90" i="17"/>
  <c r="V173" i="17"/>
  <c r="V185" i="17"/>
  <c r="V91" i="17"/>
  <c r="R6" i="3"/>
  <c r="J7" i="3"/>
  <c r="K7" i="3" s="1"/>
  <c r="J11" i="3"/>
  <c r="K11" i="3" s="1"/>
  <c r="J14" i="3"/>
  <c r="K14" i="3" s="1"/>
  <c r="J12" i="3"/>
  <c r="K12" i="3" s="1"/>
  <c r="J18" i="3"/>
  <c r="K18" i="3" s="1"/>
  <c r="J17" i="3"/>
  <c r="K17" i="3" s="1"/>
  <c r="I3" i="3"/>
  <c r="I2" i="3"/>
  <c r="I1" i="3"/>
  <c r="G2" i="3"/>
  <c r="Q2" i="3"/>
  <c r="Q1" i="3"/>
  <c r="G1" i="3"/>
  <c r="Q3" i="3"/>
  <c r="G3" i="3"/>
  <c r="S6" i="3" l="1"/>
  <c r="T6" i="3" s="1"/>
  <c r="R10" i="3"/>
  <c r="S10" i="3" s="1"/>
  <c r="T10" i="3" s="1"/>
  <c r="V186" i="17"/>
  <c r="R18" i="3"/>
  <c r="S18" i="3" s="1"/>
  <c r="V149" i="17"/>
  <c r="V171" i="17"/>
  <c r="V155" i="17"/>
  <c r="V172" i="17"/>
  <c r="W172" i="17" s="1"/>
  <c r="V150" i="17"/>
  <c r="V118" i="17"/>
  <c r="V166" i="17"/>
  <c r="V182" i="17"/>
  <c r="V67" i="17"/>
  <c r="V151" i="17"/>
  <c r="V81" i="17"/>
  <c r="V17" i="17"/>
  <c r="V120" i="17"/>
  <c r="V56" i="17"/>
  <c r="V95" i="17"/>
  <c r="V31" i="17"/>
  <c r="V117" i="17"/>
  <c r="V53" i="17"/>
  <c r="V92" i="17"/>
  <c r="V184" i="17"/>
  <c r="V35" i="17"/>
  <c r="V28" i="17"/>
  <c r="V10" i="17"/>
  <c r="V86" i="17"/>
  <c r="V158" i="17"/>
  <c r="V30" i="17"/>
  <c r="V143" i="17"/>
  <c r="V137" i="17"/>
  <c r="V73" i="17"/>
  <c r="V9" i="17"/>
  <c r="V112" i="17"/>
  <c r="V183" i="17"/>
  <c r="V87" i="17"/>
  <c r="V23" i="17"/>
  <c r="V109" i="17"/>
  <c r="V45" i="17"/>
  <c r="V84" i="17"/>
  <c r="V20" i="17"/>
  <c r="V27" i="17"/>
  <c r="V130" i="17"/>
  <c r="V66" i="17"/>
  <c r="V188" i="17"/>
  <c r="V110" i="17"/>
  <c r="V153" i="17"/>
  <c r="V126" i="17"/>
  <c r="V129" i="17"/>
  <c r="V65" i="17"/>
  <c r="V104" i="17"/>
  <c r="V40" i="17"/>
  <c r="V79" i="17"/>
  <c r="V15" i="17"/>
  <c r="V101" i="17"/>
  <c r="V108" i="17"/>
  <c r="V76" i="17"/>
  <c r="V12" i="17"/>
  <c r="V19" i="17"/>
  <c r="V122" i="17"/>
  <c r="V58" i="17"/>
  <c r="V54" i="17"/>
  <c r="W54" i="17" s="1"/>
  <c r="V14" i="17"/>
  <c r="V78" i="17"/>
  <c r="V94" i="17"/>
  <c r="V121" i="17"/>
  <c r="V57" i="17"/>
  <c r="V96" i="17"/>
  <c r="V32" i="17"/>
  <c r="V135" i="17"/>
  <c r="V71" i="17"/>
  <c r="V93" i="17"/>
  <c r="V29" i="17"/>
  <c r="V132" i="17"/>
  <c r="V68" i="17"/>
  <c r="V11" i="17"/>
  <c r="V114" i="17"/>
  <c r="V50" i="17"/>
  <c r="V142" i="17"/>
  <c r="V46" i="17"/>
  <c r="V107" i="17"/>
  <c r="V134" i="17"/>
  <c r="V179" i="17"/>
  <c r="V62" i="17"/>
  <c r="V113" i="17"/>
  <c r="V49" i="17"/>
  <c r="V88" i="17"/>
  <c r="V24" i="17"/>
  <c r="V127" i="17"/>
  <c r="V63" i="17"/>
  <c r="V85" i="17"/>
  <c r="V21" i="17"/>
  <c r="V124" i="17"/>
  <c r="V60" i="17"/>
  <c r="V106" i="17"/>
  <c r="V42" i="17"/>
  <c r="V75" i="17"/>
  <c r="V102" i="17"/>
  <c r="V174" i="17"/>
  <c r="V22" i="17"/>
  <c r="V105" i="17"/>
  <c r="V41" i="17"/>
  <c r="V80" i="17"/>
  <c r="V16" i="17"/>
  <c r="V119" i="17"/>
  <c r="V55" i="17"/>
  <c r="V77" i="17"/>
  <c r="V13" i="17"/>
  <c r="V116" i="17"/>
  <c r="V52" i="17"/>
  <c r="V98" i="17"/>
  <c r="V34" i="17"/>
  <c r="V170" i="17"/>
  <c r="V70" i="17"/>
  <c r="V131" i="17"/>
  <c r="V167" i="17"/>
  <c r="V97" i="17"/>
  <c r="V33" i="17"/>
  <c r="V136" i="17"/>
  <c r="V72" i="17"/>
  <c r="V8" i="17"/>
  <c r="V111" i="17"/>
  <c r="V47" i="17"/>
  <c r="V133" i="17"/>
  <c r="V69" i="17"/>
  <c r="V189" i="17"/>
  <c r="V44" i="17"/>
  <c r="V187" i="17"/>
  <c r="V175" i="17"/>
  <c r="V38" i="17"/>
  <c r="V99" i="17"/>
  <c r="V159" i="17"/>
  <c r="V89" i="17"/>
  <c r="V25" i="17"/>
  <c r="V128" i="17"/>
  <c r="V64" i="17"/>
  <c r="V103" i="17"/>
  <c r="V39" i="17"/>
  <c r="V125" i="17"/>
  <c r="V61" i="17"/>
  <c r="V100" i="17"/>
  <c r="V36" i="17"/>
  <c r="V82" i="17"/>
  <c r="V18" i="17"/>
  <c r="F2" i="3"/>
  <c r="R15" i="3"/>
  <c r="S15" i="3" s="1"/>
  <c r="T15" i="3" s="1"/>
  <c r="R16" i="3"/>
  <c r="S16" i="3" s="1"/>
  <c r="T16" i="3" s="1"/>
  <c r="R11" i="3"/>
  <c r="S11" i="3" s="1"/>
  <c r="T11" i="3" s="1"/>
  <c r="R19" i="3"/>
  <c r="R12" i="3"/>
  <c r="S12" i="3" s="1"/>
  <c r="T12" i="3" s="1"/>
  <c r="R14" i="3"/>
  <c r="S14" i="3" s="1"/>
  <c r="T14" i="3" s="1"/>
  <c r="R7" i="3"/>
  <c r="R8" i="3"/>
  <c r="S8" i="3" s="1"/>
  <c r="T8" i="3" s="1"/>
  <c r="R9" i="3"/>
  <c r="S9" i="3" s="1"/>
  <c r="T9" i="3" s="1"/>
  <c r="R17" i="3"/>
  <c r="S17" i="3" s="1"/>
  <c r="T17" i="3" s="1"/>
  <c r="R13" i="3"/>
  <c r="S13" i="3" s="1"/>
  <c r="T13" i="3" s="1"/>
  <c r="Q3" i="17"/>
  <c r="R3" i="17"/>
  <c r="T3" i="17"/>
  <c r="S3" i="17"/>
  <c r="P3" i="17"/>
  <c r="W74" i="17"/>
  <c r="W43" i="17"/>
  <c r="W181" i="17"/>
  <c r="W171" i="17"/>
  <c r="W176" i="17"/>
  <c r="W178" i="17"/>
  <c r="W173" i="17"/>
  <c r="W48" i="17"/>
  <c r="W177" i="17"/>
  <c r="F1" i="3"/>
  <c r="F3" i="3"/>
  <c r="L2" i="3"/>
  <c r="M3" i="3"/>
  <c r="N2" i="3"/>
  <c r="N1" i="3"/>
  <c r="N3" i="3"/>
  <c r="Q2" i="17"/>
  <c r="T4" i="17"/>
  <c r="T1" i="17"/>
  <c r="T2" i="17"/>
  <c r="Q4" i="17"/>
  <c r="Q1" i="17"/>
  <c r="L3" i="3"/>
  <c r="L1" i="3"/>
  <c r="M1" i="3"/>
  <c r="M2" i="3"/>
  <c r="S4" i="17"/>
  <c r="S1" i="17"/>
  <c r="S2" i="17"/>
  <c r="O2" i="3"/>
  <c r="O3" i="3"/>
  <c r="O1" i="3"/>
  <c r="P4" i="17"/>
  <c r="P1" i="17"/>
  <c r="P2" i="17"/>
  <c r="R4" i="17"/>
  <c r="R1" i="17"/>
  <c r="R2" i="17"/>
  <c r="J2" i="3"/>
  <c r="J3" i="3"/>
  <c r="J1" i="3"/>
  <c r="T18" i="3" l="1"/>
  <c r="E9" i="48"/>
  <c r="E11" i="48"/>
  <c r="S7" i="3"/>
  <c r="T7" i="3" s="1"/>
  <c r="S19" i="3"/>
  <c r="T19" i="3" s="1"/>
  <c r="F10" i="48" s="1"/>
  <c r="W7" i="17"/>
  <c r="V3" i="17"/>
  <c r="W185" i="17"/>
  <c r="W30" i="17"/>
  <c r="W158" i="17"/>
  <c r="W73" i="17"/>
  <c r="W75" i="17"/>
  <c r="W62" i="17"/>
  <c r="W169" i="17"/>
  <c r="F9" i="48"/>
  <c r="W142" i="17"/>
  <c r="W123" i="17"/>
  <c r="W102" i="17"/>
  <c r="W46" i="17"/>
  <c r="W146" i="17"/>
  <c r="W81" i="17"/>
  <c r="E7" i="48"/>
  <c r="E6" i="48"/>
  <c r="E8" i="48"/>
  <c r="W26" i="17"/>
  <c r="W107" i="17"/>
  <c r="W139" i="17"/>
  <c r="W141" i="17"/>
  <c r="W12" i="17"/>
  <c r="W118" i="17"/>
  <c r="W179" i="17"/>
  <c r="W174" i="17"/>
  <c r="W186" i="17"/>
  <c r="R2" i="3"/>
  <c r="W76" i="17"/>
  <c r="W94" i="17"/>
  <c r="W189" i="17"/>
  <c r="W111" i="17"/>
  <c r="W70" i="17"/>
  <c r="W34" i="17"/>
  <c r="W119" i="17"/>
  <c r="W106" i="17"/>
  <c r="W88" i="17"/>
  <c r="W156" i="17"/>
  <c r="W68" i="17"/>
  <c r="W20" i="17"/>
  <c r="W9" i="17"/>
  <c r="W10" i="17"/>
  <c r="W31" i="17"/>
  <c r="W67" i="17"/>
  <c r="W103" i="17"/>
  <c r="W159" i="17"/>
  <c r="W40" i="17"/>
  <c r="W188" i="17"/>
  <c r="W41" i="17"/>
  <c r="W122" i="17"/>
  <c r="W60" i="17"/>
  <c r="W49" i="17"/>
  <c r="W108" i="17"/>
  <c r="W132" i="17"/>
  <c r="W96" i="17"/>
  <c r="W84" i="17"/>
  <c r="W95" i="17"/>
  <c r="W82" i="17"/>
  <c r="W64" i="17"/>
  <c r="W99" i="17"/>
  <c r="W150" i="17"/>
  <c r="W104" i="17"/>
  <c r="W77" i="17"/>
  <c r="W8" i="17"/>
  <c r="W187" i="17"/>
  <c r="W72" i="17"/>
  <c r="W170" i="17"/>
  <c r="W52" i="17"/>
  <c r="W29" i="17"/>
  <c r="W148" i="17"/>
  <c r="W137" i="17"/>
  <c r="W162" i="17"/>
  <c r="W128" i="17"/>
  <c r="W33" i="17"/>
  <c r="W80" i="17"/>
  <c r="W127" i="17"/>
  <c r="W47" i="17"/>
  <c r="W131" i="17"/>
  <c r="W44" i="17"/>
  <c r="W163" i="17"/>
  <c r="W116" i="17"/>
  <c r="W21" i="17"/>
  <c r="W93" i="17"/>
  <c r="W109" i="17"/>
  <c r="W184" i="17"/>
  <c r="W120" i="17"/>
  <c r="W147" i="17"/>
  <c r="W36" i="17"/>
  <c r="W85" i="17"/>
  <c r="W140" i="17"/>
  <c r="W90" i="17"/>
  <c r="W17" i="17"/>
  <c r="W166" i="17"/>
  <c r="W100" i="17"/>
  <c r="W37" i="17"/>
  <c r="W160" i="17"/>
  <c r="W63" i="17"/>
  <c r="W126" i="17"/>
  <c r="W50" i="17"/>
  <c r="W145" i="17"/>
  <c r="W66" i="17"/>
  <c r="W87" i="17"/>
  <c r="W155" i="17"/>
  <c r="W164" i="17"/>
  <c r="W114" i="17"/>
  <c r="W71" i="17"/>
  <c r="W183" i="17"/>
  <c r="W117" i="17"/>
  <c r="W25" i="17"/>
  <c r="W51" i="17"/>
  <c r="W15" i="17"/>
  <c r="W161" i="17"/>
  <c r="W149" i="17"/>
  <c r="W59" i="17"/>
  <c r="W55" i="17"/>
  <c r="W105" i="17"/>
  <c r="W42" i="17"/>
  <c r="W24" i="17"/>
  <c r="W153" i="17"/>
  <c r="W27" i="17"/>
  <c r="W112" i="17"/>
  <c r="W151" i="17"/>
  <c r="W91" i="17"/>
  <c r="W39" i="17"/>
  <c r="W79" i="17"/>
  <c r="W154" i="17"/>
  <c r="W157" i="17"/>
  <c r="E13" i="48"/>
  <c r="R3" i="3"/>
  <c r="R1" i="3"/>
  <c r="W180" i="17"/>
  <c r="E12" i="48"/>
  <c r="W182" i="17"/>
  <c r="K2" i="3"/>
  <c r="K1" i="3"/>
  <c r="K3" i="3"/>
  <c r="E10" i="48" l="1"/>
  <c r="E5" i="48"/>
  <c r="F13" i="48"/>
  <c r="F8" i="48"/>
  <c r="F6" i="48"/>
  <c r="F7" i="48"/>
  <c r="F12" i="48"/>
  <c r="F11" i="48"/>
  <c r="F5" i="48"/>
  <c r="W152" i="17"/>
  <c r="W97" i="17"/>
  <c r="W115" i="17"/>
  <c r="W22" i="17"/>
  <c r="W129" i="17"/>
  <c r="W110" i="17"/>
  <c r="W83" i="17"/>
  <c r="W65" i="17"/>
  <c r="W101" i="17"/>
  <c r="W14" i="17"/>
  <c r="W38" i="17"/>
  <c r="W86" i="17"/>
  <c r="W167" i="17"/>
  <c r="W121" i="17"/>
  <c r="W57" i="17"/>
  <c r="W143" i="17"/>
  <c r="W78" i="17"/>
  <c r="W144" i="17"/>
  <c r="W58" i="17"/>
  <c r="W133" i="17"/>
  <c r="W56" i="17"/>
  <c r="W138" i="17"/>
  <c r="W125" i="17"/>
  <c r="W45" i="17"/>
  <c r="W61" i="17"/>
  <c r="W19" i="17"/>
  <c r="W89" i="17"/>
  <c r="W32" i="17"/>
  <c r="W53" i="17"/>
  <c r="W69" i="17"/>
  <c r="W134" i="17"/>
  <c r="W28" i="17"/>
  <c r="W135" i="17"/>
  <c r="W165" i="17"/>
  <c r="W11" i="17"/>
  <c r="AH8" i="17" s="1"/>
  <c r="W35" i="17"/>
  <c r="W92" i="17"/>
  <c r="W98" i="17"/>
  <c r="W113" i="17"/>
  <c r="W130" i="17"/>
  <c r="W124" i="17"/>
  <c r="W175" i="17"/>
  <c r="W168" i="17"/>
  <c r="W18" i="17"/>
  <c r="W136" i="17"/>
  <c r="W23" i="17"/>
  <c r="S2" i="3"/>
  <c r="S3" i="3"/>
  <c r="B22" i="42" s="1"/>
  <c r="S1" i="3"/>
  <c r="E1" i="48" l="1"/>
  <c r="X7" i="17"/>
  <c r="AF7" i="17" s="1"/>
  <c r="AH7" i="17"/>
  <c r="T2" i="3"/>
  <c r="T1" i="3"/>
  <c r="F1" i="48"/>
  <c r="W13" i="17"/>
  <c r="V1" i="17"/>
  <c r="V4" i="17"/>
  <c r="W16" i="17"/>
  <c r="V2" i="17"/>
  <c r="T3" i="3"/>
  <c r="B18" i="42" l="1"/>
  <c r="C18" i="42" s="1"/>
  <c r="B19" i="42"/>
  <c r="W3" i="17"/>
  <c r="W4" i="17"/>
  <c r="AH15" i="17"/>
  <c r="AH23" i="17"/>
  <c r="AH31" i="17"/>
  <c r="AH39" i="17"/>
  <c r="AH47" i="17"/>
  <c r="AH55" i="17"/>
  <c r="AH63" i="17"/>
  <c r="AH71" i="17"/>
  <c r="AH79" i="17"/>
  <c r="AH87" i="17"/>
  <c r="AH95" i="17"/>
  <c r="AH103" i="17"/>
  <c r="AH111" i="17"/>
  <c r="AH119" i="17"/>
  <c r="AH127" i="17"/>
  <c r="AH135" i="17"/>
  <c r="AH143" i="17"/>
  <c r="AH151" i="17"/>
  <c r="AH159" i="17"/>
  <c r="AH167" i="17"/>
  <c r="AH16" i="17"/>
  <c r="AH24" i="17"/>
  <c r="AH32" i="17"/>
  <c r="AH40" i="17"/>
  <c r="AH48" i="17"/>
  <c r="AH56" i="17"/>
  <c r="AH64" i="17"/>
  <c r="AH72" i="17"/>
  <c r="AH80" i="17"/>
  <c r="AH88" i="17"/>
  <c r="AH96" i="17"/>
  <c r="AH104" i="17"/>
  <c r="AH112" i="17"/>
  <c r="AH120" i="17"/>
  <c r="AH128" i="17"/>
  <c r="AH136" i="17"/>
  <c r="AH144" i="17"/>
  <c r="AH152" i="17"/>
  <c r="AH160" i="17"/>
  <c r="AH168" i="17"/>
  <c r="AH17" i="17"/>
  <c r="AH25" i="17"/>
  <c r="AH33" i="17"/>
  <c r="AH41" i="17"/>
  <c r="AH49" i="17"/>
  <c r="AH57" i="17"/>
  <c r="AH65" i="17"/>
  <c r="AH73" i="17"/>
  <c r="AH81" i="17"/>
  <c r="AH89" i="17"/>
  <c r="AH97" i="17"/>
  <c r="AH105" i="17"/>
  <c r="AH113" i="17"/>
  <c r="AH121" i="17"/>
  <c r="AH129" i="17"/>
  <c r="AH137" i="17"/>
  <c r="AH145" i="17"/>
  <c r="AH153" i="17"/>
  <c r="AH161" i="17"/>
  <c r="AH169" i="17"/>
  <c r="AH18" i="17"/>
  <c r="AH26" i="17"/>
  <c r="AH34" i="17"/>
  <c r="AH42" i="17"/>
  <c r="AH50" i="17"/>
  <c r="AH58" i="17"/>
  <c r="AH66" i="17"/>
  <c r="AH74" i="17"/>
  <c r="AH82" i="17"/>
  <c r="AH90" i="17"/>
  <c r="AH98" i="17"/>
  <c r="AH106" i="17"/>
  <c r="AH114" i="17"/>
  <c r="AH122" i="17"/>
  <c r="AH130" i="17"/>
  <c r="AH138" i="17"/>
  <c r="AH146" i="17"/>
  <c r="AH154" i="17"/>
  <c r="AH162" i="17"/>
  <c r="AH170" i="17"/>
  <c r="AH178" i="17"/>
  <c r="AH186" i="17"/>
  <c r="AH19" i="17"/>
  <c r="AH27" i="17"/>
  <c r="AH35" i="17"/>
  <c r="AH43" i="17"/>
  <c r="AH51" i="17"/>
  <c r="AH59" i="17"/>
  <c r="AH67" i="17"/>
  <c r="AH75" i="17"/>
  <c r="AH83" i="17"/>
  <c r="AH91" i="17"/>
  <c r="AH99" i="17"/>
  <c r="AH107" i="17"/>
  <c r="AH115" i="17"/>
  <c r="AH123" i="17"/>
  <c r="AH131" i="17"/>
  <c r="AH139" i="17"/>
  <c r="AH147" i="17"/>
  <c r="AH155" i="17"/>
  <c r="AH163" i="17"/>
  <c r="AH171" i="17"/>
  <c r="AH179" i="17"/>
  <c r="AH187" i="17"/>
  <c r="AH20" i="17"/>
  <c r="AH28" i="17"/>
  <c r="AH36" i="17"/>
  <c r="AH44" i="17"/>
  <c r="AH52" i="17"/>
  <c r="AH60" i="17"/>
  <c r="AH68" i="17"/>
  <c r="AH76" i="17"/>
  <c r="AH84" i="17"/>
  <c r="AH92" i="17"/>
  <c r="AH100" i="17"/>
  <c r="AH108" i="17"/>
  <c r="AH116" i="17"/>
  <c r="AH124" i="17"/>
  <c r="AH132" i="17"/>
  <c r="AH140" i="17"/>
  <c r="AH148" i="17"/>
  <c r="AH156" i="17"/>
  <c r="AH164" i="17"/>
  <c r="AH172" i="17"/>
  <c r="AH180" i="17"/>
  <c r="AH188" i="17"/>
  <c r="AH13" i="17"/>
  <c r="AH21" i="17"/>
  <c r="AH29" i="17"/>
  <c r="AH37" i="17"/>
  <c r="AH45" i="17"/>
  <c r="AH53" i="17"/>
  <c r="AH61" i="17"/>
  <c r="AH69" i="17"/>
  <c r="AH77" i="17"/>
  <c r="AH85" i="17"/>
  <c r="AH93" i="17"/>
  <c r="AH101" i="17"/>
  <c r="AH109" i="17"/>
  <c r="AH117" i="17"/>
  <c r="AH125" i="17"/>
  <c r="AH133" i="17"/>
  <c r="AH141" i="17"/>
  <c r="AH149" i="17"/>
  <c r="AH157" i="17"/>
  <c r="AH165" i="17"/>
  <c r="AH173" i="17"/>
  <c r="AH181" i="17"/>
  <c r="AH189" i="17"/>
  <c r="AH134" i="17"/>
  <c r="AH62" i="17"/>
  <c r="AH126" i="17"/>
  <c r="AH176" i="17"/>
  <c r="AH70" i="17"/>
  <c r="AH14" i="17"/>
  <c r="AH78" i="17"/>
  <c r="AH142" i="17"/>
  <c r="AH182" i="17"/>
  <c r="AH175" i="17"/>
  <c r="AH22" i="17"/>
  <c r="AH86" i="17"/>
  <c r="AH150" i="17"/>
  <c r="AH183" i="17"/>
  <c r="AH110" i="17"/>
  <c r="AH54" i="17"/>
  <c r="AH177" i="17"/>
  <c r="AH30" i="17"/>
  <c r="AH94" i="17"/>
  <c r="AH158" i="17"/>
  <c r="AH184" i="17"/>
  <c r="AH46" i="17"/>
  <c r="AH38" i="17"/>
  <c r="AH102" i="17"/>
  <c r="AH166" i="17"/>
  <c r="AH185" i="17"/>
  <c r="AH174" i="17"/>
  <c r="AH118" i="17"/>
  <c r="AH10" i="17"/>
  <c r="AH9" i="17"/>
  <c r="AH12" i="17"/>
  <c r="AH11" i="17"/>
  <c r="X15" i="17"/>
  <c r="AF15" i="17" s="1"/>
  <c r="X23" i="17"/>
  <c r="AF23" i="17" s="1"/>
  <c r="X31" i="17"/>
  <c r="AF31" i="17" s="1"/>
  <c r="X39" i="17"/>
  <c r="AF39" i="17" s="1"/>
  <c r="X47" i="17"/>
  <c r="AF47" i="17" s="1"/>
  <c r="X55" i="17"/>
  <c r="AF55" i="17" s="1"/>
  <c r="X63" i="17"/>
  <c r="AF63" i="17" s="1"/>
  <c r="X71" i="17"/>
  <c r="AF71" i="17" s="1"/>
  <c r="X79" i="17"/>
  <c r="AF79" i="17" s="1"/>
  <c r="X87" i="17"/>
  <c r="AF87" i="17" s="1"/>
  <c r="X95" i="17"/>
  <c r="AF95" i="17" s="1"/>
  <c r="X103" i="17"/>
  <c r="AF103" i="17" s="1"/>
  <c r="X111" i="17"/>
  <c r="AF111" i="17" s="1"/>
  <c r="X119" i="17"/>
  <c r="AF119" i="17" s="1"/>
  <c r="X127" i="17"/>
  <c r="AF127" i="17" s="1"/>
  <c r="X135" i="17"/>
  <c r="AF135" i="17" s="1"/>
  <c r="X143" i="17"/>
  <c r="AF143" i="17" s="1"/>
  <c r="X151" i="17"/>
  <c r="AF151" i="17" s="1"/>
  <c r="X159" i="17"/>
  <c r="AF159" i="17" s="1"/>
  <c r="X167" i="17"/>
  <c r="AF167" i="17" s="1"/>
  <c r="X16" i="17"/>
  <c r="AF16" i="17" s="1"/>
  <c r="X24" i="17"/>
  <c r="AF24" i="17" s="1"/>
  <c r="X32" i="17"/>
  <c r="AF32" i="17" s="1"/>
  <c r="X40" i="17"/>
  <c r="AF40" i="17" s="1"/>
  <c r="X183" i="17"/>
  <c r="AF183" i="17" s="1"/>
  <c r="X56" i="17"/>
  <c r="AF56" i="17" s="1"/>
  <c r="X64" i="17"/>
  <c r="AF64" i="17" s="1"/>
  <c r="X72" i="17"/>
  <c r="AF72" i="17" s="1"/>
  <c r="X80" i="17"/>
  <c r="AF80" i="17" s="1"/>
  <c r="X88" i="17"/>
  <c r="AF88" i="17" s="1"/>
  <c r="X96" i="17"/>
  <c r="AF96" i="17" s="1"/>
  <c r="X104" i="17"/>
  <c r="AF104" i="17" s="1"/>
  <c r="X112" i="17"/>
  <c r="AF112" i="17" s="1"/>
  <c r="X120" i="17"/>
  <c r="AF120" i="17" s="1"/>
  <c r="X128" i="17"/>
  <c r="AF128" i="17" s="1"/>
  <c r="X136" i="17"/>
  <c r="AF136" i="17" s="1"/>
  <c r="X144" i="17"/>
  <c r="AF144" i="17" s="1"/>
  <c r="X152" i="17"/>
  <c r="AF152" i="17" s="1"/>
  <c r="X160" i="17"/>
  <c r="AF160" i="17" s="1"/>
  <c r="X168" i="17"/>
  <c r="AF168" i="17" s="1"/>
  <c r="X17" i="17"/>
  <c r="AF17" i="17" s="1"/>
  <c r="X25" i="17"/>
  <c r="AF25" i="17" s="1"/>
  <c r="X33" i="17"/>
  <c r="AF33" i="17" s="1"/>
  <c r="X41" i="17"/>
  <c r="AF41" i="17" s="1"/>
  <c r="X49" i="17"/>
  <c r="AF49" i="17" s="1"/>
  <c r="X57" i="17"/>
  <c r="AF57" i="17" s="1"/>
  <c r="X65" i="17"/>
  <c r="AF65" i="17" s="1"/>
  <c r="X73" i="17"/>
  <c r="AF73" i="17" s="1"/>
  <c r="X81" i="17"/>
  <c r="AF81" i="17" s="1"/>
  <c r="X89" i="17"/>
  <c r="AF89" i="17" s="1"/>
  <c r="X97" i="17"/>
  <c r="AF97" i="17" s="1"/>
  <c r="X105" i="17"/>
  <c r="AF105" i="17" s="1"/>
  <c r="X113" i="17"/>
  <c r="AF113" i="17" s="1"/>
  <c r="X121" i="17"/>
  <c r="AF121" i="17" s="1"/>
  <c r="X129" i="17"/>
  <c r="AF129" i="17" s="1"/>
  <c r="X137" i="17"/>
  <c r="AF137" i="17" s="1"/>
  <c r="X145" i="17"/>
  <c r="AF145" i="17" s="1"/>
  <c r="X153" i="17"/>
  <c r="AF153" i="17" s="1"/>
  <c r="X161" i="17"/>
  <c r="AF161" i="17" s="1"/>
  <c r="X169" i="17"/>
  <c r="AF169" i="17" s="1"/>
  <c r="X18" i="17"/>
  <c r="AF18" i="17" s="1"/>
  <c r="X175" i="17"/>
  <c r="AF175" i="17" s="1"/>
  <c r="X34" i="17"/>
  <c r="AF34" i="17" s="1"/>
  <c r="X42" i="17"/>
  <c r="AF42" i="17" s="1"/>
  <c r="X50" i="17"/>
  <c r="AF50" i="17" s="1"/>
  <c r="X58" i="17"/>
  <c r="AF58" i="17" s="1"/>
  <c r="X66" i="17"/>
  <c r="AF66" i="17" s="1"/>
  <c r="X28" i="17"/>
  <c r="AF28" i="17" s="1"/>
  <c r="X82" i="17"/>
  <c r="AF82" i="17" s="1"/>
  <c r="X187" i="17"/>
  <c r="AF187" i="17" s="1"/>
  <c r="X98" i="17"/>
  <c r="AF98" i="17" s="1"/>
  <c r="X106" i="17"/>
  <c r="AF106" i="17" s="1"/>
  <c r="X114" i="17"/>
  <c r="AF114" i="17" s="1"/>
  <c r="X122" i="17"/>
  <c r="AF122" i="17" s="1"/>
  <c r="X130" i="17"/>
  <c r="AF130" i="17" s="1"/>
  <c r="X138" i="17"/>
  <c r="AF138" i="17" s="1"/>
  <c r="X146" i="17"/>
  <c r="AF146" i="17" s="1"/>
  <c r="X154" i="17"/>
  <c r="AF154" i="17" s="1"/>
  <c r="X162" i="17"/>
  <c r="AF162" i="17" s="1"/>
  <c r="X19" i="17"/>
  <c r="AF19" i="17" s="1"/>
  <c r="X27" i="17"/>
  <c r="AF27" i="17" s="1"/>
  <c r="X35" i="17"/>
  <c r="AF35" i="17" s="1"/>
  <c r="X170" i="17"/>
  <c r="AF170" i="17" s="1"/>
  <c r="X51" i="17"/>
  <c r="AF51" i="17" s="1"/>
  <c r="X59" i="17"/>
  <c r="AF59" i="17" s="1"/>
  <c r="X67" i="17"/>
  <c r="AF67" i="17" s="1"/>
  <c r="X75" i="17"/>
  <c r="AF75" i="17" s="1"/>
  <c r="X83" i="17"/>
  <c r="AF83" i="17" s="1"/>
  <c r="X91" i="17"/>
  <c r="AF91" i="17" s="1"/>
  <c r="X99" i="17"/>
  <c r="AF99" i="17" s="1"/>
  <c r="X107" i="17"/>
  <c r="AF107" i="17" s="1"/>
  <c r="X115" i="17"/>
  <c r="AF115" i="17" s="1"/>
  <c r="X123" i="17"/>
  <c r="AF123" i="17" s="1"/>
  <c r="X131" i="17"/>
  <c r="AF131" i="17" s="1"/>
  <c r="X139" i="17"/>
  <c r="AF139" i="17" s="1"/>
  <c r="X147" i="17"/>
  <c r="AF147" i="17" s="1"/>
  <c r="X155" i="17"/>
  <c r="AF155" i="17" s="1"/>
  <c r="X163" i="17"/>
  <c r="AF163" i="17" s="1"/>
  <c r="X20" i="17"/>
  <c r="AF20" i="17" s="1"/>
  <c r="X184" i="17"/>
  <c r="AF184" i="17" s="1"/>
  <c r="X36" i="17"/>
  <c r="AF36" i="17" s="1"/>
  <c r="X44" i="17"/>
  <c r="AF44" i="17" s="1"/>
  <c r="X52" i="17"/>
  <c r="AF52" i="17" s="1"/>
  <c r="X60" i="17"/>
  <c r="AF60" i="17" s="1"/>
  <c r="X68" i="17"/>
  <c r="AF68" i="17" s="1"/>
  <c r="X76" i="17"/>
  <c r="AF76" i="17" s="1"/>
  <c r="X84" i="17"/>
  <c r="AF84" i="17" s="1"/>
  <c r="X92" i="17"/>
  <c r="AF92" i="17" s="1"/>
  <c r="X100" i="17"/>
  <c r="AF100" i="17" s="1"/>
  <c r="X189" i="17"/>
  <c r="AF189" i="17" s="1"/>
  <c r="X116" i="17"/>
  <c r="AF116" i="17" s="1"/>
  <c r="X124" i="17"/>
  <c r="AF124" i="17" s="1"/>
  <c r="X132" i="17"/>
  <c r="AF132" i="17" s="1"/>
  <c r="X140" i="17"/>
  <c r="AF140" i="17" s="1"/>
  <c r="X148" i="17"/>
  <c r="AF148" i="17" s="1"/>
  <c r="X156" i="17"/>
  <c r="AF156" i="17" s="1"/>
  <c r="X164" i="17"/>
  <c r="AF164" i="17" s="1"/>
  <c r="X13" i="17"/>
  <c r="AF13" i="17" s="1"/>
  <c r="X21" i="17"/>
  <c r="AF21" i="17" s="1"/>
  <c r="X29" i="17"/>
  <c r="AF29" i="17" s="1"/>
  <c r="X108" i="17"/>
  <c r="AF108" i="17" s="1"/>
  <c r="X45" i="17"/>
  <c r="AF45" i="17" s="1"/>
  <c r="X53" i="17"/>
  <c r="AF53" i="17" s="1"/>
  <c r="X61" i="17"/>
  <c r="AF61" i="17" s="1"/>
  <c r="X69" i="17"/>
  <c r="AF69" i="17" s="1"/>
  <c r="X77" i="17"/>
  <c r="AF77" i="17" s="1"/>
  <c r="X85" i="17"/>
  <c r="AF85" i="17" s="1"/>
  <c r="X93" i="17"/>
  <c r="AF93" i="17" s="1"/>
  <c r="X101" i="17"/>
  <c r="AF101" i="17" s="1"/>
  <c r="X109" i="17"/>
  <c r="AF109" i="17" s="1"/>
  <c r="X117" i="17"/>
  <c r="AF117" i="17" s="1"/>
  <c r="X125" i="17"/>
  <c r="AF125" i="17" s="1"/>
  <c r="X133" i="17"/>
  <c r="AF133" i="17" s="1"/>
  <c r="X141" i="17"/>
  <c r="AF141" i="17" s="1"/>
  <c r="X149" i="17"/>
  <c r="AF149" i="17" s="1"/>
  <c r="X157" i="17"/>
  <c r="AF157" i="17" s="1"/>
  <c r="X165" i="17"/>
  <c r="AF165" i="17" s="1"/>
  <c r="X14" i="17"/>
  <c r="AF14" i="17" s="1"/>
  <c r="X22" i="17"/>
  <c r="AF22" i="17" s="1"/>
  <c r="X30" i="17"/>
  <c r="AF30" i="17" s="1"/>
  <c r="X38" i="17"/>
  <c r="AF38" i="17" s="1"/>
  <c r="X46" i="17"/>
  <c r="AF46" i="17" s="1"/>
  <c r="X188" i="17"/>
  <c r="AF188" i="17" s="1"/>
  <c r="X62" i="17"/>
  <c r="AF62" i="17" s="1"/>
  <c r="X70" i="17"/>
  <c r="AF70" i="17" s="1"/>
  <c r="X78" i="17"/>
  <c r="AF78" i="17" s="1"/>
  <c r="X86" i="17"/>
  <c r="AF86" i="17" s="1"/>
  <c r="X94" i="17"/>
  <c r="AF94" i="17" s="1"/>
  <c r="X102" i="17"/>
  <c r="AF102" i="17" s="1"/>
  <c r="X110" i="17"/>
  <c r="AF110" i="17" s="1"/>
  <c r="X118" i="17"/>
  <c r="AF118" i="17" s="1"/>
  <c r="X126" i="17"/>
  <c r="AF126" i="17" s="1"/>
  <c r="X134" i="17"/>
  <c r="AF134" i="17" s="1"/>
  <c r="X142" i="17"/>
  <c r="AF142" i="17" s="1"/>
  <c r="X150" i="17"/>
  <c r="AF150" i="17" s="1"/>
  <c r="X158" i="17"/>
  <c r="AF158" i="17" s="1"/>
  <c r="X166" i="17"/>
  <c r="AF166" i="17" s="1"/>
  <c r="X185" i="17"/>
  <c r="AF185" i="17" s="1"/>
  <c r="X173" i="17"/>
  <c r="AF173" i="17" s="1"/>
  <c r="X176" i="17"/>
  <c r="AF176" i="17" s="1"/>
  <c r="X181" i="17"/>
  <c r="AF181" i="17" s="1"/>
  <c r="X178" i="17"/>
  <c r="AF178" i="17" s="1"/>
  <c r="X180" i="17"/>
  <c r="AF180" i="17" s="1"/>
  <c r="X26" i="17"/>
  <c r="AF26" i="17" s="1"/>
  <c r="X172" i="17"/>
  <c r="AF172" i="17" s="1"/>
  <c r="X179" i="17"/>
  <c r="AF179" i="17" s="1"/>
  <c r="X177" i="17"/>
  <c r="AF177" i="17" s="1"/>
  <c r="X90" i="17"/>
  <c r="AF90" i="17" s="1"/>
  <c r="X43" i="17"/>
  <c r="AF43" i="17" s="1"/>
  <c r="X186" i="17"/>
  <c r="AF186" i="17" s="1"/>
  <c r="X37" i="17"/>
  <c r="AF37" i="17" s="1"/>
  <c r="X182" i="17"/>
  <c r="AF182" i="17" s="1"/>
  <c r="X54" i="17"/>
  <c r="AF54" i="17" s="1"/>
  <c r="X74" i="17"/>
  <c r="AF74" i="17" s="1"/>
  <c r="X174" i="17"/>
  <c r="AF174" i="17" s="1"/>
  <c r="X48" i="17"/>
  <c r="AF48" i="17" s="1"/>
  <c r="X171" i="17"/>
  <c r="AF171" i="17" s="1"/>
  <c r="X8" i="17"/>
  <c r="AF8" i="17" s="1"/>
  <c r="X10" i="17"/>
  <c r="AF10" i="17" s="1"/>
  <c r="X9" i="17"/>
  <c r="AF9" i="17" s="1"/>
  <c r="X12" i="17"/>
  <c r="AF12" i="17" s="1"/>
  <c r="X11" i="17"/>
  <c r="AF11" i="17" s="1"/>
  <c r="W2" i="17"/>
  <c r="W1" i="17"/>
  <c r="D18" i="42" l="1"/>
  <c r="AH3" i="17"/>
  <c r="X3" i="17"/>
  <c r="AH2" i="17"/>
  <c r="AF1" i="17"/>
  <c r="X1" i="17"/>
  <c r="X4" i="17"/>
  <c r="AF3" i="17"/>
  <c r="AF2" i="17"/>
  <c r="X2" i="17"/>
  <c r="AH4" i="17"/>
  <c r="AH1" i="17"/>
  <c r="Y4" i="17" l="1"/>
  <c r="Y7" i="17" l="1"/>
  <c r="Y169" i="17"/>
  <c r="Y161" i="17"/>
  <c r="Y110" i="17"/>
  <c r="Y59" i="17"/>
  <c r="Y14" i="17"/>
  <c r="Z14" i="17" s="1"/>
  <c r="AA14" i="17" s="1"/>
  <c r="AB14" i="17" s="1"/>
  <c r="Y29" i="17"/>
  <c r="Z29" i="17" s="1"/>
  <c r="Y103" i="17"/>
  <c r="Y9" i="17"/>
  <c r="Z9" i="17" s="1"/>
  <c r="Y10" i="17"/>
  <c r="Z10" i="17" s="1"/>
  <c r="AA10" i="17" s="1"/>
  <c r="AB10" i="17" s="1"/>
  <c r="Y67" i="17"/>
  <c r="Z67" i="17" s="1"/>
  <c r="AA67" i="17" s="1"/>
  <c r="AB67" i="17" s="1"/>
  <c r="Y80" i="17"/>
  <c r="Z80" i="17" s="1"/>
  <c r="AA80" i="17" s="1"/>
  <c r="AB80" i="17" s="1"/>
  <c r="Y99" i="17"/>
  <c r="Y93" i="17"/>
  <c r="Z93" i="17" s="1"/>
  <c r="AA93" i="17" s="1"/>
  <c r="AB93" i="17" s="1"/>
  <c r="Y97" i="17"/>
  <c r="Y73" i="17"/>
  <c r="Y74" i="17"/>
  <c r="Y174" i="17"/>
  <c r="Y86" i="17"/>
  <c r="Y21" i="17"/>
  <c r="Y125" i="17"/>
  <c r="Y18" i="17"/>
  <c r="Y182" i="17"/>
  <c r="Y69" i="17"/>
  <c r="Y13" i="17"/>
  <c r="Y139" i="17"/>
  <c r="Y115" i="17"/>
  <c r="Y146" i="17"/>
  <c r="Y96" i="17"/>
  <c r="Y183" i="17"/>
  <c r="Y81" i="17"/>
  <c r="Z81" i="17" s="1"/>
  <c r="AA81" i="17" s="1"/>
  <c r="Y22" i="17"/>
  <c r="Z22" i="17" s="1"/>
  <c r="AA22" i="17" s="1"/>
  <c r="AB22" i="17" s="1"/>
  <c r="Y63" i="17"/>
  <c r="Y70" i="17"/>
  <c r="Z70" i="17" s="1"/>
  <c r="AA70" i="17" s="1"/>
  <c r="AB70" i="17" s="1"/>
  <c r="Y107" i="17"/>
  <c r="Y66" i="17"/>
  <c r="Y162" i="17"/>
  <c r="Y88" i="17"/>
  <c r="Y52" i="17"/>
  <c r="Z52" i="17" s="1"/>
  <c r="AA52" i="17" s="1"/>
  <c r="AB52" i="17" s="1"/>
  <c r="Y12" i="17"/>
  <c r="Z12" i="17" s="1"/>
  <c r="AA12" i="17" s="1"/>
  <c r="AB12" i="17" s="1"/>
  <c r="Y122" i="17"/>
  <c r="Y145" i="17"/>
  <c r="Y41" i="17"/>
  <c r="Z41" i="17" s="1"/>
  <c r="AA41" i="17" s="1"/>
  <c r="AB41" i="17" s="1"/>
  <c r="Y54" i="17"/>
  <c r="Y61" i="17"/>
  <c r="Y11" i="17"/>
  <c r="Z11" i="17" s="1"/>
  <c r="AA11" i="17" s="1"/>
  <c r="AB11" i="17" s="1"/>
  <c r="Y28" i="17"/>
  <c r="Z28" i="17" s="1"/>
  <c r="AA28" i="17" s="1"/>
  <c r="AB28" i="17" s="1"/>
  <c r="Y16" i="17"/>
  <c r="Y188" i="17"/>
  <c r="Z188" i="17" s="1"/>
  <c r="AA188" i="17" s="1"/>
  <c r="AB188" i="17" s="1"/>
  <c r="Y26" i="17"/>
  <c r="Y104" i="17"/>
  <c r="Z104" i="17" s="1"/>
  <c r="AA104" i="17" s="1"/>
  <c r="AB104" i="17" s="1"/>
  <c r="Y147" i="17"/>
  <c r="Y60" i="17"/>
  <c r="Y42" i="17"/>
  <c r="Z42" i="17" s="1"/>
  <c r="AA42" i="17" s="1"/>
  <c r="AB42" i="17" s="1"/>
  <c r="Y112" i="17"/>
  <c r="Y90" i="17"/>
  <c r="Y95" i="17"/>
  <c r="Y83" i="17"/>
  <c r="Y38" i="17"/>
  <c r="Z38" i="17" s="1"/>
  <c r="AA38" i="17" s="1"/>
  <c r="AB38" i="17" s="1"/>
  <c r="Y150" i="17"/>
  <c r="Y151" i="17"/>
  <c r="Y82" i="17"/>
  <c r="Y156" i="17"/>
  <c r="Y118" i="17"/>
  <c r="Y64" i="17"/>
  <c r="Z64" i="17" s="1"/>
  <c r="AA64" i="17" s="1"/>
  <c r="AB64" i="17" s="1"/>
  <c r="Y30" i="17"/>
  <c r="Z30" i="17" s="1"/>
  <c r="AA30" i="17" s="1"/>
  <c r="AB30" i="17" s="1"/>
  <c r="Y159" i="17"/>
  <c r="Y130" i="17"/>
  <c r="Y134" i="17"/>
  <c r="Y133" i="17"/>
  <c r="Y168" i="17"/>
  <c r="Y43" i="17"/>
  <c r="Y75" i="17"/>
  <c r="Z75" i="17" s="1"/>
  <c r="AA75" i="17" s="1"/>
  <c r="AB75" i="17" s="1"/>
  <c r="Y172" i="17"/>
  <c r="Y20" i="17"/>
  <c r="Z20" i="17" s="1"/>
  <c r="AA20" i="17" s="1"/>
  <c r="AB20" i="17" s="1"/>
  <c r="Y33" i="17"/>
  <c r="Y137" i="17"/>
  <c r="Y78" i="17"/>
  <c r="Y167" i="17"/>
  <c r="Y116" i="17"/>
  <c r="Y108" i="17"/>
  <c r="Y140" i="17"/>
  <c r="Y121" i="17"/>
  <c r="Y109" i="17"/>
  <c r="Y76" i="17"/>
  <c r="Z76" i="17" s="1"/>
  <c r="AA76" i="17" s="1"/>
  <c r="AB76" i="17" s="1"/>
  <c r="Y79" i="17"/>
  <c r="Y65" i="17"/>
  <c r="Z65" i="17" s="1"/>
  <c r="AA65" i="17" s="1"/>
  <c r="AB65" i="17" s="1"/>
  <c r="Y164" i="17"/>
  <c r="Y142" i="17"/>
  <c r="Y84" i="17"/>
  <c r="Y27" i="17"/>
  <c r="Z27" i="17" s="1"/>
  <c r="AA27" i="17" s="1"/>
  <c r="AB27" i="17" s="1"/>
  <c r="Y155" i="17"/>
  <c r="Z155" i="17" s="1"/>
  <c r="AA155" i="17" s="1"/>
  <c r="AB155" i="17" s="1"/>
  <c r="Y100" i="17"/>
  <c r="Y184" i="17"/>
  <c r="Z184" i="17" s="1"/>
  <c r="AA184" i="17" s="1"/>
  <c r="AB184" i="17" s="1"/>
  <c r="Y47" i="17"/>
  <c r="Z47" i="17" s="1"/>
  <c r="AA47" i="17" s="1"/>
  <c r="AB47" i="17" s="1"/>
  <c r="Y106" i="17"/>
  <c r="Y187" i="17"/>
  <c r="Z187" i="17" s="1"/>
  <c r="AA187" i="17" s="1"/>
  <c r="AB187" i="17" s="1"/>
  <c r="Y34" i="17"/>
  <c r="Z34" i="17" s="1"/>
  <c r="AA34" i="17" s="1"/>
  <c r="AB34" i="17" s="1"/>
  <c r="Y57" i="17"/>
  <c r="Z57" i="17" s="1"/>
  <c r="AA57" i="17" s="1"/>
  <c r="AB57" i="17" s="1"/>
  <c r="Y72" i="17"/>
  <c r="Z72" i="17" s="1"/>
  <c r="AA72" i="17" s="1"/>
  <c r="AB72" i="17" s="1"/>
  <c r="Y126" i="17"/>
  <c r="Z126" i="17" s="1"/>
  <c r="AA126" i="17" s="1"/>
  <c r="AB126" i="17" s="1"/>
  <c r="Y89" i="17"/>
  <c r="Y105" i="17"/>
  <c r="Y158" i="17"/>
  <c r="Y35" i="17"/>
  <c r="Y32" i="17"/>
  <c r="Z32" i="17" s="1"/>
  <c r="AA32" i="17" s="1"/>
  <c r="AB32" i="17" s="1"/>
  <c r="Y56" i="17"/>
  <c r="Z56" i="17" s="1"/>
  <c r="AA56" i="17" s="1"/>
  <c r="AB56" i="17" s="1"/>
  <c r="Y173" i="17"/>
  <c r="Y154" i="17"/>
  <c r="Y178" i="17"/>
  <c r="Z178" i="17" s="1"/>
  <c r="AA178" i="17" s="1"/>
  <c r="AB178" i="17" s="1"/>
  <c r="Y40" i="17"/>
  <c r="Z40" i="17" s="1"/>
  <c r="AA40" i="17" s="1"/>
  <c r="AB40" i="17" s="1"/>
  <c r="Y117" i="17"/>
  <c r="Y62" i="17"/>
  <c r="Y25" i="17"/>
  <c r="Z25" i="17" s="1"/>
  <c r="AA25" i="17" s="1"/>
  <c r="AB25" i="17" s="1"/>
  <c r="Y36" i="17"/>
  <c r="Z36" i="17" s="1"/>
  <c r="AA36" i="17" s="1"/>
  <c r="AB36" i="17" s="1"/>
  <c r="Y44" i="17"/>
  <c r="Y131" i="17"/>
  <c r="Y111" i="17"/>
  <c r="Z111" i="17" s="1"/>
  <c r="AA111" i="17" s="1"/>
  <c r="AB111" i="17" s="1"/>
  <c r="Y31" i="17"/>
  <c r="Y127" i="17"/>
  <c r="Y101" i="17"/>
  <c r="Y166" i="17"/>
  <c r="Y143" i="17"/>
  <c r="Y39" i="17"/>
  <c r="Z39" i="17" s="1"/>
  <c r="AA39" i="17" s="1"/>
  <c r="AB39" i="17" s="1"/>
  <c r="Y153" i="17"/>
  <c r="Y50" i="17"/>
  <c r="Z50" i="17" s="1"/>
  <c r="AA50" i="17" s="1"/>
  <c r="Y46" i="17"/>
  <c r="Z46" i="17" s="1"/>
  <c r="AA46" i="17" s="1"/>
  <c r="AB46" i="17" s="1"/>
  <c r="Y136" i="17"/>
  <c r="Y23" i="17"/>
  <c r="Y92" i="17"/>
  <c r="Y181" i="17"/>
  <c r="Y160" i="17"/>
  <c r="Y123" i="17"/>
  <c r="Y157" i="17"/>
  <c r="Y186" i="17"/>
  <c r="Y51" i="17"/>
  <c r="Z51" i="17" s="1"/>
  <c r="AA51" i="17" s="1"/>
  <c r="AB51" i="17" s="1"/>
  <c r="Y185" i="17"/>
  <c r="Y102" i="17"/>
  <c r="Y165" i="17"/>
  <c r="Y68" i="17"/>
  <c r="Y17" i="17"/>
  <c r="Y58" i="17"/>
  <c r="Z58" i="17" s="1"/>
  <c r="AA58" i="17" s="1"/>
  <c r="AB58" i="17" s="1"/>
  <c r="Y87" i="17"/>
  <c r="Y91" i="17"/>
  <c r="Y170" i="17"/>
  <c r="Y48" i="17"/>
  <c r="Y114" i="17"/>
  <c r="Y132" i="17"/>
  <c r="Y149" i="17"/>
  <c r="Y8" i="17"/>
  <c r="Z8" i="17" s="1"/>
  <c r="AA8" i="17" s="1"/>
  <c r="AB8" i="17" s="1"/>
  <c r="Y45" i="17"/>
  <c r="Z45" i="17" s="1"/>
  <c r="AA45" i="17" s="1"/>
  <c r="AB45" i="17" s="1"/>
  <c r="Y124" i="17"/>
  <c r="Y53" i="17"/>
  <c r="Z53" i="17" s="1"/>
  <c r="AA53" i="17" s="1"/>
  <c r="AB53" i="17" s="1"/>
  <c r="Y171" i="17"/>
  <c r="Y15" i="17"/>
  <c r="Z15" i="17" s="1"/>
  <c r="AA15" i="17" s="1"/>
  <c r="AB15" i="17" s="1"/>
  <c r="Y129" i="17"/>
  <c r="Y148" i="17"/>
  <c r="Y189" i="17"/>
  <c r="Z189" i="17" s="1"/>
  <c r="AA189" i="17" s="1"/>
  <c r="AB189" i="17" s="1"/>
  <c r="Y85" i="17"/>
  <c r="Y49" i="17"/>
  <c r="Z49" i="17" s="1"/>
  <c r="AA49" i="17" s="1"/>
  <c r="AB49" i="17" s="1"/>
  <c r="Y177" i="17"/>
  <c r="Y55" i="17"/>
  <c r="Z55" i="17" s="1"/>
  <c r="AA55" i="17" s="1"/>
  <c r="AB55" i="17" s="1"/>
  <c r="Y128" i="17"/>
  <c r="Y152" i="17"/>
  <c r="Y163" i="17"/>
  <c r="Y135" i="17"/>
  <c r="Y24" i="17"/>
  <c r="Y175" i="17"/>
  <c r="Z175" i="17" s="1"/>
  <c r="AA175" i="17" s="1"/>
  <c r="AB175" i="17" s="1"/>
  <c r="Y120" i="17"/>
  <c r="Y176" i="17"/>
  <c r="Y98" i="17"/>
  <c r="Y141" i="17"/>
  <c r="Y94" i="17"/>
  <c r="Z94" i="17" s="1"/>
  <c r="AA94" i="17" s="1"/>
  <c r="AB94" i="17" s="1"/>
  <c r="Y180" i="17"/>
  <c r="Y19" i="17"/>
  <c r="Z19" i="17" s="1"/>
  <c r="AA19" i="17" s="1"/>
  <c r="AB19" i="17" s="1"/>
  <c r="Y71" i="17"/>
  <c r="Z71" i="17" s="1"/>
  <c r="AA71" i="17" s="1"/>
  <c r="AB71" i="17" s="1"/>
  <c r="Y113" i="17"/>
  <c r="Y37" i="17"/>
  <c r="Y144" i="17"/>
  <c r="Y77" i="17"/>
  <c r="Z77" i="17" s="1"/>
  <c r="AA77" i="17" s="1"/>
  <c r="AB77" i="17" s="1"/>
  <c r="Y179" i="17"/>
  <c r="Y119" i="17"/>
  <c r="Y138" i="17"/>
  <c r="Z138" i="17" s="1"/>
  <c r="AA138" i="17" s="1"/>
  <c r="AB138" i="17" s="1"/>
  <c r="AA29" i="17"/>
  <c r="AB29" i="17" s="1"/>
  <c r="AA9" i="17"/>
  <c r="AD124" i="17" l="1"/>
  <c r="E131" i="48" s="1"/>
  <c r="Z124" i="17"/>
  <c r="AA124" i="17" s="1"/>
  <c r="AD91" i="17"/>
  <c r="E98" i="48" s="1"/>
  <c r="Z91" i="17"/>
  <c r="AA91" i="17" s="1"/>
  <c r="AD136" i="17"/>
  <c r="E143" i="48" s="1"/>
  <c r="Z136" i="17"/>
  <c r="AA136" i="17" s="1"/>
  <c r="AD127" i="17"/>
  <c r="E134" i="48" s="1"/>
  <c r="Z127" i="17"/>
  <c r="AA127" i="17" s="1"/>
  <c r="AD117" i="17"/>
  <c r="E124" i="48" s="1"/>
  <c r="Z117" i="17"/>
  <c r="AA117" i="17" s="1"/>
  <c r="AD158" i="17"/>
  <c r="E165" i="48" s="1"/>
  <c r="Z158" i="17"/>
  <c r="AA158" i="17" s="1"/>
  <c r="AD106" i="17"/>
  <c r="E113" i="48" s="1"/>
  <c r="Z106" i="17"/>
  <c r="AA106" i="17" s="1"/>
  <c r="AD164" i="17"/>
  <c r="E171" i="48" s="1"/>
  <c r="Z164" i="17"/>
  <c r="AA164" i="17" s="1"/>
  <c r="AD116" i="17"/>
  <c r="E123" i="48" s="1"/>
  <c r="Z116" i="17"/>
  <c r="AA116" i="17" s="1"/>
  <c r="AD43" i="17"/>
  <c r="Z43" i="17"/>
  <c r="AA43" i="17" s="1"/>
  <c r="AD118" i="17"/>
  <c r="E125" i="48" s="1"/>
  <c r="Z118" i="17"/>
  <c r="AA118" i="17" s="1"/>
  <c r="AD90" i="17"/>
  <c r="Z90" i="17"/>
  <c r="AA90" i="17" s="1"/>
  <c r="AD16" i="17"/>
  <c r="Y2" i="17"/>
  <c r="Z16" i="17"/>
  <c r="AD69" i="17"/>
  <c r="E76" i="48" s="1"/>
  <c r="Z69" i="17"/>
  <c r="AA69" i="17" s="1"/>
  <c r="AD73" i="17"/>
  <c r="E80" i="48" s="1"/>
  <c r="Z73" i="17"/>
  <c r="AA73" i="17" s="1"/>
  <c r="AD103" i="17"/>
  <c r="E110" i="48" s="1"/>
  <c r="Z103" i="17"/>
  <c r="AA103" i="17" s="1"/>
  <c r="AD24" i="17"/>
  <c r="E31" i="48" s="1"/>
  <c r="Z24" i="17"/>
  <c r="AA24" i="17" s="1"/>
  <c r="AD85" i="17"/>
  <c r="E92" i="48" s="1"/>
  <c r="Z85" i="17"/>
  <c r="AA85" i="17" s="1"/>
  <c r="AD87" i="17"/>
  <c r="E94" i="48" s="1"/>
  <c r="Z87" i="17"/>
  <c r="AA87" i="17" s="1"/>
  <c r="AD186" i="17"/>
  <c r="Z186" i="17"/>
  <c r="AA186" i="17" s="1"/>
  <c r="AD31" i="17"/>
  <c r="E38" i="48" s="1"/>
  <c r="Z31" i="17"/>
  <c r="AA31" i="17" s="1"/>
  <c r="AD105" i="17"/>
  <c r="E112" i="48" s="1"/>
  <c r="Z105" i="17"/>
  <c r="AA105" i="17" s="1"/>
  <c r="AD167" i="17"/>
  <c r="E174" i="48" s="1"/>
  <c r="Z167" i="17"/>
  <c r="AA167" i="17" s="1"/>
  <c r="AD168" i="17"/>
  <c r="E175" i="48" s="1"/>
  <c r="Z168" i="17"/>
  <c r="AA168" i="17" s="1"/>
  <c r="AD156" i="17"/>
  <c r="E163" i="48" s="1"/>
  <c r="Z156" i="17"/>
  <c r="AA156" i="17" s="1"/>
  <c r="AD112" i="17"/>
  <c r="E119" i="48" s="1"/>
  <c r="Z112" i="17"/>
  <c r="AA112" i="17" s="1"/>
  <c r="AD182" i="17"/>
  <c r="Z182" i="17"/>
  <c r="AA182" i="17" s="1"/>
  <c r="AD97" i="17"/>
  <c r="E104" i="48" s="1"/>
  <c r="Z97" i="17"/>
  <c r="AA97" i="17" s="1"/>
  <c r="AD119" i="17"/>
  <c r="E126" i="48" s="1"/>
  <c r="Z119" i="17"/>
  <c r="AA119" i="17" s="1"/>
  <c r="AD180" i="17"/>
  <c r="Z180" i="17"/>
  <c r="AA180" i="17" s="1"/>
  <c r="AD135" i="17"/>
  <c r="E142" i="48" s="1"/>
  <c r="Z135" i="17"/>
  <c r="AA135" i="17" s="1"/>
  <c r="AD157" i="17"/>
  <c r="E164" i="48" s="1"/>
  <c r="Z157" i="17"/>
  <c r="AA157" i="17" s="1"/>
  <c r="AD89" i="17"/>
  <c r="E96" i="48" s="1"/>
  <c r="Z89" i="17"/>
  <c r="AA89" i="17" s="1"/>
  <c r="AD79" i="17"/>
  <c r="E86" i="48" s="1"/>
  <c r="Z79" i="17"/>
  <c r="AA79" i="17" s="1"/>
  <c r="AD78" i="17"/>
  <c r="E85" i="48" s="1"/>
  <c r="Z78" i="17"/>
  <c r="AA78" i="17" s="1"/>
  <c r="AD133" i="17"/>
  <c r="E140" i="48" s="1"/>
  <c r="Z133" i="17"/>
  <c r="AA133" i="17" s="1"/>
  <c r="AD82" i="17"/>
  <c r="E89" i="48" s="1"/>
  <c r="Z82" i="17"/>
  <c r="AA82" i="17" s="1"/>
  <c r="AD88" i="17"/>
  <c r="E95" i="48" s="1"/>
  <c r="Z88" i="17"/>
  <c r="AA88" i="17" s="1"/>
  <c r="AD183" i="17"/>
  <c r="E55" i="48" s="1"/>
  <c r="Z183" i="17"/>
  <c r="AA183" i="17" s="1"/>
  <c r="AD18" i="17"/>
  <c r="E25" i="48" s="1"/>
  <c r="Z18" i="17"/>
  <c r="AA18" i="17" s="1"/>
  <c r="AD149" i="17"/>
  <c r="E156" i="48" s="1"/>
  <c r="Z149" i="17"/>
  <c r="AA149" i="17" s="1"/>
  <c r="AD153" i="17"/>
  <c r="E160" i="48" s="1"/>
  <c r="Z153" i="17"/>
  <c r="AA153" i="17" s="1"/>
  <c r="AD131" i="17"/>
  <c r="E138" i="48" s="1"/>
  <c r="Z131" i="17"/>
  <c r="AA131" i="17" s="1"/>
  <c r="AD154" i="17"/>
  <c r="E161" i="48" s="1"/>
  <c r="Z154" i="17"/>
  <c r="AA154" i="17" s="1"/>
  <c r="AD137" i="17"/>
  <c r="E144" i="48" s="1"/>
  <c r="Z137" i="17"/>
  <c r="AA137" i="17" s="1"/>
  <c r="AD134" i="17"/>
  <c r="E141" i="48" s="1"/>
  <c r="Z134" i="17"/>
  <c r="AA134" i="17" s="1"/>
  <c r="AD151" i="17"/>
  <c r="E158" i="48" s="1"/>
  <c r="Z151" i="17"/>
  <c r="AA151" i="17" s="1"/>
  <c r="AD60" i="17"/>
  <c r="E67" i="48" s="1"/>
  <c r="Z60" i="17"/>
  <c r="AA60" i="17" s="1"/>
  <c r="AD61" i="17"/>
  <c r="E68" i="48" s="1"/>
  <c r="Z61" i="17"/>
  <c r="AA61" i="17" s="1"/>
  <c r="AD162" i="17"/>
  <c r="E169" i="48" s="1"/>
  <c r="Z162" i="17"/>
  <c r="AA162" i="17" s="1"/>
  <c r="AD96" i="17"/>
  <c r="E103" i="48" s="1"/>
  <c r="Z96" i="17"/>
  <c r="AA96" i="17" s="1"/>
  <c r="AD125" i="17"/>
  <c r="E132" i="48" s="1"/>
  <c r="Z125" i="17"/>
  <c r="AA125" i="17" s="1"/>
  <c r="AD99" i="17"/>
  <c r="E106" i="48" s="1"/>
  <c r="Z99" i="17"/>
  <c r="AA99" i="17" s="1"/>
  <c r="AD59" i="17"/>
  <c r="E66" i="48" s="1"/>
  <c r="Z59" i="17"/>
  <c r="AA59" i="17" s="1"/>
  <c r="AD148" i="17"/>
  <c r="E155" i="48" s="1"/>
  <c r="Z148" i="17"/>
  <c r="AA148" i="17" s="1"/>
  <c r="AD123" i="17"/>
  <c r="E130" i="48" s="1"/>
  <c r="Z123" i="17"/>
  <c r="AA123" i="17" s="1"/>
  <c r="AD100" i="17"/>
  <c r="E107" i="48" s="1"/>
  <c r="Z100" i="17"/>
  <c r="AA100" i="17" s="1"/>
  <c r="AD141" i="17"/>
  <c r="E148" i="48" s="1"/>
  <c r="Z141" i="17"/>
  <c r="AA141" i="17" s="1"/>
  <c r="AD152" i="17"/>
  <c r="E159" i="48" s="1"/>
  <c r="Z152" i="17"/>
  <c r="AA152" i="17" s="1"/>
  <c r="AD129" i="17"/>
  <c r="E136" i="48" s="1"/>
  <c r="Z129" i="17"/>
  <c r="AA129" i="17" s="1"/>
  <c r="AD132" i="17"/>
  <c r="E139" i="48" s="1"/>
  <c r="Z132" i="17"/>
  <c r="AA132" i="17" s="1"/>
  <c r="AD68" i="17"/>
  <c r="E75" i="48" s="1"/>
  <c r="Z68" i="17"/>
  <c r="AA68" i="17" s="1"/>
  <c r="AD160" i="17"/>
  <c r="E167" i="48" s="1"/>
  <c r="Z160" i="17"/>
  <c r="AA160" i="17" s="1"/>
  <c r="AD44" i="17"/>
  <c r="E51" i="48" s="1"/>
  <c r="Z44" i="17"/>
  <c r="AA44" i="17" s="1"/>
  <c r="AD173" i="17"/>
  <c r="Z173" i="17"/>
  <c r="AA173" i="17" s="1"/>
  <c r="AD109" i="17"/>
  <c r="E116" i="48" s="1"/>
  <c r="Z109" i="17"/>
  <c r="AA109" i="17" s="1"/>
  <c r="AD33" i="17"/>
  <c r="E40" i="48" s="1"/>
  <c r="Z33" i="17"/>
  <c r="AA33" i="17" s="1"/>
  <c r="AD130" i="17"/>
  <c r="E137" i="48" s="1"/>
  <c r="Z130" i="17"/>
  <c r="AA130" i="17" s="1"/>
  <c r="AD150" i="17"/>
  <c r="E157" i="48" s="1"/>
  <c r="Z150" i="17"/>
  <c r="AA150" i="17" s="1"/>
  <c r="AD147" i="17"/>
  <c r="E154" i="48" s="1"/>
  <c r="Z147" i="17"/>
  <c r="AA147" i="17" s="1"/>
  <c r="AD54" i="17"/>
  <c r="Z54" i="17"/>
  <c r="AA54" i="17" s="1"/>
  <c r="AD66" i="17"/>
  <c r="E73" i="48" s="1"/>
  <c r="Z66" i="17"/>
  <c r="AA66" i="17" s="1"/>
  <c r="AD146" i="17"/>
  <c r="E153" i="48" s="1"/>
  <c r="Z146" i="17"/>
  <c r="AA146" i="17" s="1"/>
  <c r="AD21" i="17"/>
  <c r="E28" i="48" s="1"/>
  <c r="Z21" i="17"/>
  <c r="AA21" i="17" s="1"/>
  <c r="AD110" i="17"/>
  <c r="E117" i="48" s="1"/>
  <c r="Z110" i="17"/>
  <c r="AA110" i="17" s="1"/>
  <c r="AD179" i="17"/>
  <c r="Z179" i="17"/>
  <c r="AA179" i="17" s="1"/>
  <c r="AD163" i="17"/>
  <c r="E170" i="48" s="1"/>
  <c r="Z163" i="17"/>
  <c r="AA163" i="17" s="1"/>
  <c r="AD17" i="17"/>
  <c r="Z17" i="17"/>
  <c r="AA17" i="17" s="1"/>
  <c r="AD144" i="17"/>
  <c r="E151" i="48" s="1"/>
  <c r="Z144" i="17"/>
  <c r="AA144" i="17" s="1"/>
  <c r="AD98" i="17"/>
  <c r="E105" i="48" s="1"/>
  <c r="Z98" i="17"/>
  <c r="AA98" i="17" s="1"/>
  <c r="AD128" i="17"/>
  <c r="E135" i="48" s="1"/>
  <c r="Z128" i="17"/>
  <c r="AA128" i="17" s="1"/>
  <c r="AD114" i="17"/>
  <c r="E121" i="48" s="1"/>
  <c r="Z114" i="17"/>
  <c r="AA114" i="17" s="1"/>
  <c r="AD165" i="17"/>
  <c r="E172" i="48" s="1"/>
  <c r="Z165" i="17"/>
  <c r="AA165" i="17" s="1"/>
  <c r="AD181" i="17"/>
  <c r="Z181" i="17"/>
  <c r="AA181" i="17" s="1"/>
  <c r="AD143" i="17"/>
  <c r="E150" i="48" s="1"/>
  <c r="Z143" i="17"/>
  <c r="AA143" i="17" s="1"/>
  <c r="AD121" i="17"/>
  <c r="E128" i="48" s="1"/>
  <c r="Z121" i="17"/>
  <c r="AA121" i="17" s="1"/>
  <c r="AD159" i="17"/>
  <c r="E166" i="48" s="1"/>
  <c r="Z159" i="17"/>
  <c r="AA159" i="17" s="1"/>
  <c r="AD107" i="17"/>
  <c r="E114" i="48" s="1"/>
  <c r="Z107" i="17"/>
  <c r="AA107" i="17" s="1"/>
  <c r="AD115" i="17"/>
  <c r="E122" i="48" s="1"/>
  <c r="Z115" i="17"/>
  <c r="AA115" i="17" s="1"/>
  <c r="AD86" i="17"/>
  <c r="E93" i="48" s="1"/>
  <c r="Z86" i="17"/>
  <c r="AA86" i="17" s="1"/>
  <c r="AD161" i="17"/>
  <c r="E168" i="48" s="1"/>
  <c r="Z161" i="17"/>
  <c r="AA161" i="17" s="1"/>
  <c r="AD37" i="17"/>
  <c r="Z37" i="17"/>
  <c r="AA37" i="17" s="1"/>
  <c r="AD176" i="17"/>
  <c r="Z176" i="17"/>
  <c r="AA176" i="17" s="1"/>
  <c r="AD171" i="17"/>
  <c r="Z171" i="17"/>
  <c r="AA171" i="17" s="1"/>
  <c r="AD48" i="17"/>
  <c r="Z48" i="17"/>
  <c r="AA48" i="17" s="1"/>
  <c r="AD102" i="17"/>
  <c r="E109" i="48" s="1"/>
  <c r="Z102" i="17"/>
  <c r="AA102" i="17" s="1"/>
  <c r="AD92" i="17"/>
  <c r="E99" i="48" s="1"/>
  <c r="Z92" i="17"/>
  <c r="AA92" i="17" s="1"/>
  <c r="AD166" i="17"/>
  <c r="E173" i="48" s="1"/>
  <c r="Z166" i="17"/>
  <c r="AA166" i="17" s="1"/>
  <c r="AD84" i="17"/>
  <c r="E91" i="48" s="1"/>
  <c r="Z84" i="17"/>
  <c r="AA84" i="17" s="1"/>
  <c r="AD140" i="17"/>
  <c r="E147" i="48" s="1"/>
  <c r="Z140" i="17"/>
  <c r="AA140" i="17" s="1"/>
  <c r="AD172" i="17"/>
  <c r="Z172" i="17"/>
  <c r="AA172" i="17" s="1"/>
  <c r="AD83" i="17"/>
  <c r="E90" i="48" s="1"/>
  <c r="Z83" i="17"/>
  <c r="AA83" i="17" s="1"/>
  <c r="AD26" i="17"/>
  <c r="Z26" i="17"/>
  <c r="AA26" i="17" s="1"/>
  <c r="AD145" i="17"/>
  <c r="E152" i="48" s="1"/>
  <c r="Z145" i="17"/>
  <c r="AA145" i="17" s="1"/>
  <c r="AD139" i="17"/>
  <c r="E146" i="48" s="1"/>
  <c r="Z139" i="17"/>
  <c r="AA139" i="17" s="1"/>
  <c r="AD174" i="17"/>
  <c r="Z174" i="17"/>
  <c r="AA174" i="17" s="1"/>
  <c r="AD169" i="17"/>
  <c r="E176" i="48" s="1"/>
  <c r="Z169" i="17"/>
  <c r="AA169" i="17" s="1"/>
  <c r="AD113" i="17"/>
  <c r="E120" i="48" s="1"/>
  <c r="Z113" i="17"/>
  <c r="AA113" i="17" s="1"/>
  <c r="AD120" i="17"/>
  <c r="E127" i="48" s="1"/>
  <c r="Z120" i="17"/>
  <c r="AA120" i="17" s="1"/>
  <c r="AD177" i="17"/>
  <c r="Z177" i="17"/>
  <c r="AA177" i="17" s="1"/>
  <c r="AD170" i="17"/>
  <c r="E50" i="48" s="1"/>
  <c r="Z170" i="17"/>
  <c r="AA170" i="17" s="1"/>
  <c r="AD185" i="17"/>
  <c r="Z185" i="17"/>
  <c r="AA185" i="17" s="1"/>
  <c r="AD23" i="17"/>
  <c r="E30" i="48" s="1"/>
  <c r="Z23" i="17"/>
  <c r="AA23" i="17" s="1"/>
  <c r="AD101" i="17"/>
  <c r="E108" i="48" s="1"/>
  <c r="Z101" i="17"/>
  <c r="AA101" i="17" s="1"/>
  <c r="AD62" i="17"/>
  <c r="E69" i="48" s="1"/>
  <c r="Z62" i="17"/>
  <c r="AA62" i="17" s="1"/>
  <c r="AD35" i="17"/>
  <c r="E42" i="48" s="1"/>
  <c r="Z35" i="17"/>
  <c r="AA35" i="17" s="1"/>
  <c r="AD142" i="17"/>
  <c r="E149" i="48" s="1"/>
  <c r="Z142" i="17"/>
  <c r="AA142" i="17" s="1"/>
  <c r="AD108" i="17"/>
  <c r="E44" i="48" s="1"/>
  <c r="Z108" i="17"/>
  <c r="AA108" i="17" s="1"/>
  <c r="AD95" i="17"/>
  <c r="E102" i="48" s="1"/>
  <c r="Z95" i="17"/>
  <c r="AA95" i="17" s="1"/>
  <c r="AD122" i="17"/>
  <c r="E129" i="48" s="1"/>
  <c r="Z122" i="17"/>
  <c r="AA122" i="17" s="1"/>
  <c r="AD63" i="17"/>
  <c r="E70" i="48" s="1"/>
  <c r="Z63" i="17"/>
  <c r="AA63" i="17" s="1"/>
  <c r="Z13" i="17"/>
  <c r="Y3" i="17"/>
  <c r="AD74" i="17"/>
  <c r="Z74" i="17"/>
  <c r="AA74" i="17" s="1"/>
  <c r="Z7" i="17"/>
  <c r="Y1" i="17"/>
  <c r="AB9" i="17"/>
  <c r="AB50" i="17"/>
  <c r="AB81" i="17"/>
  <c r="Y5" i="17" l="1"/>
  <c r="E23" i="48"/>
  <c r="AD2" i="17"/>
  <c r="AA7" i="17"/>
  <c r="Z1" i="17"/>
  <c r="Z4" i="17"/>
  <c r="AA13" i="17"/>
  <c r="Z3" i="17"/>
  <c r="E24" i="48"/>
  <c r="B12" i="42"/>
  <c r="B13" i="42" s="1"/>
  <c r="AA16" i="17"/>
  <c r="Z2" i="17"/>
  <c r="AA3" i="17" l="1"/>
  <c r="AB13" i="17"/>
  <c r="AB3" i="17" s="1"/>
  <c r="AA2" i="17"/>
  <c r="AB7" i="17"/>
  <c r="AA4" i="17"/>
  <c r="AA1" i="17"/>
  <c r="AB4" i="17" l="1"/>
  <c r="AB1" i="17"/>
  <c r="AC7" i="17"/>
  <c r="AD7" i="17" s="1"/>
  <c r="E14" i="48" s="1"/>
  <c r="AC15" i="17"/>
  <c r="AC63" i="17"/>
  <c r="AE63" i="17" s="1"/>
  <c r="AG63" i="17" s="1"/>
  <c r="AC128" i="17"/>
  <c r="AE128" i="17" s="1"/>
  <c r="AG128" i="17" s="1"/>
  <c r="AC45" i="17"/>
  <c r="AC17" i="17"/>
  <c r="AE17" i="17" s="1"/>
  <c r="AG17" i="17" s="1"/>
  <c r="AC29" i="17"/>
  <c r="AC114" i="17"/>
  <c r="AE114" i="17" s="1"/>
  <c r="AG114" i="17" s="1"/>
  <c r="AC44" i="17"/>
  <c r="AE44" i="17" s="1"/>
  <c r="AG44" i="17" s="1"/>
  <c r="AC139" i="17"/>
  <c r="AE139" i="17" s="1"/>
  <c r="AG139" i="17" s="1"/>
  <c r="AC141" i="17"/>
  <c r="AE141" i="17" s="1"/>
  <c r="AG141" i="17" s="1"/>
  <c r="AC142" i="17"/>
  <c r="AE142" i="17" s="1"/>
  <c r="AG142" i="17" s="1"/>
  <c r="AC138" i="17"/>
  <c r="AC157" i="17"/>
  <c r="AE157" i="17" s="1"/>
  <c r="AG157" i="17" s="1"/>
  <c r="AC85" i="17"/>
  <c r="AE85" i="17" s="1"/>
  <c r="AG85" i="17" s="1"/>
  <c r="AC84" i="17"/>
  <c r="AE84" i="17" s="1"/>
  <c r="AG84" i="17" s="1"/>
  <c r="AC148" i="17"/>
  <c r="AE148" i="17" s="1"/>
  <c r="AG148" i="17" s="1"/>
  <c r="AC101" i="17"/>
  <c r="AE101" i="17" s="1"/>
  <c r="AG101" i="17" s="1"/>
  <c r="AC135" i="17"/>
  <c r="AE135" i="17" s="1"/>
  <c r="AG135" i="17" s="1"/>
  <c r="AC156" i="17"/>
  <c r="AE156" i="17" s="1"/>
  <c r="AG156" i="17" s="1"/>
  <c r="AC52" i="17"/>
  <c r="AC158" i="17"/>
  <c r="AE158" i="17" s="1"/>
  <c r="AG158" i="17" s="1"/>
  <c r="AC95" i="17"/>
  <c r="AE95" i="17" s="1"/>
  <c r="AG95" i="17" s="1"/>
  <c r="AC75" i="17"/>
  <c r="AC126" i="17"/>
  <c r="AC115" i="17"/>
  <c r="AE115" i="17" s="1"/>
  <c r="AG115" i="17" s="1"/>
  <c r="AC8" i="17"/>
  <c r="AC171" i="17"/>
  <c r="AE171" i="17" s="1"/>
  <c r="AG171" i="17" s="1"/>
  <c r="AC170" i="17"/>
  <c r="AE170" i="17" s="1"/>
  <c r="AG170" i="17" s="1"/>
  <c r="AC130" i="17"/>
  <c r="AE130" i="17" s="1"/>
  <c r="AG130" i="17" s="1"/>
  <c r="AC27" i="17"/>
  <c r="AC91" i="17"/>
  <c r="AE91" i="17" s="1"/>
  <c r="AG91" i="17" s="1"/>
  <c r="AC37" i="17"/>
  <c r="AE37" i="17" s="1"/>
  <c r="AG37" i="17" s="1"/>
  <c r="AC165" i="17"/>
  <c r="AE165" i="17" s="1"/>
  <c r="AG165" i="17" s="1"/>
  <c r="AC112" i="17"/>
  <c r="AE112" i="17" s="1"/>
  <c r="AG112" i="17" s="1"/>
  <c r="AC133" i="17"/>
  <c r="AE133" i="17" s="1"/>
  <c r="AG133" i="17" s="1"/>
  <c r="AC38" i="17"/>
  <c r="AC64" i="17"/>
  <c r="AC28" i="17"/>
  <c r="AC180" i="17"/>
  <c r="AE180" i="17" s="1"/>
  <c r="AG180" i="17" s="1"/>
  <c r="AC140" i="17"/>
  <c r="AE140" i="17" s="1"/>
  <c r="AG140" i="17" s="1"/>
  <c r="AC55" i="17"/>
  <c r="AC178" i="17"/>
  <c r="AC188" i="17"/>
  <c r="AC127" i="17"/>
  <c r="AE127" i="17" s="1"/>
  <c r="AG127" i="17" s="1"/>
  <c r="AC146" i="17"/>
  <c r="AE146" i="17" s="1"/>
  <c r="AG146" i="17" s="1"/>
  <c r="AC108" i="17"/>
  <c r="AE108" i="17" s="1"/>
  <c r="AG108" i="17" s="1"/>
  <c r="AC94" i="17"/>
  <c r="AC103" i="17"/>
  <c r="AE103" i="17" s="1"/>
  <c r="AG103" i="17" s="1"/>
  <c r="AC69" i="17"/>
  <c r="AE69" i="17" s="1"/>
  <c r="AG69" i="17" s="1"/>
  <c r="AC144" i="17"/>
  <c r="AE144" i="17" s="1"/>
  <c r="AG144" i="17" s="1"/>
  <c r="AC61" i="17"/>
  <c r="AE61" i="17" s="1"/>
  <c r="AG61" i="17" s="1"/>
  <c r="AC86" i="17"/>
  <c r="AE86" i="17" s="1"/>
  <c r="AG86" i="17" s="1"/>
  <c r="AC154" i="17"/>
  <c r="AE154" i="17" s="1"/>
  <c r="AG154" i="17" s="1"/>
  <c r="AC143" i="17"/>
  <c r="AE143" i="17" s="1"/>
  <c r="AG143" i="17" s="1"/>
  <c r="AC107" i="17"/>
  <c r="AE107" i="17" s="1"/>
  <c r="AG107" i="17" s="1"/>
  <c r="AC125" i="17"/>
  <c r="AE125" i="17" s="1"/>
  <c r="AG125" i="17" s="1"/>
  <c r="AC10" i="17"/>
  <c r="AC70" i="17"/>
  <c r="AC83" i="17"/>
  <c r="AE83" i="17" s="1"/>
  <c r="AG83" i="17" s="1"/>
  <c r="AC20" i="17"/>
  <c r="AC50" i="17"/>
  <c r="AC119" i="17"/>
  <c r="AE119" i="17" s="1"/>
  <c r="AG119" i="17" s="1"/>
  <c r="AC81" i="17"/>
  <c r="AC71" i="17"/>
  <c r="AC102" i="17"/>
  <c r="AE102" i="17" s="1"/>
  <c r="AG102" i="17" s="1"/>
  <c r="AC22" i="17"/>
  <c r="AC79" i="17"/>
  <c r="AE79" i="17" s="1"/>
  <c r="AG79" i="17" s="1"/>
  <c r="AC42" i="17"/>
  <c r="AC51" i="17"/>
  <c r="AC54" i="17"/>
  <c r="AE54" i="17" s="1"/>
  <c r="AG54" i="17" s="1"/>
  <c r="AC183" i="17"/>
  <c r="AE183" i="17" s="1"/>
  <c r="AG183" i="17" s="1"/>
  <c r="AC74" i="17"/>
  <c r="AE74" i="17" s="1"/>
  <c r="AG74" i="17" s="1"/>
  <c r="AC132" i="17"/>
  <c r="AE132" i="17" s="1"/>
  <c r="AG132" i="17" s="1"/>
  <c r="AC151" i="17"/>
  <c r="AE151" i="17" s="1"/>
  <c r="AG151" i="17" s="1"/>
  <c r="AC62" i="17"/>
  <c r="AE62" i="17" s="1"/>
  <c r="AG62" i="17" s="1"/>
  <c r="AC173" i="17"/>
  <c r="AE173" i="17" s="1"/>
  <c r="AG173" i="17" s="1"/>
  <c r="AC152" i="17"/>
  <c r="AE152" i="17" s="1"/>
  <c r="AG152" i="17" s="1"/>
  <c r="AC129" i="17"/>
  <c r="AE129" i="17" s="1"/>
  <c r="AG129" i="17" s="1"/>
  <c r="AC80" i="17"/>
  <c r="AC25" i="17"/>
  <c r="AC66" i="17"/>
  <c r="AE66" i="17" s="1"/>
  <c r="AG66" i="17" s="1"/>
  <c r="AC12" i="17"/>
  <c r="AC105" i="17"/>
  <c r="AE105" i="17" s="1"/>
  <c r="AG105" i="17" s="1"/>
  <c r="AC9" i="17"/>
  <c r="AC185" i="17"/>
  <c r="AE185" i="17" s="1"/>
  <c r="AG185" i="17" s="1"/>
  <c r="AC174" i="17"/>
  <c r="AE174" i="17" s="1"/>
  <c r="AG174" i="17" s="1"/>
  <c r="AC43" i="17"/>
  <c r="AE43" i="17" s="1"/>
  <c r="AG43" i="17" s="1"/>
  <c r="AC175" i="17"/>
  <c r="AC24" i="17"/>
  <c r="AE24" i="17" s="1"/>
  <c r="AG24" i="17" s="1"/>
  <c r="AC35" i="17"/>
  <c r="AE35" i="17" s="1"/>
  <c r="AG35" i="17" s="1"/>
  <c r="AC155" i="17"/>
  <c r="AC96" i="17"/>
  <c r="AE96" i="17" s="1"/>
  <c r="AG96" i="17" s="1"/>
  <c r="AC176" i="17"/>
  <c r="AE176" i="17" s="1"/>
  <c r="AG176" i="17" s="1"/>
  <c r="AC100" i="17"/>
  <c r="AE100" i="17" s="1"/>
  <c r="AG100" i="17" s="1"/>
  <c r="AC49" i="17"/>
  <c r="AC116" i="17"/>
  <c r="AE116" i="17" s="1"/>
  <c r="AG116" i="17" s="1"/>
  <c r="AC159" i="17"/>
  <c r="AE159" i="17" s="1"/>
  <c r="AG159" i="17" s="1"/>
  <c r="AC118" i="17"/>
  <c r="AE118" i="17" s="1"/>
  <c r="AG118" i="17" s="1"/>
  <c r="AC56" i="17"/>
  <c r="AC177" i="17"/>
  <c r="AE177" i="17" s="1"/>
  <c r="AG177" i="17" s="1"/>
  <c r="AC163" i="17"/>
  <c r="AE163" i="17" s="1"/>
  <c r="AG163" i="17" s="1"/>
  <c r="AC46" i="17"/>
  <c r="AC90" i="17"/>
  <c r="AE90" i="17" s="1"/>
  <c r="AG90" i="17" s="1"/>
  <c r="AC11" i="17"/>
  <c r="AC149" i="17"/>
  <c r="AE149" i="17" s="1"/>
  <c r="AG149" i="17" s="1"/>
  <c r="AC169" i="17"/>
  <c r="AE169" i="17" s="1"/>
  <c r="AG169" i="17" s="1"/>
  <c r="AC82" i="17"/>
  <c r="AE82" i="17" s="1"/>
  <c r="AG82" i="17" s="1"/>
  <c r="AC150" i="17"/>
  <c r="AE150" i="17" s="1"/>
  <c r="AG150" i="17" s="1"/>
  <c r="AC34" i="17"/>
  <c r="AC72" i="17"/>
  <c r="AC109" i="17"/>
  <c r="AE109" i="17" s="1"/>
  <c r="AG109" i="17" s="1"/>
  <c r="AC186" i="17"/>
  <c r="AE186" i="17" s="1"/>
  <c r="AG186" i="17" s="1"/>
  <c r="AC47" i="17"/>
  <c r="AC179" i="17"/>
  <c r="AE179" i="17" s="1"/>
  <c r="AG179" i="17" s="1"/>
  <c r="AC48" i="17"/>
  <c r="AE48" i="17" s="1"/>
  <c r="AG48" i="17" s="1"/>
  <c r="AC65" i="17"/>
  <c r="AC19" i="17"/>
  <c r="AC160" i="17"/>
  <c r="AE160" i="17" s="1"/>
  <c r="AG160" i="17" s="1"/>
  <c r="AC122" i="17"/>
  <c r="AE122" i="17" s="1"/>
  <c r="AG122" i="17" s="1"/>
  <c r="AC117" i="17"/>
  <c r="AE117" i="17" s="1"/>
  <c r="AG117" i="17" s="1"/>
  <c r="AC60" i="17"/>
  <c r="AE60" i="17" s="1"/>
  <c r="AG60" i="17" s="1"/>
  <c r="AC33" i="17"/>
  <c r="AE33" i="17" s="1"/>
  <c r="AG33" i="17" s="1"/>
  <c r="AC137" i="17"/>
  <c r="AE137" i="17" s="1"/>
  <c r="AG137" i="17" s="1"/>
  <c r="AC68" i="17"/>
  <c r="AE68" i="17" s="1"/>
  <c r="AG68" i="17" s="1"/>
  <c r="AC57" i="17"/>
  <c r="AC113" i="17"/>
  <c r="AE113" i="17" s="1"/>
  <c r="AG113" i="17" s="1"/>
  <c r="AC89" i="17"/>
  <c r="AE89" i="17" s="1"/>
  <c r="AG89" i="17" s="1"/>
  <c r="AC110" i="17"/>
  <c r="AE110" i="17" s="1"/>
  <c r="AG110" i="17" s="1"/>
  <c r="AC97" i="17"/>
  <c r="AE97" i="17" s="1"/>
  <c r="AG97" i="17" s="1"/>
  <c r="AC162" i="17"/>
  <c r="AE162" i="17" s="1"/>
  <c r="AG162" i="17" s="1"/>
  <c r="AC167" i="17"/>
  <c r="AE167" i="17" s="1"/>
  <c r="AG167" i="17" s="1"/>
  <c r="AC166" i="17"/>
  <c r="AE166" i="17" s="1"/>
  <c r="AG166" i="17" s="1"/>
  <c r="AC123" i="17"/>
  <c r="AE123" i="17" s="1"/>
  <c r="AG123" i="17" s="1"/>
  <c r="AC39" i="17"/>
  <c r="AC98" i="17"/>
  <c r="AE98" i="17" s="1"/>
  <c r="AG98" i="17" s="1"/>
  <c r="AC77" i="17"/>
  <c r="AC30" i="17"/>
  <c r="AC153" i="17"/>
  <c r="AE153" i="17" s="1"/>
  <c r="AG153" i="17" s="1"/>
  <c r="AC182" i="17"/>
  <c r="AE182" i="17" s="1"/>
  <c r="AG182" i="17" s="1"/>
  <c r="AC13" i="17"/>
  <c r="AC53" i="17"/>
  <c r="AC189" i="17"/>
  <c r="AC14" i="17"/>
  <c r="AC36" i="17"/>
  <c r="AC124" i="17"/>
  <c r="AE124" i="17" s="1"/>
  <c r="AG124" i="17" s="1"/>
  <c r="AC73" i="17"/>
  <c r="AE73" i="17" s="1"/>
  <c r="AG73" i="17" s="1"/>
  <c r="AC67" i="17"/>
  <c r="AC32" i="17"/>
  <c r="AC111" i="17"/>
  <c r="AC40" i="17"/>
  <c r="AC145" i="17"/>
  <c r="AE145" i="17" s="1"/>
  <c r="AG145" i="17" s="1"/>
  <c r="AC184" i="17"/>
  <c r="AC21" i="17"/>
  <c r="AE21" i="17" s="1"/>
  <c r="AG21" i="17" s="1"/>
  <c r="AC87" i="17"/>
  <c r="AE87" i="17" s="1"/>
  <c r="AG87" i="17" s="1"/>
  <c r="AC120" i="17"/>
  <c r="AE120" i="17" s="1"/>
  <c r="AG120" i="17" s="1"/>
  <c r="AC93" i="17"/>
  <c r="AC78" i="17"/>
  <c r="AE78" i="17" s="1"/>
  <c r="AG78" i="17" s="1"/>
  <c r="AC76" i="17"/>
  <c r="AC88" i="17"/>
  <c r="AE88" i="17" s="1"/>
  <c r="AG88" i="17" s="1"/>
  <c r="AC31" i="17"/>
  <c r="AE31" i="17" s="1"/>
  <c r="AG31" i="17" s="1"/>
  <c r="AC23" i="17"/>
  <c r="AE23" i="17" s="1"/>
  <c r="AG23" i="17" s="1"/>
  <c r="AC134" i="17"/>
  <c r="AE134" i="17" s="1"/>
  <c r="AG134" i="17" s="1"/>
  <c r="AC18" i="17"/>
  <c r="AE18" i="17" s="1"/>
  <c r="AG18" i="17" s="1"/>
  <c r="AC161" i="17"/>
  <c r="AE161" i="17" s="1"/>
  <c r="AG161" i="17" s="1"/>
  <c r="AC106" i="17"/>
  <c r="AE106" i="17" s="1"/>
  <c r="AG106" i="17" s="1"/>
  <c r="AC136" i="17"/>
  <c r="AE136" i="17" s="1"/>
  <c r="AG136" i="17" s="1"/>
  <c r="AC168" i="17"/>
  <c r="AE168" i="17" s="1"/>
  <c r="AG168" i="17" s="1"/>
  <c r="AC181" i="17"/>
  <c r="AE181" i="17" s="1"/>
  <c r="AG181" i="17" s="1"/>
  <c r="AC164" i="17"/>
  <c r="AE164" i="17" s="1"/>
  <c r="AG164" i="17" s="1"/>
  <c r="AC16" i="17"/>
  <c r="AC58" i="17"/>
  <c r="AC187" i="17"/>
  <c r="AC131" i="17"/>
  <c r="AE131" i="17" s="1"/>
  <c r="AG131" i="17" s="1"/>
  <c r="AC172" i="17"/>
  <c r="AE172" i="17" s="1"/>
  <c r="AG172" i="17" s="1"/>
  <c r="AC99" i="17"/>
  <c r="AE99" i="17" s="1"/>
  <c r="AG99" i="17" s="1"/>
  <c r="AC104" i="17"/>
  <c r="AC59" i="17"/>
  <c r="AE59" i="17" s="1"/>
  <c r="AG59" i="17" s="1"/>
  <c r="AC26" i="17"/>
  <c r="AE26" i="17" s="1"/>
  <c r="AG26" i="17" s="1"/>
  <c r="AC147" i="17"/>
  <c r="AE147" i="17" s="1"/>
  <c r="AG147" i="17" s="1"/>
  <c r="AC121" i="17"/>
  <c r="AE121" i="17" s="1"/>
  <c r="AG121" i="17" s="1"/>
  <c r="AC41" i="17"/>
  <c r="AC92" i="17"/>
  <c r="AE92" i="17" s="1"/>
  <c r="AG92" i="17" s="1"/>
  <c r="AE13" i="17" l="1"/>
  <c r="AC3" i="17"/>
  <c r="AD13" i="17"/>
  <c r="AE65" i="17"/>
  <c r="AG65" i="17" s="1"/>
  <c r="AD65" i="17"/>
  <c r="E72" i="48" s="1"/>
  <c r="AE52" i="17"/>
  <c r="AG52" i="17" s="1"/>
  <c r="AD52" i="17"/>
  <c r="E59" i="48" s="1"/>
  <c r="AD58" i="17"/>
  <c r="E65" i="48" s="1"/>
  <c r="AE58" i="17"/>
  <c r="AG58" i="17" s="1"/>
  <c r="AD67" i="17"/>
  <c r="E74" i="48" s="1"/>
  <c r="AE67" i="17"/>
  <c r="AG67" i="17" s="1"/>
  <c r="AE56" i="17"/>
  <c r="AG56" i="17" s="1"/>
  <c r="AD56" i="17"/>
  <c r="E63" i="48" s="1"/>
  <c r="AD155" i="17"/>
  <c r="E162" i="48" s="1"/>
  <c r="AE155" i="17"/>
  <c r="AG155" i="17" s="1"/>
  <c r="AE188" i="17"/>
  <c r="AG188" i="17" s="1"/>
  <c r="AD188" i="17"/>
  <c r="E61" i="48" s="1"/>
  <c r="AE187" i="17"/>
  <c r="AG187" i="17" s="1"/>
  <c r="AD187" i="17"/>
  <c r="E97" i="48" s="1"/>
  <c r="AE42" i="17"/>
  <c r="AG42" i="17" s="1"/>
  <c r="AD42" i="17"/>
  <c r="E49" i="48" s="1"/>
  <c r="AD38" i="17"/>
  <c r="E45" i="48" s="1"/>
  <c r="AE38" i="17"/>
  <c r="AG38" i="17" s="1"/>
  <c r="AE138" i="17"/>
  <c r="AG138" i="17" s="1"/>
  <c r="AD138" i="17"/>
  <c r="E145" i="48" s="1"/>
  <c r="AD45" i="17"/>
  <c r="E52" i="48" s="1"/>
  <c r="AE45" i="17"/>
  <c r="AG45" i="17" s="1"/>
  <c r="AE16" i="17"/>
  <c r="AC2" i="17"/>
  <c r="AE12" i="17"/>
  <c r="AG12" i="17" s="1"/>
  <c r="AD12" i="17"/>
  <c r="E19" i="48" s="1"/>
  <c r="AE22" i="17"/>
  <c r="AG22" i="17" s="1"/>
  <c r="AD22" i="17"/>
  <c r="E29" i="48" s="1"/>
  <c r="AE70" i="17"/>
  <c r="AG70" i="17" s="1"/>
  <c r="AD70" i="17"/>
  <c r="E77" i="48" s="1"/>
  <c r="AD178" i="17"/>
  <c r="AE178" i="17"/>
  <c r="AG178" i="17" s="1"/>
  <c r="AD8" i="17"/>
  <c r="AE8" i="17"/>
  <c r="AG8" i="17" s="1"/>
  <c r="AI161" i="17" s="1"/>
  <c r="F168" i="48" s="1"/>
  <c r="AE9" i="17"/>
  <c r="AG9" i="17" s="1"/>
  <c r="AD9" i="17"/>
  <c r="E16" i="48" s="1"/>
  <c r="AE30" i="17"/>
  <c r="AG30" i="17" s="1"/>
  <c r="AD30" i="17"/>
  <c r="E37" i="48" s="1"/>
  <c r="AE47" i="17"/>
  <c r="AG47" i="17" s="1"/>
  <c r="AD47" i="17"/>
  <c r="E54" i="48" s="1"/>
  <c r="AD10" i="17"/>
  <c r="E17" i="48" s="1"/>
  <c r="AE10" i="17"/>
  <c r="AG10" i="17" s="1"/>
  <c r="AI10" i="17" s="1"/>
  <c r="F17" i="48" s="1"/>
  <c r="AD55" i="17"/>
  <c r="E62" i="48" s="1"/>
  <c r="AE55" i="17"/>
  <c r="AG55" i="17" s="1"/>
  <c r="AD15" i="17"/>
  <c r="E22" i="48" s="1"/>
  <c r="AE15" i="17"/>
  <c r="AG15" i="17" s="1"/>
  <c r="AE104" i="17"/>
  <c r="AG104" i="17" s="1"/>
  <c r="AD104" i="17"/>
  <c r="E111" i="48" s="1"/>
  <c r="AD184" i="17"/>
  <c r="E35" i="48" s="1"/>
  <c r="AE184" i="17"/>
  <c r="AG184" i="17" s="1"/>
  <c r="AI184" i="17" s="1"/>
  <c r="F35" i="48" s="1"/>
  <c r="AE36" i="17"/>
  <c r="AG36" i="17" s="1"/>
  <c r="AD36" i="17"/>
  <c r="E43" i="48" s="1"/>
  <c r="AE77" i="17"/>
  <c r="AG77" i="17" s="1"/>
  <c r="AD77" i="17"/>
  <c r="E84" i="48" s="1"/>
  <c r="AD11" i="17"/>
  <c r="E18" i="48" s="1"/>
  <c r="AE11" i="17"/>
  <c r="AG11" i="17" s="1"/>
  <c r="AD175" i="17"/>
  <c r="E33" i="48" s="1"/>
  <c r="AE175" i="17"/>
  <c r="AG175" i="17" s="1"/>
  <c r="AI175" i="17" s="1"/>
  <c r="F33" i="48" s="1"/>
  <c r="AE25" i="17"/>
  <c r="AG25" i="17" s="1"/>
  <c r="AD25" i="17"/>
  <c r="E32" i="48" s="1"/>
  <c r="AD71" i="17"/>
  <c r="E78" i="48" s="1"/>
  <c r="AE71" i="17"/>
  <c r="AG71" i="17" s="1"/>
  <c r="AD126" i="17"/>
  <c r="E133" i="48" s="1"/>
  <c r="AE126" i="17"/>
  <c r="AG126" i="17" s="1"/>
  <c r="AC4" i="17"/>
  <c r="AC1" i="17"/>
  <c r="AE32" i="17"/>
  <c r="AG32" i="17" s="1"/>
  <c r="AD32" i="17"/>
  <c r="E39" i="48" s="1"/>
  <c r="AD93" i="17"/>
  <c r="E100" i="48" s="1"/>
  <c r="AE93" i="17"/>
  <c r="AG93" i="17" s="1"/>
  <c r="AD20" i="17"/>
  <c r="E27" i="48" s="1"/>
  <c r="AE20" i="17"/>
  <c r="AG20" i="17" s="1"/>
  <c r="AE14" i="17"/>
  <c r="AG14" i="17" s="1"/>
  <c r="AD14" i="17"/>
  <c r="E21" i="48" s="1"/>
  <c r="AD49" i="17"/>
  <c r="E56" i="48" s="1"/>
  <c r="AE49" i="17"/>
  <c r="AG49" i="17" s="1"/>
  <c r="AD80" i="17"/>
  <c r="E87" i="48" s="1"/>
  <c r="AE80" i="17"/>
  <c r="AG80" i="17" s="1"/>
  <c r="AE81" i="17"/>
  <c r="AG81" i="17" s="1"/>
  <c r="AD81" i="17"/>
  <c r="E88" i="48" s="1"/>
  <c r="AD94" i="17"/>
  <c r="E101" i="48" s="1"/>
  <c r="AE94" i="17"/>
  <c r="AG94" i="17" s="1"/>
  <c r="AI94" i="17" s="1"/>
  <c r="F101" i="48" s="1"/>
  <c r="AD75" i="17"/>
  <c r="E82" i="48" s="1"/>
  <c r="AE75" i="17"/>
  <c r="AG75" i="17" s="1"/>
  <c r="AE76" i="17"/>
  <c r="AG76" i="17" s="1"/>
  <c r="AD76" i="17"/>
  <c r="E83" i="48" s="1"/>
  <c r="AE40" i="17"/>
  <c r="AG40" i="17" s="1"/>
  <c r="AD40" i="17"/>
  <c r="E47" i="48" s="1"/>
  <c r="AD189" i="17"/>
  <c r="E115" i="48" s="1"/>
  <c r="AE189" i="17"/>
  <c r="AG189" i="17" s="1"/>
  <c r="AI189" i="17" s="1"/>
  <c r="F115" i="48" s="1"/>
  <c r="AE39" i="17"/>
  <c r="AG39" i="17" s="1"/>
  <c r="AD39" i="17"/>
  <c r="E46" i="48" s="1"/>
  <c r="AD72" i="17"/>
  <c r="E79" i="48" s="1"/>
  <c r="AE72" i="17"/>
  <c r="AG72" i="17" s="1"/>
  <c r="AD46" i="17"/>
  <c r="E53" i="48" s="1"/>
  <c r="AE46" i="17"/>
  <c r="AG46" i="17" s="1"/>
  <c r="AI46" i="17" s="1"/>
  <c r="F53" i="48" s="1"/>
  <c r="AE28" i="17"/>
  <c r="AG28" i="17" s="1"/>
  <c r="AD28" i="17"/>
  <c r="E81" i="48" s="1"/>
  <c r="AE27" i="17"/>
  <c r="AG27" i="17" s="1"/>
  <c r="AD27" i="17"/>
  <c r="E34" i="48" s="1"/>
  <c r="AE29" i="17"/>
  <c r="AG29" i="17" s="1"/>
  <c r="AD29" i="17"/>
  <c r="E36" i="48" s="1"/>
  <c r="AE7" i="17"/>
  <c r="AD41" i="17"/>
  <c r="E48" i="48" s="1"/>
  <c r="AE41" i="17"/>
  <c r="AG41" i="17" s="1"/>
  <c r="AE111" i="17"/>
  <c r="AG111" i="17" s="1"/>
  <c r="AI111" i="17" s="1"/>
  <c r="F118" i="48" s="1"/>
  <c r="AD111" i="17"/>
  <c r="E118" i="48" s="1"/>
  <c r="AD53" i="17"/>
  <c r="E60" i="48" s="1"/>
  <c r="AE53" i="17"/>
  <c r="AG53" i="17" s="1"/>
  <c r="AD57" i="17"/>
  <c r="E64" i="48" s="1"/>
  <c r="AE57" i="17"/>
  <c r="AG57" i="17" s="1"/>
  <c r="AD19" i="17"/>
  <c r="E26" i="48" s="1"/>
  <c r="AE19" i="17"/>
  <c r="AG19" i="17" s="1"/>
  <c r="AE34" i="17"/>
  <c r="AG34" i="17" s="1"/>
  <c r="AI34" i="17" s="1"/>
  <c r="F41" i="48" s="1"/>
  <c r="AD34" i="17"/>
  <c r="E41" i="48" s="1"/>
  <c r="AE51" i="17"/>
  <c r="AG51" i="17" s="1"/>
  <c r="AD51" i="17"/>
  <c r="E58" i="48" s="1"/>
  <c r="AD50" i="17"/>
  <c r="E57" i="48" s="1"/>
  <c r="AE50" i="17"/>
  <c r="AG50" i="17" s="1"/>
  <c r="AE64" i="17"/>
  <c r="AG64" i="17" s="1"/>
  <c r="AI64" i="17" s="1"/>
  <c r="F71" i="48" s="1"/>
  <c r="AD64" i="17"/>
  <c r="E71" i="48" s="1"/>
  <c r="AI27" i="17" l="1"/>
  <c r="F34" i="48" s="1"/>
  <c r="AI51" i="17"/>
  <c r="F58" i="48" s="1"/>
  <c r="AI39" i="17"/>
  <c r="F46" i="48" s="1"/>
  <c r="AI75" i="17"/>
  <c r="F82" i="48" s="1"/>
  <c r="AI19" i="17"/>
  <c r="F26" i="48" s="1"/>
  <c r="AI41" i="17"/>
  <c r="F48" i="48" s="1"/>
  <c r="AI28" i="17"/>
  <c r="F81" i="48" s="1"/>
  <c r="AI14" i="17"/>
  <c r="F21" i="48" s="1"/>
  <c r="AI20" i="17"/>
  <c r="F27" i="48" s="1"/>
  <c r="AI126" i="17"/>
  <c r="F133" i="48" s="1"/>
  <c r="AI11" i="17"/>
  <c r="F18" i="48" s="1"/>
  <c r="AI50" i="17"/>
  <c r="F57" i="48" s="1"/>
  <c r="AI57" i="17"/>
  <c r="F64" i="48" s="1"/>
  <c r="AI40" i="17"/>
  <c r="F47" i="48" s="1"/>
  <c r="AI81" i="17"/>
  <c r="F88" i="48" s="1"/>
  <c r="AI71" i="17"/>
  <c r="F78" i="48" s="1"/>
  <c r="AI53" i="17"/>
  <c r="F60" i="48" s="1"/>
  <c r="AI29" i="17"/>
  <c r="F36" i="48" s="1"/>
  <c r="AI76" i="17"/>
  <c r="F83" i="48" s="1"/>
  <c r="AI77" i="17"/>
  <c r="F84" i="48" s="1"/>
  <c r="AI49" i="17"/>
  <c r="F56" i="48" s="1"/>
  <c r="AI178" i="17"/>
  <c r="AI15" i="17"/>
  <c r="F22" i="48" s="1"/>
  <c r="AI30" i="17"/>
  <c r="F37" i="48" s="1"/>
  <c r="AI70" i="17"/>
  <c r="F77" i="48" s="1"/>
  <c r="AI187" i="17"/>
  <c r="F97" i="48" s="1"/>
  <c r="AI55" i="17"/>
  <c r="F62" i="48" s="1"/>
  <c r="AI45" i="17"/>
  <c r="F52" i="48" s="1"/>
  <c r="AI32" i="17"/>
  <c r="F39" i="48" s="1"/>
  <c r="AI25" i="17"/>
  <c r="F32" i="48" s="1"/>
  <c r="AI36" i="17"/>
  <c r="F43" i="48" s="1"/>
  <c r="AI9" i="17"/>
  <c r="F16" i="48" s="1"/>
  <c r="AI22" i="17"/>
  <c r="F29" i="48" s="1"/>
  <c r="AI138" i="17"/>
  <c r="F145" i="48" s="1"/>
  <c r="AI188" i="17"/>
  <c r="F61" i="48" s="1"/>
  <c r="AI109" i="17"/>
  <c r="F116" i="48" s="1"/>
  <c r="AI79" i="17"/>
  <c r="F86" i="48" s="1"/>
  <c r="AI170" i="17"/>
  <c r="F50" i="48" s="1"/>
  <c r="F15" i="48"/>
  <c r="AI108" i="17"/>
  <c r="F44" i="48" s="1"/>
  <c r="AI157" i="17"/>
  <c r="F164" i="48" s="1"/>
  <c r="AI112" i="17"/>
  <c r="F119" i="48" s="1"/>
  <c r="AI23" i="17"/>
  <c r="F30" i="48" s="1"/>
  <c r="AI78" i="17"/>
  <c r="F85" i="48" s="1"/>
  <c r="AI33" i="17"/>
  <c r="F40" i="48" s="1"/>
  <c r="AI141" i="17"/>
  <c r="F148" i="48" s="1"/>
  <c r="AI160" i="17"/>
  <c r="F167" i="48" s="1"/>
  <c r="AI149" i="17"/>
  <c r="F156" i="48" s="1"/>
  <c r="AI131" i="17"/>
  <c r="F138" i="48" s="1"/>
  <c r="AI142" i="17"/>
  <c r="F149" i="48" s="1"/>
  <c r="AI165" i="17"/>
  <c r="F172" i="48" s="1"/>
  <c r="AI37" i="17"/>
  <c r="AI172" i="17"/>
  <c r="AI63" i="17"/>
  <c r="F70" i="48" s="1"/>
  <c r="AI136" i="17"/>
  <c r="F143" i="48" s="1"/>
  <c r="AI115" i="17"/>
  <c r="F122" i="48" s="1"/>
  <c r="AI119" i="17"/>
  <c r="F126" i="48" s="1"/>
  <c r="AI17" i="17"/>
  <c r="F24" i="48" s="1"/>
  <c r="AI69" i="17"/>
  <c r="F76" i="48" s="1"/>
  <c r="AI133" i="17"/>
  <c r="F140" i="48" s="1"/>
  <c r="AI128" i="17"/>
  <c r="F135" i="48" s="1"/>
  <c r="AI83" i="17"/>
  <c r="F90" i="48" s="1"/>
  <c r="AI97" i="17"/>
  <c r="F104" i="48" s="1"/>
  <c r="AI169" i="17"/>
  <c r="F176" i="48" s="1"/>
  <c r="AI179" i="17"/>
  <c r="AI106" i="17"/>
  <c r="F113" i="48" s="1"/>
  <c r="AI129" i="17"/>
  <c r="F136" i="48" s="1"/>
  <c r="AI156" i="17"/>
  <c r="F163" i="48" s="1"/>
  <c r="AI132" i="17"/>
  <c r="F139" i="48" s="1"/>
  <c r="AI60" i="17"/>
  <c r="F67" i="48" s="1"/>
  <c r="AI21" i="17"/>
  <c r="F28" i="48" s="1"/>
  <c r="AI148" i="17"/>
  <c r="F155" i="48" s="1"/>
  <c r="AI105" i="17"/>
  <c r="F112" i="48" s="1"/>
  <c r="AI137" i="17"/>
  <c r="F144" i="48" s="1"/>
  <c r="AI123" i="17"/>
  <c r="F130" i="48" s="1"/>
  <c r="AI61" i="17"/>
  <c r="F68" i="48" s="1"/>
  <c r="AI74" i="17"/>
  <c r="AI167" i="17"/>
  <c r="F174" i="48" s="1"/>
  <c r="AI87" i="17"/>
  <c r="F94" i="48" s="1"/>
  <c r="AI84" i="17"/>
  <c r="F91" i="48" s="1"/>
  <c r="AI135" i="17"/>
  <c r="F142" i="48" s="1"/>
  <c r="AI113" i="17"/>
  <c r="F120" i="48" s="1"/>
  <c r="AI140" i="17"/>
  <c r="F147" i="48" s="1"/>
  <c r="AI44" i="17"/>
  <c r="F51" i="48" s="1"/>
  <c r="AI139" i="17"/>
  <c r="F146" i="48" s="1"/>
  <c r="AI130" i="17"/>
  <c r="F137" i="48" s="1"/>
  <c r="AI171" i="17"/>
  <c r="AI54" i="17"/>
  <c r="AI144" i="17"/>
  <c r="F151" i="48" s="1"/>
  <c r="AI116" i="17"/>
  <c r="F123" i="48" s="1"/>
  <c r="AI102" i="17"/>
  <c r="F109" i="48" s="1"/>
  <c r="AI143" i="17"/>
  <c r="F150" i="48" s="1"/>
  <c r="AI48" i="17"/>
  <c r="AI158" i="17"/>
  <c r="F165" i="48" s="1"/>
  <c r="AI124" i="17"/>
  <c r="F131" i="48" s="1"/>
  <c r="AI151" i="17"/>
  <c r="F158" i="48" s="1"/>
  <c r="AI176" i="17"/>
  <c r="AI62" i="17"/>
  <c r="F69" i="48" s="1"/>
  <c r="AI73" i="17"/>
  <c r="F80" i="48" s="1"/>
  <c r="AI154" i="17"/>
  <c r="F161" i="48" s="1"/>
  <c r="AI110" i="17"/>
  <c r="F117" i="48" s="1"/>
  <c r="AI66" i="17"/>
  <c r="F73" i="48" s="1"/>
  <c r="AI82" i="17"/>
  <c r="F89" i="48" s="1"/>
  <c r="AI35" i="17"/>
  <c r="F42" i="48" s="1"/>
  <c r="AI26" i="17"/>
  <c r="AI152" i="17"/>
  <c r="F159" i="48" s="1"/>
  <c r="AI159" i="17"/>
  <c r="F166" i="48" s="1"/>
  <c r="AI118" i="17"/>
  <c r="F125" i="48" s="1"/>
  <c r="AI174" i="17"/>
  <c r="AI95" i="17"/>
  <c r="F102" i="48" s="1"/>
  <c r="AI162" i="17"/>
  <c r="F169" i="48" s="1"/>
  <c r="AI153" i="17"/>
  <c r="F160" i="48" s="1"/>
  <c r="AI85" i="17"/>
  <c r="F92" i="48" s="1"/>
  <c r="AI24" i="17"/>
  <c r="F31" i="48" s="1"/>
  <c r="AI186" i="17"/>
  <c r="AI163" i="17"/>
  <c r="F170" i="48" s="1"/>
  <c r="AI181" i="17"/>
  <c r="AI89" i="17"/>
  <c r="F96" i="48" s="1"/>
  <c r="AI92" i="17"/>
  <c r="F99" i="48" s="1"/>
  <c r="AI96" i="17"/>
  <c r="F103" i="48" s="1"/>
  <c r="AI91" i="17"/>
  <c r="F98" i="48" s="1"/>
  <c r="AI120" i="17"/>
  <c r="F127" i="48" s="1"/>
  <c r="AI101" i="17"/>
  <c r="F108" i="48" s="1"/>
  <c r="AI164" i="17"/>
  <c r="F171" i="48" s="1"/>
  <c r="AI134" i="17"/>
  <c r="F141" i="48" s="1"/>
  <c r="AI59" i="17"/>
  <c r="F66" i="48" s="1"/>
  <c r="AI18" i="17"/>
  <c r="F25" i="48" s="1"/>
  <c r="AI100" i="17"/>
  <c r="F107" i="48" s="1"/>
  <c r="AI103" i="17"/>
  <c r="F110" i="48" s="1"/>
  <c r="AI38" i="17"/>
  <c r="F45" i="48" s="1"/>
  <c r="AI155" i="17"/>
  <c r="F162" i="48" s="1"/>
  <c r="AI125" i="17"/>
  <c r="F132" i="48" s="1"/>
  <c r="AI182" i="17"/>
  <c r="AI127" i="17"/>
  <c r="F134" i="48" s="1"/>
  <c r="AI121" i="17"/>
  <c r="F128" i="48" s="1"/>
  <c r="E15" i="48"/>
  <c r="AD4" i="17"/>
  <c r="AD1" i="17"/>
  <c r="AI12" i="17"/>
  <c r="F19" i="48" s="1"/>
  <c r="AI52" i="17"/>
  <c r="F59" i="48" s="1"/>
  <c r="AI117" i="17"/>
  <c r="F124" i="48" s="1"/>
  <c r="AI147" i="17"/>
  <c r="F154" i="48" s="1"/>
  <c r="AI86" i="17"/>
  <c r="F93" i="48" s="1"/>
  <c r="AI146" i="17"/>
  <c r="F153" i="48" s="1"/>
  <c r="AG7" i="17"/>
  <c r="AE1" i="17"/>
  <c r="AE4" i="17"/>
  <c r="AI31" i="17"/>
  <c r="F38" i="48" s="1"/>
  <c r="AI173" i="17"/>
  <c r="AI185" i="17"/>
  <c r="AI72" i="17"/>
  <c r="F79" i="48" s="1"/>
  <c r="AI80" i="17"/>
  <c r="F87" i="48" s="1"/>
  <c r="AI93" i="17"/>
  <c r="F100" i="48" s="1"/>
  <c r="AI104" i="17"/>
  <c r="F111" i="48" s="1"/>
  <c r="AI47" i="17"/>
  <c r="F54" i="48" s="1"/>
  <c r="AG16" i="17"/>
  <c r="AE2" i="17"/>
  <c r="AI42" i="17"/>
  <c r="F49" i="48" s="1"/>
  <c r="AI56" i="17"/>
  <c r="F63" i="48" s="1"/>
  <c r="AI65" i="17"/>
  <c r="F72" i="48" s="1"/>
  <c r="AI107" i="17"/>
  <c r="F114" i="48" s="1"/>
  <c r="AI114" i="17"/>
  <c r="F121" i="48" s="1"/>
  <c r="AI177" i="17"/>
  <c r="AI180" i="17"/>
  <c r="AI67" i="17"/>
  <c r="F74" i="48" s="1"/>
  <c r="E20" i="48"/>
  <c r="AD3" i="17"/>
  <c r="AI122" i="17"/>
  <c r="F129" i="48" s="1"/>
  <c r="AI43" i="17"/>
  <c r="AI150" i="17"/>
  <c r="F157" i="48" s="1"/>
  <c r="AI90" i="17"/>
  <c r="AI88" i="17"/>
  <c r="F95" i="48" s="1"/>
  <c r="AI98" i="17"/>
  <c r="F105" i="48" s="1"/>
  <c r="AI68" i="17"/>
  <c r="F75" i="48" s="1"/>
  <c r="AI145" i="17"/>
  <c r="F152" i="48" s="1"/>
  <c r="AI58" i="17"/>
  <c r="F65" i="48" s="1"/>
  <c r="AG13" i="17"/>
  <c r="AE3" i="17"/>
  <c r="AI183" i="17"/>
  <c r="F55" i="48" s="1"/>
  <c r="AI99" i="17"/>
  <c r="F106" i="48" s="1"/>
  <c r="AI166" i="17"/>
  <c r="F173" i="48" s="1"/>
  <c r="AI168" i="17"/>
  <c r="F175" i="48" s="1"/>
  <c r="C20" i="42" l="1"/>
  <c r="C22" i="42" s="1"/>
  <c r="D22" i="42" s="1"/>
  <c r="AI16" i="17"/>
  <c r="AG2" i="17"/>
  <c r="AG3" i="17"/>
  <c r="AI13" i="17"/>
  <c r="AG1" i="17"/>
  <c r="AI7" i="17"/>
  <c r="AG4" i="17"/>
  <c r="E2" i="48"/>
  <c r="E3" i="48" s="1"/>
  <c r="F23" i="48" l="1"/>
  <c r="AI2" i="17"/>
  <c r="AI1" i="17"/>
  <c r="AI4" i="17"/>
  <c r="F14" i="48"/>
  <c r="F20" i="48"/>
  <c r="AI3" i="17"/>
  <c r="C19" i="42" l="1"/>
  <c r="D19" i="42" s="1"/>
  <c r="F2" i="48"/>
  <c r="F3" i="48" s="1"/>
</calcChain>
</file>

<file path=xl/sharedStrings.xml><?xml version="1.0" encoding="utf-8"?>
<sst xmlns="http://schemas.openxmlformats.org/spreadsheetml/2006/main" count="1301" uniqueCount="600">
  <si>
    <t>2020 TPI</t>
  </si>
  <si>
    <t>Hospital Name</t>
  </si>
  <si>
    <t>County</t>
  </si>
  <si>
    <t>Own
1=Public
2=Private
3=State</t>
  </si>
  <si>
    <t>IMD
1=Yes
2=No</t>
  </si>
  <si>
    <t>State Payment Cap</t>
  </si>
  <si>
    <t>Schedule 1 &amp; 2 + Adjustments + UC-Only Charity Costs</t>
  </si>
  <si>
    <t>Amount of UC Advance Payment Attributable to State Payment Cap</t>
  </si>
  <si>
    <t>Analysis State Payment Cap less UC Advance Payments Charged to State Payment Cap</t>
  </si>
  <si>
    <t>021187203</t>
  </si>
  <si>
    <t>The University of Texas Health Science Center at Houston</t>
  </si>
  <si>
    <t>Harris</t>
  </si>
  <si>
    <t>021194801</t>
  </si>
  <si>
    <t>Texas HHSC Austin State Hospital</t>
  </si>
  <si>
    <t>Travis</t>
  </si>
  <si>
    <t>021196301</t>
  </si>
  <si>
    <t>Texas HHSC North Texas State Hospital -Vernon</t>
  </si>
  <si>
    <t>Wilbarger</t>
  </si>
  <si>
    <t>112751605</t>
  </si>
  <si>
    <t>Texas HHSC El Paso Psychiatric Center</t>
  </si>
  <si>
    <t>El Paso</t>
  </si>
  <si>
    <t>137919003</t>
  </si>
  <si>
    <t>Texas HHSC Terrell State Hospital</t>
  </si>
  <si>
    <t>Kaufman</t>
  </si>
  <si>
    <t>138706004</t>
  </si>
  <si>
    <t>Texas HHSC San Antonio State Hospital</t>
  </si>
  <si>
    <t>Bexar</t>
  </si>
  <si>
    <t>094092602</t>
  </si>
  <si>
    <t>The University Of Texas Medical Branch At Galveston</t>
  </si>
  <si>
    <t>Galveston</t>
  </si>
  <si>
    <t>112672402</t>
  </si>
  <si>
    <t>The University of Texas MD Anderson Cancer Center</t>
  </si>
  <si>
    <t>127278304</t>
  </si>
  <si>
    <t>University Of Texas Health Science Center At Tyler</t>
  </si>
  <si>
    <t>Smith</t>
  </si>
  <si>
    <t>State IMD</t>
  </si>
  <si>
    <t>State Teaching</t>
  </si>
  <si>
    <t>Rural
1=LE 500K
2=R38
3=No</t>
  </si>
  <si>
    <t>Children
1=Yes
2=No</t>
  </si>
  <si>
    <t>Actual Final DSH Payments</t>
  </si>
  <si>
    <t>Adv 1</t>
  </si>
  <si>
    <t>Adv 2</t>
  </si>
  <si>
    <t>Adv 3</t>
  </si>
  <si>
    <t>Recoupments</t>
  </si>
  <si>
    <t xml:space="preserve">University of Texas Health Center at Tyler </t>
  </si>
  <si>
    <t>University Of Texas Medical Branch At Galveston</t>
  </si>
  <si>
    <t>UT MD Anderson Cancer Center</t>
  </si>
  <si>
    <t>109966502</t>
  </si>
  <si>
    <t>HHSC (Waco Center for Youth)</t>
  </si>
  <si>
    <t>Cameron</t>
  </si>
  <si>
    <t>HHSC-U.T. Harris County Psychiatric Center</t>
  </si>
  <si>
    <t>HHSC (Austin State Hospital)</t>
  </si>
  <si>
    <t>021195501</t>
  </si>
  <si>
    <t>HHSC (North Texas State Hospital Wichita Falls)</t>
  </si>
  <si>
    <t>Wichita</t>
  </si>
  <si>
    <t>HHSC (North Texas State Hospital Vernon)</t>
  </si>
  <si>
    <t>021219301</t>
  </si>
  <si>
    <t>HHSC (Rio Grande State Center)</t>
  </si>
  <si>
    <t>133331202</t>
  </si>
  <si>
    <t>HHSC (Rusk State Hospital)</t>
  </si>
  <si>
    <t>Cherokee</t>
  </si>
  <si>
    <t>HHSC (El Paso Psychiatric Center)</t>
  </si>
  <si>
    <t>137918204</t>
  </si>
  <si>
    <t>HHSC (Big Spring State Hospital)</t>
  </si>
  <si>
    <t>Howard</t>
  </si>
  <si>
    <t>HHSC (Terrell State Hospital)</t>
  </si>
  <si>
    <t>HHSC (San Antonio State Hospital)</t>
  </si>
  <si>
    <t>126675104</t>
  </si>
  <si>
    <t>Non-State</t>
  </si>
  <si>
    <t>Large Public</t>
  </si>
  <si>
    <t>127295703</t>
  </si>
  <si>
    <t>133355104</t>
  </si>
  <si>
    <t>Harris County Hospital District</t>
  </si>
  <si>
    <t>136141205</t>
  </si>
  <si>
    <t>137265806</t>
  </si>
  <si>
    <t>138951211</t>
  </si>
  <si>
    <t>135235306</t>
  </si>
  <si>
    <t>Public</t>
  </si>
  <si>
    <t>137999206</t>
  </si>
  <si>
    <t>121775403</t>
  </si>
  <si>
    <t>020991801</t>
  </si>
  <si>
    <t>020992601</t>
  </si>
  <si>
    <t>091770005</t>
  </si>
  <si>
    <t>Concho County Hospital</t>
  </si>
  <si>
    <t>094121303</t>
  </si>
  <si>
    <t>094129604</t>
  </si>
  <si>
    <t>110856504</t>
  </si>
  <si>
    <t>112673204</t>
  </si>
  <si>
    <t>Yoakum Community Hospital</t>
  </si>
  <si>
    <t>112684904</t>
  </si>
  <si>
    <t>112692202</t>
  </si>
  <si>
    <t>112704504</t>
  </si>
  <si>
    <t>119874904</t>
  </si>
  <si>
    <t>121053602</t>
  </si>
  <si>
    <t>Knox County Hospital District</t>
  </si>
  <si>
    <t>121692107</t>
  </si>
  <si>
    <t>121781205</t>
  </si>
  <si>
    <t>121785303</t>
  </si>
  <si>
    <t>121787905</t>
  </si>
  <si>
    <t>121808305</t>
  </si>
  <si>
    <t>126667806</t>
  </si>
  <si>
    <t>Lockney Gen Hospital District (dba WJ Mangold Memorial Hosp)</t>
  </si>
  <si>
    <t>127298107</t>
  </si>
  <si>
    <t>127313803</t>
  </si>
  <si>
    <t>130616909</t>
  </si>
  <si>
    <t>130618504</t>
  </si>
  <si>
    <t>130826407</t>
  </si>
  <si>
    <t>130959304</t>
  </si>
  <si>
    <t>131030203</t>
  </si>
  <si>
    <t>131038504</t>
  </si>
  <si>
    <t>133244705</t>
  </si>
  <si>
    <t>Rolling Plains Memorial Hospital</t>
  </si>
  <si>
    <t>133250406</t>
  </si>
  <si>
    <t>133544006</t>
  </si>
  <si>
    <t>135151206</t>
  </si>
  <si>
    <t>136143806</t>
  </si>
  <si>
    <t>136330112</t>
  </si>
  <si>
    <t>136332705</t>
  </si>
  <si>
    <t>119877204</t>
  </si>
  <si>
    <t>136381405</t>
  </si>
  <si>
    <t>Tyler County Hospital</t>
  </si>
  <si>
    <t>401736001</t>
  </si>
  <si>
    <t>137227806</t>
  </si>
  <si>
    <t>Yoakum County Hospital</t>
  </si>
  <si>
    <t>137907508</t>
  </si>
  <si>
    <t>137909111</t>
  </si>
  <si>
    <t>Memorial Medical Center</t>
  </si>
  <si>
    <t>138353107</t>
  </si>
  <si>
    <t>138911619</t>
  </si>
  <si>
    <t>138913209</t>
  </si>
  <si>
    <t>138950412</t>
  </si>
  <si>
    <t>140714001</t>
  </si>
  <si>
    <t>189947801</t>
  </si>
  <si>
    <t>212140201</t>
  </si>
  <si>
    <t>217884004</t>
  </si>
  <si>
    <t>179272301</t>
  </si>
  <si>
    <t>Preferred Hospital Leasing Eldorado Inc</t>
  </si>
  <si>
    <t>Private</t>
  </si>
  <si>
    <t>316360201</t>
  </si>
  <si>
    <t>112728403</t>
  </si>
  <si>
    <t>175287501</t>
  </si>
  <si>
    <t>University of Texas Southwestern Medical Center at Dallas</t>
  </si>
  <si>
    <t>396650901</t>
  </si>
  <si>
    <t>Gainesville Community Hospital Inc</t>
  </si>
  <si>
    <t>021189801</t>
  </si>
  <si>
    <t>Private IMD</t>
  </si>
  <si>
    <t>021240902</t>
  </si>
  <si>
    <t>Laurel Ridge Treatment Center</t>
  </si>
  <si>
    <t>349059101</t>
  </si>
  <si>
    <t>San Antonio Behavioral Healthcare Hospital</t>
  </si>
  <si>
    <t>112742503</t>
  </si>
  <si>
    <t>Clarity Child Guidance Center</t>
  </si>
  <si>
    <t>112745802</t>
  </si>
  <si>
    <t>121829905</t>
  </si>
  <si>
    <t>175965601</t>
  </si>
  <si>
    <t>333289201</t>
  </si>
  <si>
    <t>371439601</t>
  </si>
  <si>
    <t>020811801</t>
  </si>
  <si>
    <t>388347201</t>
  </si>
  <si>
    <t>020817501</t>
  </si>
  <si>
    <t>020834001</t>
  </si>
  <si>
    <t>020844903</t>
  </si>
  <si>
    <t>020908201</t>
  </si>
  <si>
    <t>020930601</t>
  </si>
  <si>
    <t>Brownwood Regional Medical Center</t>
  </si>
  <si>
    <t>020943901</t>
  </si>
  <si>
    <t>020947001</t>
  </si>
  <si>
    <t>020950401</t>
  </si>
  <si>
    <t>020966001</t>
  </si>
  <si>
    <t>020973601</t>
  </si>
  <si>
    <t>020976902</t>
  </si>
  <si>
    <t>021184901</t>
  </si>
  <si>
    <t>021185601</t>
  </si>
  <si>
    <t>094108002</t>
  </si>
  <si>
    <t>094109802</t>
  </si>
  <si>
    <t>094113001</t>
  </si>
  <si>
    <t>094118902</t>
  </si>
  <si>
    <t>Detar Hospital</t>
  </si>
  <si>
    <t>094119702</t>
  </si>
  <si>
    <t>Carthage Hospital LLC</t>
  </si>
  <si>
    <t>094148602</t>
  </si>
  <si>
    <t>094154402</t>
  </si>
  <si>
    <t>094160103</t>
  </si>
  <si>
    <t>094164302</t>
  </si>
  <si>
    <t>094186602</t>
  </si>
  <si>
    <t>094187402</t>
  </si>
  <si>
    <t>094216103</t>
  </si>
  <si>
    <t>094222903</t>
  </si>
  <si>
    <t>094224503</t>
  </si>
  <si>
    <t>110803703</t>
  </si>
  <si>
    <t>Fort Duncan Medical Center</t>
  </si>
  <si>
    <t>110839103</t>
  </si>
  <si>
    <t>111829102</t>
  </si>
  <si>
    <t>112667403</t>
  </si>
  <si>
    <t>112677302</t>
  </si>
  <si>
    <t>112679902</t>
  </si>
  <si>
    <t>Mission Hospital Inc</t>
  </si>
  <si>
    <t>112693002</t>
  </si>
  <si>
    <t>San Angelo Community Medical Center</t>
  </si>
  <si>
    <t>112697102</t>
  </si>
  <si>
    <t>112701102</t>
  </si>
  <si>
    <t>Navarro Regional Hospital</t>
  </si>
  <si>
    <t>112705203</t>
  </si>
  <si>
    <t>ARMC-LP dba Abilene Regional Medical Center</t>
  </si>
  <si>
    <t>112711003</t>
  </si>
  <si>
    <t>112712802</t>
  </si>
  <si>
    <t>112716902</t>
  </si>
  <si>
    <t>121789503</t>
  </si>
  <si>
    <t>121807504</t>
  </si>
  <si>
    <t>121816602</t>
  </si>
  <si>
    <t>127263503</t>
  </si>
  <si>
    <t>127267603</t>
  </si>
  <si>
    <t>127319504</t>
  </si>
  <si>
    <t>130601104</t>
  </si>
  <si>
    <t>130605205</t>
  </si>
  <si>
    <t>131043506</t>
  </si>
  <si>
    <t>Big Spring Hosp Corp Scenic Mountain Med Ctr</t>
  </si>
  <si>
    <t>133252005</t>
  </si>
  <si>
    <t>Hill Regional Hospital</t>
  </si>
  <si>
    <t>133258705</t>
  </si>
  <si>
    <t>135032405</t>
  </si>
  <si>
    <t>Methodist Hospitals of Dallas</t>
  </si>
  <si>
    <t>135033210</t>
  </si>
  <si>
    <t>Columbus Community Hospital</t>
  </si>
  <si>
    <t>135035706</t>
  </si>
  <si>
    <t>Knapp Medical Center</t>
  </si>
  <si>
    <t>135036506</t>
  </si>
  <si>
    <t>Baylor All Saints Medical Center</t>
  </si>
  <si>
    <t>135226205</t>
  </si>
  <si>
    <t>135237906</t>
  </si>
  <si>
    <t>292096901</t>
  </si>
  <si>
    <t>136436606</t>
  </si>
  <si>
    <t>136491104</t>
  </si>
  <si>
    <t>Southwest General Hospital</t>
  </si>
  <si>
    <t>137226005</t>
  </si>
  <si>
    <t>Shannon Medical Center</t>
  </si>
  <si>
    <t>137245009</t>
  </si>
  <si>
    <t>137249208</t>
  </si>
  <si>
    <t>137805107</t>
  </si>
  <si>
    <t>Memorial Hermann Hospital System</t>
  </si>
  <si>
    <t>138296208</t>
  </si>
  <si>
    <t>138644310</t>
  </si>
  <si>
    <t>Hendrick Medical Center</t>
  </si>
  <si>
    <t>138910807</t>
  </si>
  <si>
    <t>138962907</t>
  </si>
  <si>
    <t>Hillcrest Baptist Medical Center</t>
  </si>
  <si>
    <t>139135109</t>
  </si>
  <si>
    <t>139172412</t>
  </si>
  <si>
    <t>Memorial Medical Center Lufkin</t>
  </si>
  <si>
    <t>139461107</t>
  </si>
  <si>
    <t>139485012</t>
  </si>
  <si>
    <t>159156201</t>
  </si>
  <si>
    <t>160709501</t>
  </si>
  <si>
    <t>Doctors Hospital at Renaissance</t>
  </si>
  <si>
    <t>162033801</t>
  </si>
  <si>
    <t>163111101</t>
  </si>
  <si>
    <t>163925401</t>
  </si>
  <si>
    <t>193867201</t>
  </si>
  <si>
    <t>194997601</t>
  </si>
  <si>
    <t>197063401</t>
  </si>
  <si>
    <t>207311601</t>
  </si>
  <si>
    <t>212060201</t>
  </si>
  <si>
    <t>220351501</t>
  </si>
  <si>
    <t>291854201</t>
  </si>
  <si>
    <t>294543801</t>
  </si>
  <si>
    <t>297342201</t>
  </si>
  <si>
    <t>311054601</t>
  </si>
  <si>
    <t>El Campo Memorial Hospital</t>
  </si>
  <si>
    <t>315440301</t>
  </si>
  <si>
    <t>322879301</t>
  </si>
  <si>
    <t>354178101</t>
  </si>
  <si>
    <t>358963201</t>
  </si>
  <si>
    <t>366812101</t>
  </si>
  <si>
    <t>112724302</t>
  </si>
  <si>
    <t>378029801</t>
  </si>
  <si>
    <t>Cy-Fair Medical Center Hospital LLC</t>
  </si>
  <si>
    <t>112706003</t>
  </si>
  <si>
    <t>Christus Health SE Texas dba Christus Jasper Mem Hospital</t>
  </si>
  <si>
    <t>181706601</t>
  </si>
  <si>
    <t>186599001</t>
  </si>
  <si>
    <t>Ascension Seton</t>
  </si>
  <si>
    <t>189791001</t>
  </si>
  <si>
    <t>Walker County Hospital Corporation</t>
  </si>
  <si>
    <t>132812205</t>
  </si>
  <si>
    <t>Driscoll Childrens Hospital</t>
  </si>
  <si>
    <t>387377001</t>
  </si>
  <si>
    <t>UT Health Henderson</t>
  </si>
  <si>
    <t>387381201</t>
  </si>
  <si>
    <t>UT Health Jacksonville</t>
  </si>
  <si>
    <t>154504801</t>
  </si>
  <si>
    <t>Harlingen Medical Center</t>
  </si>
  <si>
    <t>135225404</t>
  </si>
  <si>
    <t>208013701</t>
  </si>
  <si>
    <t>353712801</t>
  </si>
  <si>
    <t>387515501</t>
  </si>
  <si>
    <t>UT Health Athens</t>
  </si>
  <si>
    <t>308032701</t>
  </si>
  <si>
    <t>Prime Healthcare Services Pampa LLC</t>
  </si>
  <si>
    <t>127311205</t>
  </si>
  <si>
    <t>State</t>
  </si>
  <si>
    <t>Did not meet qualification thresholds</t>
  </si>
  <si>
    <t>Overpaid in advance payment</t>
  </si>
  <si>
    <t>IMD Check</t>
  </si>
  <si>
    <t>Reason for Recoupment</t>
  </si>
  <si>
    <t>Dallas</t>
  </si>
  <si>
    <t>Baylor University Medical Center</t>
  </si>
  <si>
    <t>Hidalgo</t>
  </si>
  <si>
    <t>Jefferson</t>
  </si>
  <si>
    <t>Lubbock</t>
  </si>
  <si>
    <t>Bosque County Hospital District</t>
  </si>
  <si>
    <t>St Joseph Regional Health Center</t>
  </si>
  <si>
    <t>387663301</t>
  </si>
  <si>
    <t>Nacogdoches County Hospital District</t>
  </si>
  <si>
    <t>Wadley Regional Medical Center</t>
  </si>
  <si>
    <t>112688004</t>
  </si>
  <si>
    <t>Hardeman County Memorial Hospital</t>
  </si>
  <si>
    <t>Odessa Regional Medical Center</t>
  </si>
  <si>
    <t>121782009</t>
  </si>
  <si>
    <t>Uvalde County Hospital Authority</t>
  </si>
  <si>
    <t>Nueces</t>
  </si>
  <si>
    <t>Refugio County Memorial Hospital</t>
  </si>
  <si>
    <t>Tarrant</t>
  </si>
  <si>
    <t>Payments - DY9 UC</t>
  </si>
  <si>
    <t>CHRISTUS Santa Rosa Health Care Corporation</t>
  </si>
  <si>
    <t>Methodist Healthcare System of San Antonio</t>
  </si>
  <si>
    <t>Wilson County Memorial Hospital District</t>
  </si>
  <si>
    <t>Bexar County Hospital District</t>
  </si>
  <si>
    <t>VHS San Antonio Partners LLC</t>
  </si>
  <si>
    <t>Medina County Hospital District</t>
  </si>
  <si>
    <t>Texas Health Presbyterian Hospital Dallas</t>
  </si>
  <si>
    <t>Columbia Hospital Medical City Dallas</t>
  </si>
  <si>
    <t>Lake Pointe Operating Company LLC</t>
  </si>
  <si>
    <t>Dallas County Hospital District</t>
  </si>
  <si>
    <t>Columbia Medical Center of Plano</t>
  </si>
  <si>
    <t>Hunt Memorial Hospital District</t>
  </si>
  <si>
    <t>Childrens Medical Center Dallas</t>
  </si>
  <si>
    <t>Texas Scottish Rite Hospital for Children</t>
  </si>
  <si>
    <t>Dallas Behavioral Healthcare Hospital</t>
  </si>
  <si>
    <t>Childrens Health Plano</t>
  </si>
  <si>
    <t>Our Childrens House Dallas</t>
  </si>
  <si>
    <t>Las Palmas Del Sol Healthcare</t>
  </si>
  <si>
    <t>The Hospitals of Providence - Memorial Campus</t>
  </si>
  <si>
    <t>El Paso County Hospital District</t>
  </si>
  <si>
    <t>El Paso Childrens Hospital</t>
  </si>
  <si>
    <t>HCA Houston Healthcare Southeast</t>
  </si>
  <si>
    <t>Healthbridge Childrens Hospital - Houston</t>
  </si>
  <si>
    <t>HCA Houston Healthcare West</t>
  </si>
  <si>
    <t>The Womans Hospital of Texas</t>
  </si>
  <si>
    <t>HCA Houston Healthcare Kingwood</t>
  </si>
  <si>
    <t>HCA Houston Healthcare Clear Lake</t>
  </si>
  <si>
    <t>West Oak Hospital Inc</t>
  </si>
  <si>
    <t>Matagorda County Hospital District</t>
  </si>
  <si>
    <t>Memorial Hermann Texas Medical Center</t>
  </si>
  <si>
    <t>Texas Childrens Hospital</t>
  </si>
  <si>
    <t>SHC KPH LP</t>
  </si>
  <si>
    <t>St Joseph Medical Center</t>
  </si>
  <si>
    <t>Houston Northwest Operating Company LLC</t>
  </si>
  <si>
    <t>Columbia Valley Healthcare Systems LP</t>
  </si>
  <si>
    <t>MCALLEN HOSPITAL LP</t>
  </si>
  <si>
    <t>LAREDO REGIONAL MEDICAL CENTER LP</t>
  </si>
  <si>
    <t>Columbia Rio Grande Healthcare</t>
  </si>
  <si>
    <t>STARR COUNTY MEMORIAL HOSPITAL</t>
  </si>
  <si>
    <t>Laredo Medical Center</t>
  </si>
  <si>
    <t>Valley Baptist Medical Center Harlingen</t>
  </si>
  <si>
    <t>Valley Baptist Medical Center Brownsville</t>
  </si>
  <si>
    <t>Strategic BH - Brownsville LLC</t>
  </si>
  <si>
    <t>Baptist Hospitals of Southeast Texas</t>
  </si>
  <si>
    <t>Memorial Hospital of Polk County</t>
  </si>
  <si>
    <t>CHRISTUS Health Southeast Texas</t>
  </si>
  <si>
    <t>The Medical Center of Southeast Texas</t>
  </si>
  <si>
    <t>Methodist Hospital Plainview</t>
  </si>
  <si>
    <t>Lamb County Hospital</t>
  </si>
  <si>
    <t>Methodist Childrens Hospital</t>
  </si>
  <si>
    <t>Terry County Memorial Hospital District</t>
  </si>
  <si>
    <t>METHODIST HOSPITAL LEVELLAND</t>
  </si>
  <si>
    <t>Deaf Smith County Hospital District</t>
  </si>
  <si>
    <t>NORTHWEST TEXAS HEALTHCARE SYSTEM</t>
  </si>
  <si>
    <t>Lubbock County Hospital District</t>
  </si>
  <si>
    <t>COVENANT MEDICAL CENTER</t>
  </si>
  <si>
    <t>GPCH LLC</t>
  </si>
  <si>
    <t>Baptist St Anthonys Healthcare System</t>
  </si>
  <si>
    <t>Metroplex Adventist Hospital Inc</t>
  </si>
  <si>
    <t>Ascension Providence</t>
  </si>
  <si>
    <t>Gonzales Healthcare Systems</t>
  </si>
  <si>
    <t>Jackson County Hospital District</t>
  </si>
  <si>
    <t>ScottWhite Hospital - Brenham</t>
  </si>
  <si>
    <t>ScottWhite Memorial Hospital</t>
  </si>
  <si>
    <t>Cuero Regional Hospital</t>
  </si>
  <si>
    <t>South Limestone Hospital District</t>
  </si>
  <si>
    <t>CAHRMC LLC</t>
  </si>
  <si>
    <t>CHRISTUS St Michael Health System</t>
  </si>
  <si>
    <t>CHRISTUS Mother Frances Hospital - Tyler</t>
  </si>
  <si>
    <t>Piney Woods Healthcare System, L.P.</t>
  </si>
  <si>
    <t>Longview Regional Medical Center</t>
  </si>
  <si>
    <t>CHRISTUS Good Shepherd Medical Center</t>
  </si>
  <si>
    <t>Palestine Principal Healthcare Partnership</t>
  </si>
  <si>
    <t>Nacogdoches Medical Center</t>
  </si>
  <si>
    <t>Titus County Memorial Hospital District</t>
  </si>
  <si>
    <t>Paris Regional Medical Center</t>
  </si>
  <si>
    <t>UHS OF TEXOMA</t>
  </si>
  <si>
    <t>Sherman Grayson</t>
  </si>
  <si>
    <t>CHRISTUS Mother Frances Hospital - Sulphur Springs</t>
  </si>
  <si>
    <t>UT Health Tyler</t>
  </si>
  <si>
    <t>Stonewall Memorial Hospital District</t>
  </si>
  <si>
    <t>Seminole Hospital District of Gaines County Texs</t>
  </si>
  <si>
    <t>Moore County Hospital District</t>
  </si>
  <si>
    <t>Big Bend Regional Medical Center</t>
  </si>
  <si>
    <t>OLNEY HAMILTON HOSPITAL DISTRICT</t>
  </si>
  <si>
    <t>Reeves County Hospital District</t>
  </si>
  <si>
    <t>Frio Hospital Association</t>
  </si>
  <si>
    <t>Fisher County Hospital District</t>
  </si>
  <si>
    <t>Ochiltree County Hospital District</t>
  </si>
  <si>
    <t>General Hospital</t>
  </si>
  <si>
    <t>River Crest Hospital</t>
  </si>
  <si>
    <t>Jack County Hospital District</t>
  </si>
  <si>
    <t>Val Verde Hospital Corporation</t>
  </si>
  <si>
    <t>SUTTON COUNTY HOSPITAL DISTRICT</t>
  </si>
  <si>
    <t>North Wheeler County Hospital District</t>
  </si>
  <si>
    <t>Andrews County Hospital District</t>
  </si>
  <si>
    <t>PECOS COUNTY MEMORIAL HOSPIT</t>
  </si>
  <si>
    <t>Dallam-Hartley Counties Hospital District</t>
  </si>
  <si>
    <t>Childress County Hospital District</t>
  </si>
  <si>
    <t>Ector County Hospital District</t>
  </si>
  <si>
    <t>United Regional Health Care System Inc</t>
  </si>
  <si>
    <t>Midland Memorial Hospital</t>
  </si>
  <si>
    <t>Scurry County Hospital District</t>
  </si>
  <si>
    <t>Baylor County Hospital District</t>
  </si>
  <si>
    <t>Palo Pinto County Hospital District</t>
  </si>
  <si>
    <t>Dawson County Hospital District</t>
  </si>
  <si>
    <t>Dimmit Regional Hospital</t>
  </si>
  <si>
    <t>Preferred Hospital Leasing Coleman Inc</t>
  </si>
  <si>
    <t>CHRISTUS Spohn Hospital Beeville</t>
  </si>
  <si>
    <t>Bay Area Healthcare Group Ltd</t>
  </si>
  <si>
    <t>CHRISTUS Spohn Hospital Alice</t>
  </si>
  <si>
    <t>CHRISTUS Spohn Hospital Corpus Christi</t>
  </si>
  <si>
    <t>CHRISTUS Spohn Hospital Kleberg</t>
  </si>
  <si>
    <t>Citizens Medical Center</t>
  </si>
  <si>
    <t>Columbia Medical Center Of Arlington Subsidiary</t>
  </si>
  <si>
    <t>Cook Childrens Medical Center</t>
  </si>
  <si>
    <t>Millwood Hospital</t>
  </si>
  <si>
    <t>Texas Health Harris Methodist Hospital Fort Worth</t>
  </si>
  <si>
    <t>Tarrant County Hospital District</t>
  </si>
  <si>
    <t>St Davids Community Hospital</t>
  </si>
  <si>
    <t>St David's Healthcare Partnership</t>
  </si>
  <si>
    <t>Adventist Health System Sunbelt Inc</t>
  </si>
  <si>
    <t>ScottWhite Hospital -Marble Falls</t>
  </si>
  <si>
    <t>Total DY 10 UC Payments</t>
  </si>
  <si>
    <t>UC Only Costs</t>
  </si>
  <si>
    <t>95% of the Analysis State Payment Cap</t>
  </si>
  <si>
    <t>IGT Required</t>
  </si>
  <si>
    <t>Total Recoupments</t>
  </si>
  <si>
    <t>Total</t>
  </si>
  <si>
    <t>Federal Share</t>
  </si>
  <si>
    <t>Final DSH Payments</t>
  </si>
  <si>
    <t>State Share</t>
  </si>
  <si>
    <t>Accord Medical Management LP dba Nix Health Care System</t>
  </si>
  <si>
    <t>All Funds</t>
  </si>
  <si>
    <t>Andrews</t>
  </si>
  <si>
    <t>Uvalde</t>
  </si>
  <si>
    <t>Other Public (and UTSW)</t>
  </si>
  <si>
    <t>Pass 3 Payments</t>
  </si>
  <si>
    <t>Ector</t>
  </si>
  <si>
    <t>Tom Green</t>
  </si>
  <si>
    <t>Palo Pinto</t>
  </si>
  <si>
    <t>Limestone</t>
  </si>
  <si>
    <t>Nolan</t>
  </si>
  <si>
    <t>Knox</t>
  </si>
  <si>
    <t>Fisher</t>
  </si>
  <si>
    <t>Wheeler</t>
  </si>
  <si>
    <t>Stonewall</t>
  </si>
  <si>
    <t>Refugio</t>
  </si>
  <si>
    <t>Reeves</t>
  </si>
  <si>
    <t>Schleicher</t>
  </si>
  <si>
    <t>Coleman</t>
  </si>
  <si>
    <t>Colorado</t>
  </si>
  <si>
    <t>Concho</t>
  </si>
  <si>
    <t>Hockley</t>
  </si>
  <si>
    <t>Hardeman</t>
  </si>
  <si>
    <t>Ochiltree</t>
  </si>
  <si>
    <t>Lavaca</t>
  </si>
  <si>
    <t>Baylor</t>
  </si>
  <si>
    <t>Jackson</t>
  </si>
  <si>
    <t>Dawson</t>
  </si>
  <si>
    <t>Washington</t>
  </si>
  <si>
    <t>Pecos</t>
  </si>
  <si>
    <t>Childress</t>
  </si>
  <si>
    <t>Sutton</t>
  </si>
  <si>
    <t>De Witt</t>
  </si>
  <si>
    <t>Young</t>
  </si>
  <si>
    <t>Bosque</t>
  </si>
  <si>
    <t>Lamb</t>
  </si>
  <si>
    <t>Deaf Smith</t>
  </si>
  <si>
    <t>Tyler</t>
  </si>
  <si>
    <t>Terry</t>
  </si>
  <si>
    <t>Wilson</t>
  </si>
  <si>
    <t>Calhoun</t>
  </si>
  <si>
    <t>Dimmit</t>
  </si>
  <si>
    <t>Brewster</t>
  </si>
  <si>
    <t>Hill</t>
  </si>
  <si>
    <t>Walker</t>
  </si>
  <si>
    <t>Starr</t>
  </si>
  <si>
    <t>Jack</t>
  </si>
  <si>
    <t>Hale</t>
  </si>
  <si>
    <t>Nacogdoches</t>
  </si>
  <si>
    <t>Frio</t>
  </si>
  <si>
    <t>Gonzales</t>
  </si>
  <si>
    <t>Medina</t>
  </si>
  <si>
    <t>Cooke</t>
  </si>
  <si>
    <t>Angelina</t>
  </si>
  <si>
    <t>Yoakum</t>
  </si>
  <si>
    <t>Dallam</t>
  </si>
  <si>
    <t>Rusk</t>
  </si>
  <si>
    <t>Moore</t>
  </si>
  <si>
    <t>Gaines</t>
  </si>
  <si>
    <t>Hutchinson</t>
  </si>
  <si>
    <t>Brown</t>
  </si>
  <si>
    <t>Grayson</t>
  </si>
  <si>
    <t>Rockwall</t>
  </si>
  <si>
    <t>Titus</t>
  </si>
  <si>
    <t>Victoria</t>
  </si>
  <si>
    <t>Scurry</t>
  </si>
  <si>
    <t>Matagorda</t>
  </si>
  <si>
    <t>Bee</t>
  </si>
  <si>
    <t>Hays</t>
  </si>
  <si>
    <t>Webb</t>
  </si>
  <si>
    <t>Kleberg</t>
  </si>
  <si>
    <t>Val Verde</t>
  </si>
  <si>
    <t>Hopkins</t>
  </si>
  <si>
    <t>Gregg</t>
  </si>
  <si>
    <t>Lamar</t>
  </si>
  <si>
    <t>Bowie</t>
  </si>
  <si>
    <t>Jim Wells</t>
  </si>
  <si>
    <t>Burnet</t>
  </si>
  <si>
    <t>Mclennan</t>
  </si>
  <si>
    <t>Bell</t>
  </si>
  <si>
    <t>Henderson</t>
  </si>
  <si>
    <t>Hunt</t>
  </si>
  <si>
    <t>Gray</t>
  </si>
  <si>
    <t>Potter</t>
  </si>
  <si>
    <t>Midland</t>
  </si>
  <si>
    <t>Brazos</t>
  </si>
  <si>
    <t>Taylor</t>
  </si>
  <si>
    <t>Collin</t>
  </si>
  <si>
    <t>Harrison</t>
  </si>
  <si>
    <t>Navarro</t>
  </si>
  <si>
    <t>N/A - Didn't qualify</t>
  </si>
  <si>
    <t>Amount of UC Payment Attributable to State Payment Cap</t>
  </si>
  <si>
    <t>Analysis State Payment Cap Less UC Payments Charged to State Payment Cap</t>
  </si>
  <si>
    <t>Remaining State Payment Cap after DSH Payments</t>
  </si>
  <si>
    <t>Federal Funds Remaining</t>
  </si>
  <si>
    <t>All Funds Remaining</t>
  </si>
  <si>
    <t>2021 TPI</t>
  </si>
  <si>
    <t>Ownership Type</t>
  </si>
  <si>
    <t>Remaining SPC % to total for Large Public</t>
  </si>
  <si>
    <t>Panola</t>
  </si>
  <si>
    <t>Jasper</t>
  </si>
  <si>
    <t>Wharton</t>
  </si>
  <si>
    <t>Floyd</t>
  </si>
  <si>
    <t>Polk</t>
  </si>
  <si>
    <t>Anderson</t>
  </si>
  <si>
    <t>Maverick</t>
  </si>
  <si>
    <t>Large Public IGT Refund based on final % to total</t>
  </si>
  <si>
    <t>IGT Assuming Ascension is a Large Public</t>
  </si>
  <si>
    <t>Remaining SPC % excluding Seton</t>
  </si>
  <si>
    <t>Urban Public Hospital (UPH) Class in 2020
1=Class 1 (TH)
2=Class 2
3=All Others</t>
  </si>
  <si>
    <t>Urban Public Hospital (UPH) Class in 2022
1=Class 1 (TH)
2=Class 2
3=All Others</t>
  </si>
  <si>
    <t>Own 2020
1=Public
2=Private
3=State</t>
  </si>
  <si>
    <t>Own 2022
1=Public
2=Private
3=State</t>
  </si>
  <si>
    <t>Additional 2020 DSH Payment Allocation (Federal Only)</t>
  </si>
  <si>
    <t>IGT for All Providers</t>
  </si>
  <si>
    <t>IGT for Self; Large Public and Small Public Hospitals</t>
  </si>
  <si>
    <t>Large Public IGT for Private Hospitals</t>
  </si>
  <si>
    <t>Final Payment Amount</t>
  </si>
  <si>
    <t>IGT Assuming Ascension is no longer a Large Public</t>
  </si>
  <si>
    <t>IGT Required after offsetting IGT refund</t>
  </si>
  <si>
    <t>Maximum IGT by Provider before Large Public IGT Refunds</t>
  </si>
  <si>
    <t>Final IGT Required</t>
  </si>
  <si>
    <t>Sum</t>
  </si>
  <si>
    <t>Required for the IGT for Privates</t>
  </si>
  <si>
    <t>Additional Payment
Col. K - Col. R. (pos value)</t>
  </si>
  <si>
    <t>Net DSH Payments (Payments - Recoupments)</t>
  </si>
  <si>
    <t>All Funds Pmt Amount (Pmt &amp; IGT comb.)</t>
  </si>
  <si>
    <t>FMAP</t>
  </si>
  <si>
    <t>Funds Remaining</t>
  </si>
  <si>
    <t>Non-state</t>
  </si>
  <si>
    <t>Federal Funds</t>
  </si>
  <si>
    <t>Total IGT to Fund Payment</t>
  </si>
  <si>
    <t>Summary</t>
  </si>
  <si>
    <t>Assumptions</t>
  </si>
  <si>
    <t>Rounded to 2 decimals</t>
  </si>
  <si>
    <t>Payments - 2020 DSH</t>
  </si>
  <si>
    <t>Payments - State Recoupments</t>
  </si>
  <si>
    <t>Final 2020 DSH Calc</t>
  </si>
  <si>
    <t>Payments - Non-State Recoupments</t>
  </si>
  <si>
    <t>Key:</t>
  </si>
  <si>
    <t>Providers that did not qualify for DSH and were fully recouped</t>
  </si>
  <si>
    <t>Providers that qualified but were recouped in the final calculation due to being overpaid in the advances</t>
  </si>
  <si>
    <t>Less: Large Public IGT refunds</t>
  </si>
  <si>
    <t>Redistributed Payment</t>
  </si>
  <si>
    <t>IGT to Fund Redistributed Payment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</si>
</sst>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\$#,##0"/>
    <numFmt numFmtId="165" formatCode="\ * #,##0.00\ ;\ * \(#,##0.00\);\ * \-#\ ;\ @\ "/>
    <numFmt numFmtId="166" formatCode="\$#,##0_);[Red]&quot;($&quot;#,##0\)"/>
    <numFmt numFmtId="167" formatCode="_(* #,##0_);_(* \(#,##0\);_(* &quot;-&quot;??_);_(@_)"/>
    <numFmt numFmtId="168" formatCode="&quot; $&quot;* #,##0.00\ ;&quot; $&quot;* \(#,##0.00\);&quot; $&quot;* \-#\ ;\ @\ "/>
    <numFmt numFmtId="169" formatCode="\$#,##0.00"/>
    <numFmt numFmtId="170" formatCode="\$#,##0.000"/>
    <numFmt numFmtId="171" formatCode="\$#,##0.0000"/>
  </numFmts>
  <fonts count="23" x14ac:knownFonts="1">
    <font>
      <sz val="12"/>
      <color theme="1"/>
      <name val="Verdana"/>
      <family val="2"/>
    </font>
    <font>
      <sz val="12"/>
      <color theme="1"/>
      <name val="Verdana"/>
      <family val="2"/>
    </font>
    <font>
      <b/>
      <sz val="12"/>
      <color theme="1"/>
      <name val="Verdana"/>
      <family val="2"/>
    </font>
    <font>
      <sz val="11"/>
      <color rgb="FF000000"/>
      <name val="Calibri"/>
      <family val="2"/>
      <charset val="1"/>
    </font>
    <font>
      <b/>
      <sz val="10"/>
      <color rgb="FFFFFFFF"/>
      <name val="Arial"/>
      <family val="2"/>
    </font>
    <font>
      <sz val="10"/>
      <name val="Arial"/>
      <family val="2"/>
    </font>
    <font>
      <sz val="10"/>
      <color theme="1"/>
      <name val="Verdana"/>
      <family val="2"/>
    </font>
    <font>
      <b/>
      <sz val="10"/>
      <color rgb="FFFFFFFF"/>
      <name val="Arial"/>
      <family val="2"/>
      <charset val="1"/>
    </font>
    <font>
      <b/>
      <sz val="10"/>
      <color theme="0"/>
      <name val="Arial"/>
      <family val="2"/>
    </font>
    <font>
      <sz val="10"/>
      <color rgb="FF000000"/>
      <name val="Arial"/>
      <family val="2"/>
      <charset val="1"/>
    </font>
    <font>
      <sz val="10"/>
      <color theme="1"/>
      <name val="Arial"/>
      <family val="2"/>
    </font>
    <font>
      <sz val="10"/>
      <color rgb="FF000000"/>
      <name val="Verdana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  <charset val="1"/>
    </font>
    <font>
      <sz val="10"/>
      <color indexed="8"/>
      <name val="Arial"/>
      <family val="2"/>
    </font>
    <font>
      <b/>
      <sz val="10"/>
      <color theme="1"/>
      <name val="Verdana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u/>
      <sz val="10"/>
      <color rgb="FFFFFFFF"/>
      <name val="Arial"/>
      <family val="2"/>
      <charset val="1"/>
    </font>
    <font>
      <u val="singleAccounting"/>
      <sz val="11"/>
      <color theme="1"/>
      <name val="Arial"/>
      <family val="2"/>
    </font>
    <font>
      <u/>
      <sz val="10"/>
      <color theme="1"/>
      <name val="Verdana"/>
      <family val="2"/>
    </font>
    <font>
      <b/>
      <u/>
      <sz val="12"/>
      <color theme="1"/>
      <name val="Verdana"/>
      <family val="2"/>
    </font>
  </fonts>
  <fills count="23">
    <fill>
      <patternFill patternType="none"/>
    </fill>
    <fill>
      <patternFill patternType="gray125"/>
    </fill>
    <fill>
      <patternFill patternType="solid">
        <fgColor rgb="FF893363"/>
        <bgColor rgb="FF84316B"/>
      </patternFill>
    </fill>
    <fill>
      <patternFill patternType="solid">
        <fgColor rgb="FF006EC3"/>
        <bgColor rgb="FF3883A9"/>
      </patternFill>
    </fill>
    <fill>
      <patternFill patternType="solid">
        <fgColor theme="7"/>
        <bgColor indexed="64"/>
      </patternFill>
    </fill>
    <fill>
      <patternFill patternType="solid">
        <fgColor theme="1"/>
        <bgColor rgb="FF5682B6"/>
      </patternFill>
    </fill>
    <fill>
      <patternFill patternType="solid">
        <fgColor theme="9"/>
        <bgColor rgb="FF5682B6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/>
        <bgColor rgb="FF000000"/>
      </patternFill>
    </fill>
    <fill>
      <patternFill patternType="solid">
        <fgColor theme="9"/>
        <bgColor rgb="FF84316B"/>
      </patternFill>
    </fill>
    <fill>
      <patternFill patternType="solid">
        <fgColor rgb="FF0070C0"/>
        <bgColor rgb="FF84316B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1" tint="0.499984740745262"/>
        <bgColor rgb="FF3883A9"/>
      </patternFill>
    </fill>
    <fill>
      <patternFill patternType="solid">
        <fgColor theme="1" tint="0.499984740745262"/>
        <bgColor rgb="FF84316B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33CCFF"/>
        <bgColor indexed="64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2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165" fontId="3" fillId="0" borderId="0"/>
    <xf numFmtId="0" fontId="3" fillId="0" borderId="0"/>
    <xf numFmtId="0" fontId="10" fillId="0" borderId="0"/>
    <xf numFmtId="0" fontId="10" fillId="0" borderId="0"/>
    <xf numFmtId="168" fontId="3" fillId="0" borderId="0"/>
    <xf numFmtId="9" fontId="3" fillId="0" borderId="0"/>
    <xf numFmtId="0" fontId="12" fillId="0" borderId="0"/>
    <xf numFmtId="44" fontId="12" fillId="0" borderId="0" applyFont="0" applyFill="0" applyBorder="0" applyAlignment="0" applyProtection="0"/>
    <xf numFmtId="0" fontId="12" fillId="0" borderId="0"/>
    <xf numFmtId="0" fontId="5" fillId="0" borderId="0"/>
    <xf numFmtId="0" fontId="13" fillId="0" borderId="0"/>
    <xf numFmtId="43" fontId="13" fillId="0" borderId="0" applyFont="0" applyFill="0" applyBorder="0" applyAlignment="0" applyProtection="0"/>
    <xf numFmtId="0" fontId="15" fillId="0" borderId="0"/>
    <xf numFmtId="0" fontId="3" fillId="0" borderId="0"/>
    <xf numFmtId="0" fontId="1" fillId="0" borderId="0"/>
    <xf numFmtId="9" fontId="1" fillId="0" borderId="0" applyFont="0" applyFill="0" applyBorder="0" applyAlignment="0" applyProtection="0"/>
    <xf numFmtId="0" fontId="12" fillId="0" borderId="0"/>
    <xf numFmtId="0" fontId="1" fillId="19" borderId="17" applyNumberFormat="0" applyFont="0" applyAlignment="0" applyProtection="0"/>
  </cellStyleXfs>
  <cellXfs count="139">
    <xf numFmtId="0" fontId="0" fillId="0" borderId="0" xfId="0"/>
    <xf numFmtId="49" fontId="4" fillId="2" borderId="1" xfId="3" applyNumberFormat="1" applyFont="1" applyFill="1" applyBorder="1" applyAlignment="1">
      <alignment horizontal="left" vertical="center" wrapText="1"/>
    </xf>
    <xf numFmtId="0" fontId="4" fillId="2" borderId="1" xfId="3" applyFont="1" applyFill="1" applyBorder="1" applyAlignment="1">
      <alignment horizontal="left" vertical="center" wrapText="1"/>
    </xf>
    <xf numFmtId="0" fontId="5" fillId="0" borderId="0" xfId="3" applyFont="1" applyAlignment="1">
      <alignment horizontal="left" vertical="top" wrapText="1"/>
    </xf>
    <xf numFmtId="164" fontId="6" fillId="0" borderId="0" xfId="0" applyNumberFormat="1" applyFont="1" applyAlignment="1">
      <alignment wrapText="1"/>
    </xf>
    <xf numFmtId="0" fontId="9" fillId="0" borderId="1" xfId="3" applyFont="1" applyBorder="1" applyAlignment="1">
      <alignment horizontal="left" wrapText="1"/>
    </xf>
    <xf numFmtId="0" fontId="9" fillId="0" borderId="1" xfId="3" applyFont="1" applyBorder="1" applyAlignment="1">
      <alignment horizontal="center"/>
    </xf>
    <xf numFmtId="0" fontId="0" fillId="0" borderId="0" xfId="0" applyAlignment="1">
      <alignment wrapText="1"/>
    </xf>
    <xf numFmtId="0" fontId="9" fillId="0" borderId="1" xfId="3" applyFont="1" applyBorder="1" applyAlignment="1">
      <alignment horizontal="left"/>
    </xf>
    <xf numFmtId="0" fontId="0" fillId="0" borderId="0" xfId="0" applyBorder="1"/>
    <xf numFmtId="0" fontId="9" fillId="0" borderId="1" xfId="3" applyFont="1" applyFill="1" applyBorder="1" applyAlignment="1">
      <alignment horizontal="left" wrapText="1"/>
    </xf>
    <xf numFmtId="8" fontId="8" fillId="10" borderId="1" xfId="0" applyNumberFormat="1" applyFont="1" applyFill="1" applyBorder="1" applyAlignment="1">
      <alignment horizontal="center" vertical="center" wrapText="1"/>
    </xf>
    <xf numFmtId="0" fontId="0" fillId="7" borderId="0" xfId="0" applyFill="1" applyAlignment="1">
      <alignment wrapText="1"/>
    </xf>
    <xf numFmtId="0" fontId="2" fillId="7" borderId="0" xfId="0" applyFont="1" applyFill="1" applyAlignment="1">
      <alignment wrapText="1"/>
    </xf>
    <xf numFmtId="0" fontId="0" fillId="0" borderId="1" xfId="0" applyBorder="1"/>
    <xf numFmtId="0" fontId="10" fillId="0" borderId="1" xfId="0" applyFont="1" applyBorder="1"/>
    <xf numFmtId="164" fontId="6" fillId="14" borderId="0" xfId="0" applyNumberFormat="1" applyFont="1" applyFill="1"/>
    <xf numFmtId="0" fontId="0" fillId="14" borderId="0" xfId="0" applyFill="1"/>
    <xf numFmtId="0" fontId="17" fillId="14" borderId="0" xfId="0" applyFont="1" applyFill="1"/>
    <xf numFmtId="43" fontId="17" fillId="14" borderId="0" xfId="1" applyFont="1" applyFill="1"/>
    <xf numFmtId="0" fontId="18" fillId="14" borderId="0" xfId="0" applyFont="1" applyFill="1"/>
    <xf numFmtId="43" fontId="18" fillId="14" borderId="0" xfId="0" applyNumberFormat="1" applyFont="1" applyFill="1"/>
    <xf numFmtId="0" fontId="9" fillId="8" borderId="1" xfId="3" applyFont="1" applyFill="1" applyBorder="1" applyAlignment="1">
      <alignment horizontal="left" wrapText="1"/>
    </xf>
    <xf numFmtId="0" fontId="9" fillId="4" borderId="1" xfId="3" applyFont="1" applyFill="1" applyBorder="1" applyAlignment="1">
      <alignment horizontal="left" wrapText="1"/>
    </xf>
    <xf numFmtId="9" fontId="6" fillId="14" borderId="0" xfId="2" applyFont="1" applyFill="1"/>
    <xf numFmtId="0" fontId="7" fillId="2" borderId="6" xfId="3" applyFont="1" applyFill="1" applyBorder="1" applyAlignment="1">
      <alignment horizontal="left" vertical="center" wrapText="1"/>
    </xf>
    <xf numFmtId="0" fontId="7" fillId="2" borderId="7" xfId="3" applyFont="1" applyFill="1" applyBorder="1" applyAlignment="1">
      <alignment horizontal="left" vertical="center" wrapText="1"/>
    </xf>
    <xf numFmtId="0" fontId="7" fillId="16" borderId="7" xfId="3" applyFont="1" applyFill="1" applyBorder="1" applyAlignment="1">
      <alignment horizontal="left" vertical="center" wrapText="1"/>
    </xf>
    <xf numFmtId="0" fontId="7" fillId="12" borderId="7" xfId="3" applyFont="1" applyFill="1" applyBorder="1" applyAlignment="1">
      <alignment horizontal="left" vertical="center" wrapText="1"/>
    </xf>
    <xf numFmtId="0" fontId="7" fillId="13" borderId="7" xfId="3" applyFont="1" applyFill="1" applyBorder="1" applyAlignment="1">
      <alignment horizontal="left" vertical="center" wrapText="1"/>
    </xf>
    <xf numFmtId="0" fontId="7" fillId="13" borderId="8" xfId="3" applyFont="1" applyFill="1" applyBorder="1" applyAlignment="1">
      <alignment horizontal="left" vertical="center" wrapText="1"/>
    </xf>
    <xf numFmtId="0" fontId="9" fillId="0" borderId="5" xfId="3" applyFont="1" applyBorder="1" applyAlignment="1">
      <alignment horizontal="left"/>
    </xf>
    <xf numFmtId="0" fontId="9" fillId="0" borderId="5" xfId="3" applyFont="1" applyBorder="1" applyAlignment="1">
      <alignment horizontal="center"/>
    </xf>
    <xf numFmtId="0" fontId="7" fillId="6" borderId="7" xfId="3" applyFont="1" applyFill="1" applyBorder="1" applyAlignment="1">
      <alignment horizontal="left" vertical="center" wrapText="1"/>
    </xf>
    <xf numFmtId="0" fontId="7" fillId="6" borderId="13" xfId="3" applyFont="1" applyFill="1" applyBorder="1" applyAlignment="1">
      <alignment horizontal="left" vertical="center" wrapText="1"/>
    </xf>
    <xf numFmtId="0" fontId="7" fillId="5" borderId="14" xfId="3" applyFont="1" applyFill="1" applyBorder="1" applyAlignment="1">
      <alignment horizontal="left" vertical="center" wrapText="1"/>
    </xf>
    <xf numFmtId="8" fontId="4" fillId="11" borderId="15" xfId="5" applyNumberFormat="1" applyFont="1" applyFill="1" applyBorder="1" applyAlignment="1">
      <alignment horizontal="center" vertical="center" wrapText="1"/>
    </xf>
    <xf numFmtId="49" fontId="9" fillId="0" borderId="9" xfId="3" applyNumberFormat="1" applyFont="1" applyBorder="1" applyAlignment="1">
      <alignment horizontal="left"/>
    </xf>
    <xf numFmtId="49" fontId="9" fillId="0" borderId="11" xfId="3" applyNumberFormat="1" applyFont="1" applyBorder="1" applyAlignment="1">
      <alignment horizontal="left"/>
    </xf>
    <xf numFmtId="0" fontId="9" fillId="4" borderId="5" xfId="3" applyFont="1" applyFill="1" applyBorder="1" applyAlignment="1">
      <alignment horizontal="left" wrapText="1"/>
    </xf>
    <xf numFmtId="0" fontId="9" fillId="9" borderId="1" xfId="3" applyFont="1" applyFill="1" applyBorder="1" applyAlignment="1">
      <alignment horizontal="left" wrapText="1"/>
    </xf>
    <xf numFmtId="43" fontId="17" fillId="0" borderId="0" xfId="1" applyFont="1"/>
    <xf numFmtId="0" fontId="10" fillId="19" borderId="17" xfId="21" applyFont="1"/>
    <xf numFmtId="0" fontId="10" fillId="0" borderId="1" xfId="0" applyFont="1" applyBorder="1" applyAlignment="1"/>
    <xf numFmtId="49" fontId="10" fillId="0" borderId="1" xfId="0" quotePrefix="1" applyNumberFormat="1" applyFont="1" applyBorder="1"/>
    <xf numFmtId="49" fontId="10" fillId="0" borderId="1" xfId="0" applyNumberFormat="1" applyFont="1" applyBorder="1"/>
    <xf numFmtId="43" fontId="20" fillId="14" borderId="0" xfId="0" applyNumberFormat="1" applyFont="1" applyFill="1"/>
    <xf numFmtId="164" fontId="21" fillId="14" borderId="0" xfId="0" applyNumberFormat="1" applyFont="1" applyFill="1"/>
    <xf numFmtId="9" fontId="21" fillId="14" borderId="0" xfId="2" applyFont="1" applyFill="1"/>
    <xf numFmtId="0" fontId="16" fillId="7" borderId="0" xfId="0" applyFont="1" applyFill="1" applyAlignment="1"/>
    <xf numFmtId="0" fontId="0" fillId="7" borderId="0" xfId="0" applyFill="1" applyAlignment="1"/>
    <xf numFmtId="164" fontId="6" fillId="7" borderId="0" xfId="0" applyNumberFormat="1" applyFont="1" applyFill="1" applyAlignment="1"/>
    <xf numFmtId="0" fontId="0" fillId="0" borderId="0" xfId="0" applyAlignment="1"/>
    <xf numFmtId="164" fontId="21" fillId="7" borderId="0" xfId="0" applyNumberFormat="1" applyFont="1" applyFill="1" applyAlignment="1"/>
    <xf numFmtId="0" fontId="2" fillId="7" borderId="0" xfId="0" applyFont="1" applyFill="1" applyAlignment="1"/>
    <xf numFmtId="164" fontId="16" fillId="7" borderId="0" xfId="0" applyNumberFormat="1" applyFont="1" applyFill="1" applyAlignment="1"/>
    <xf numFmtId="0" fontId="2" fillId="0" borderId="0" xfId="0" applyFont="1" applyAlignment="1"/>
    <xf numFmtId="164" fontId="9" fillId="0" borderId="1" xfId="4" applyNumberFormat="1" applyFont="1" applyBorder="1" applyAlignment="1">
      <alignment horizontal="right"/>
    </xf>
    <xf numFmtId="166" fontId="9" fillId="0" borderId="1" xfId="3" applyNumberFormat="1" applyFont="1" applyBorder="1" applyAlignment="1"/>
    <xf numFmtId="164" fontId="9" fillId="0" borderId="1" xfId="4" applyNumberFormat="1" applyFont="1" applyBorder="1" applyAlignment="1">
      <alignment horizontal="right" wrapText="1"/>
    </xf>
    <xf numFmtId="166" fontId="9" fillId="0" borderId="10" xfId="3" applyNumberFormat="1" applyFont="1" applyBorder="1" applyAlignment="1"/>
    <xf numFmtId="166" fontId="9" fillId="0" borderId="3" xfId="3" applyNumberFormat="1" applyFont="1" applyBorder="1" applyAlignment="1"/>
    <xf numFmtId="164" fontId="9" fillId="0" borderId="10" xfId="4" applyNumberFormat="1" applyFont="1" applyBorder="1" applyAlignment="1">
      <alignment horizontal="right"/>
    </xf>
    <xf numFmtId="164" fontId="9" fillId="0" borderId="3" xfId="4" applyNumberFormat="1" applyFont="1" applyBorder="1" applyAlignment="1">
      <alignment horizontal="right"/>
    </xf>
    <xf numFmtId="10" fontId="9" fillId="0" borderId="1" xfId="2" applyNumberFormat="1" applyFont="1" applyBorder="1" applyAlignment="1">
      <alignment horizontal="right"/>
    </xf>
    <xf numFmtId="166" fontId="9" fillId="0" borderId="5" xfId="3" applyNumberFormat="1" applyFont="1" applyBorder="1" applyAlignment="1"/>
    <xf numFmtId="166" fontId="9" fillId="0" borderId="12" xfId="3" applyNumberFormat="1" applyFont="1" applyBorder="1" applyAlignment="1"/>
    <xf numFmtId="164" fontId="9" fillId="0" borderId="5" xfId="4" applyNumberFormat="1" applyFont="1" applyBorder="1" applyAlignment="1">
      <alignment horizontal="right"/>
    </xf>
    <xf numFmtId="166" fontId="9" fillId="0" borderId="16" xfId="3" applyNumberFormat="1" applyFont="1" applyBorder="1" applyAlignment="1"/>
    <xf numFmtId="43" fontId="6" fillId="0" borderId="0" xfId="1" applyFont="1" applyFill="1" applyAlignment="1">
      <alignment wrapText="1"/>
    </xf>
    <xf numFmtId="169" fontId="9" fillId="0" borderId="1" xfId="4" applyNumberFormat="1" applyFont="1" applyBorder="1" applyAlignment="1">
      <alignment horizontal="right"/>
    </xf>
    <xf numFmtId="49" fontId="9" fillId="20" borderId="9" xfId="3" applyNumberFormat="1" applyFont="1" applyFill="1" applyBorder="1" applyAlignment="1">
      <alignment horizontal="left"/>
    </xf>
    <xf numFmtId="0" fontId="9" fillId="20" borderId="1" xfId="3" applyFont="1" applyFill="1" applyBorder="1" applyAlignment="1">
      <alignment horizontal="left" wrapText="1"/>
    </xf>
    <xf numFmtId="0" fontId="9" fillId="20" borderId="1" xfId="3" applyFont="1" applyFill="1" applyBorder="1" applyAlignment="1">
      <alignment horizontal="left"/>
    </xf>
    <xf numFmtId="0" fontId="9" fillId="20" borderId="1" xfId="3" applyFont="1" applyFill="1" applyBorder="1" applyAlignment="1">
      <alignment horizontal="center"/>
    </xf>
    <xf numFmtId="166" fontId="9" fillId="20" borderId="1" xfId="3" applyNumberFormat="1" applyFont="1" applyFill="1" applyBorder="1" applyAlignment="1"/>
    <xf numFmtId="166" fontId="9" fillId="20" borderId="10" xfId="3" applyNumberFormat="1" applyFont="1" applyFill="1" applyBorder="1" applyAlignment="1"/>
    <xf numFmtId="164" fontId="9" fillId="20" borderId="1" xfId="4" applyNumberFormat="1" applyFont="1" applyFill="1" applyBorder="1" applyAlignment="1">
      <alignment horizontal="right"/>
    </xf>
    <xf numFmtId="166" fontId="9" fillId="20" borderId="3" xfId="3" applyNumberFormat="1" applyFont="1" applyFill="1" applyBorder="1" applyAlignment="1"/>
    <xf numFmtId="164" fontId="9" fillId="20" borderId="3" xfId="4" applyNumberFormat="1" applyFont="1" applyFill="1" applyBorder="1" applyAlignment="1">
      <alignment horizontal="right"/>
    </xf>
    <xf numFmtId="10" fontId="9" fillId="20" borderId="1" xfId="2" applyNumberFormat="1" applyFont="1" applyFill="1" applyBorder="1" applyAlignment="1">
      <alignment horizontal="right"/>
    </xf>
    <xf numFmtId="169" fontId="9" fillId="20" borderId="1" xfId="4" applyNumberFormat="1" applyFont="1" applyFill="1" applyBorder="1" applyAlignment="1">
      <alignment horizontal="right"/>
    </xf>
    <xf numFmtId="170" fontId="9" fillId="0" borderId="1" xfId="4" applyNumberFormat="1" applyFont="1" applyBorder="1" applyAlignment="1">
      <alignment horizontal="right"/>
    </xf>
    <xf numFmtId="171" fontId="9" fillId="0" borderId="1" xfId="4" applyNumberFormat="1" applyFont="1" applyBorder="1" applyAlignment="1">
      <alignment horizontal="right"/>
    </xf>
    <xf numFmtId="43" fontId="10" fillId="0" borderId="1" xfId="1" applyNumberFormat="1" applyFont="1" applyBorder="1"/>
    <xf numFmtId="164" fontId="9" fillId="8" borderId="1" xfId="4" applyNumberFormat="1" applyFont="1" applyFill="1" applyBorder="1" applyAlignment="1">
      <alignment horizontal="right"/>
    </xf>
    <xf numFmtId="10" fontId="9" fillId="0" borderId="1" xfId="2" applyNumberFormat="1" applyFont="1" applyFill="1" applyBorder="1" applyAlignment="1">
      <alignment horizontal="right"/>
    </xf>
    <xf numFmtId="10" fontId="17" fillId="0" borderId="0" xfId="2" applyNumberFormat="1" applyFont="1"/>
    <xf numFmtId="0" fontId="9" fillId="0" borderId="1" xfId="3" applyFont="1" applyBorder="1" applyAlignment="1">
      <alignment horizontal="center" wrapText="1"/>
    </xf>
    <xf numFmtId="167" fontId="0" fillId="0" borderId="0" xfId="1" applyNumberFormat="1" applyFont="1" applyBorder="1"/>
    <xf numFmtId="10" fontId="0" fillId="0" borderId="0" xfId="2" applyNumberFormat="1" applyFont="1" applyBorder="1"/>
    <xf numFmtId="0" fontId="0" fillId="0" borderId="0" xfId="0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 applyFont="1" applyBorder="1" applyAlignment="1">
      <alignment horizontal="left" indent="1"/>
    </xf>
    <xf numFmtId="0" fontId="2" fillId="0" borderId="1" xfId="0" applyFont="1" applyBorder="1" applyAlignment="1">
      <alignment wrapText="1"/>
    </xf>
    <xf numFmtId="167" fontId="0" fillId="0" borderId="1" xfId="1" applyNumberFormat="1" applyFont="1" applyBorder="1"/>
    <xf numFmtId="0" fontId="2" fillId="0" borderId="1" xfId="0" applyFont="1" applyBorder="1"/>
    <xf numFmtId="10" fontId="0" fillId="0" borderId="1" xfId="2" applyNumberFormat="1" applyFont="1" applyBorder="1" applyAlignment="1">
      <alignment horizontal="center"/>
    </xf>
    <xf numFmtId="0" fontId="0" fillId="0" borderId="1" xfId="0" applyFont="1" applyBorder="1" applyAlignment="1">
      <alignment horizontal="left" indent="1"/>
    </xf>
    <xf numFmtId="10" fontId="0" fillId="0" borderId="1" xfId="2" applyNumberFormat="1" applyFont="1" applyBorder="1"/>
    <xf numFmtId="167" fontId="0" fillId="0" borderId="1" xfId="0" applyNumberFormat="1" applyBorder="1"/>
    <xf numFmtId="0" fontId="0" fillId="0" borderId="1" xfId="0" applyBorder="1" applyAlignment="1">
      <alignment horizontal="left" wrapText="1" indent="1"/>
    </xf>
    <xf numFmtId="167" fontId="0" fillId="0" borderId="4" xfId="1" applyNumberFormat="1" applyFont="1" applyBorder="1"/>
    <xf numFmtId="167" fontId="0" fillId="0" borderId="4" xfId="0" applyNumberFormat="1" applyBorder="1"/>
    <xf numFmtId="0" fontId="2" fillId="0" borderId="4" xfId="0" applyFont="1" applyBorder="1"/>
    <xf numFmtId="0" fontId="22" fillId="0" borderId="0" xfId="0" applyFont="1"/>
    <xf numFmtId="0" fontId="14" fillId="0" borderId="0" xfId="3" applyFont="1" applyAlignment="1">
      <alignment horizontal="left" wrapText="1"/>
    </xf>
    <xf numFmtId="0" fontId="7" fillId="13" borderId="15" xfId="3" applyFont="1" applyFill="1" applyBorder="1" applyAlignment="1">
      <alignment horizontal="left" vertical="center" wrapText="1"/>
    </xf>
    <xf numFmtId="0" fontId="7" fillId="13" borderId="13" xfId="3" applyFont="1" applyFill="1" applyBorder="1" applyAlignment="1">
      <alignment horizontal="left" vertical="center" wrapText="1"/>
    </xf>
    <xf numFmtId="0" fontId="19" fillId="13" borderId="13" xfId="3" applyFont="1" applyFill="1" applyBorder="1" applyAlignment="1">
      <alignment horizontal="left" vertical="center" wrapText="1"/>
    </xf>
    <xf numFmtId="0" fontId="7" fillId="16" borderId="13" xfId="3" applyFont="1" applyFill="1" applyBorder="1" applyAlignment="1">
      <alignment horizontal="left" vertical="center" wrapText="1"/>
    </xf>
    <xf numFmtId="0" fontId="19" fillId="16" borderId="14" xfId="3" applyFont="1" applyFill="1" applyBorder="1" applyAlignment="1">
      <alignment horizontal="left" vertical="center" wrapText="1"/>
    </xf>
    <xf numFmtId="43" fontId="9" fillId="0" borderId="10" xfId="1" applyFont="1" applyBorder="1" applyAlignment="1">
      <alignment horizontal="right"/>
    </xf>
    <xf numFmtId="164" fontId="9" fillId="0" borderId="12" xfId="4" applyNumberFormat="1" applyFont="1" applyBorder="1" applyAlignment="1">
      <alignment horizontal="right"/>
    </xf>
    <xf numFmtId="164" fontId="9" fillId="0" borderId="16" xfId="4" applyNumberFormat="1" applyFont="1" applyBorder="1" applyAlignment="1">
      <alignment horizontal="right"/>
    </xf>
    <xf numFmtId="10" fontId="9" fillId="0" borderId="5" xfId="2" applyNumberFormat="1" applyFont="1" applyBorder="1" applyAlignment="1">
      <alignment horizontal="right"/>
    </xf>
    <xf numFmtId="43" fontId="9" fillId="0" borderId="12" xfId="1" applyFont="1" applyBorder="1" applyAlignment="1">
      <alignment horizontal="right"/>
    </xf>
    <xf numFmtId="164" fontId="4" fillId="2" borderId="7" xfId="3" applyNumberFormat="1" applyFont="1" applyFill="1" applyBorder="1" applyAlignment="1">
      <alignment horizontal="left" vertical="center" wrapText="1"/>
    </xf>
    <xf numFmtId="164" fontId="4" fillId="12" borderId="7" xfId="3" applyNumberFormat="1" applyFont="1" applyFill="1" applyBorder="1" applyAlignment="1">
      <alignment horizontal="left" vertical="center" wrapText="1"/>
    </xf>
    <xf numFmtId="0" fontId="4" fillId="3" borderId="7" xfId="3" applyFont="1" applyFill="1" applyBorder="1" applyAlignment="1">
      <alignment horizontal="left" vertical="center" wrapText="1"/>
    </xf>
    <xf numFmtId="164" fontId="4" fillId="3" borderId="8" xfId="3" applyNumberFormat="1" applyFont="1" applyFill="1" applyBorder="1" applyAlignment="1">
      <alignment horizontal="left" vertical="center" wrapText="1"/>
    </xf>
    <xf numFmtId="0" fontId="9" fillId="0" borderId="5" xfId="3" applyFont="1" applyBorder="1" applyAlignment="1">
      <alignment horizontal="left" wrapText="1"/>
    </xf>
    <xf numFmtId="0" fontId="7" fillId="6" borderId="6" xfId="3" applyFont="1" applyFill="1" applyBorder="1" applyAlignment="1">
      <alignment horizontal="left" vertical="center" wrapText="1"/>
    </xf>
    <xf numFmtId="8" fontId="4" fillId="11" borderId="7" xfId="5" applyNumberFormat="1" applyFont="1" applyFill="1" applyBorder="1" applyAlignment="1">
      <alignment horizontal="center" vertical="center" wrapText="1"/>
    </xf>
    <xf numFmtId="164" fontId="9" fillId="0" borderId="9" xfId="4" applyNumberFormat="1" applyFont="1" applyBorder="1" applyAlignment="1">
      <alignment horizontal="right"/>
    </xf>
    <xf numFmtId="164" fontId="9" fillId="0" borderId="11" xfId="4" applyNumberFormat="1" applyFont="1" applyBorder="1" applyAlignment="1">
      <alignment horizontal="right"/>
    </xf>
    <xf numFmtId="164" fontId="9" fillId="0" borderId="5" xfId="4" applyNumberFormat="1" applyFont="1" applyBorder="1" applyAlignment="1">
      <alignment horizontal="right" wrapText="1"/>
    </xf>
    <xf numFmtId="164" fontId="4" fillId="15" borderId="6" xfId="3" applyNumberFormat="1" applyFont="1" applyFill="1" applyBorder="1" applyAlignment="1">
      <alignment horizontal="left" vertical="center" wrapText="1"/>
    </xf>
    <xf numFmtId="164" fontId="4" fillId="15" borderId="8" xfId="3" applyNumberFormat="1" applyFont="1" applyFill="1" applyBorder="1" applyAlignment="1">
      <alignment horizontal="left" vertical="center" wrapText="1"/>
    </xf>
    <xf numFmtId="169" fontId="6" fillId="21" borderId="2" xfId="0" applyNumberFormat="1" applyFont="1" applyFill="1" applyBorder="1"/>
    <xf numFmtId="164" fontId="6" fillId="21" borderId="2" xfId="0" applyNumberFormat="1" applyFont="1" applyFill="1" applyBorder="1"/>
    <xf numFmtId="167" fontId="0" fillId="21" borderId="1" xfId="1" applyNumberFormat="1" applyFont="1" applyFill="1" applyBorder="1"/>
    <xf numFmtId="10" fontId="9" fillId="22" borderId="1" xfId="2" applyNumberFormat="1" applyFont="1" applyFill="1" applyBorder="1" applyAlignment="1">
      <alignment horizontal="right"/>
    </xf>
    <xf numFmtId="164" fontId="9" fillId="20" borderId="10" xfId="4" applyNumberFormat="1" applyFont="1" applyFill="1" applyBorder="1" applyAlignment="1">
      <alignment horizontal="right"/>
    </xf>
    <xf numFmtId="0" fontId="0" fillId="0" borderId="1" xfId="0" applyFont="1" applyBorder="1" applyAlignment="1">
      <alignment horizontal="left" wrapText="1" indent="1"/>
    </xf>
    <xf numFmtId="0" fontId="11" fillId="4" borderId="0" xfId="3" applyFont="1" applyFill="1" applyBorder="1" applyAlignment="1">
      <alignment horizontal="left" vertical="top" wrapText="1"/>
    </xf>
    <xf numFmtId="0" fontId="6" fillId="8" borderId="0" xfId="0" applyFont="1" applyFill="1" applyAlignment="1">
      <alignment horizontal="left" vertical="top" wrapText="1"/>
    </xf>
    <xf numFmtId="0" fontId="6" fillId="18" borderId="0" xfId="0" applyFont="1" applyFill="1" applyAlignment="1">
      <alignment horizontal="center" wrapText="1"/>
    </xf>
    <xf numFmtId="164" fontId="6" fillId="17" borderId="0" xfId="0" applyNumberFormat="1" applyFont="1" applyFill="1" applyAlignment="1">
      <alignment horizontal="center" wrapText="1"/>
    </xf>
  </cellXfs>
  <cellStyles count="22">
    <cellStyle name="Calculation 2 2 2 21 2 5" xfId="3" xr:uid="{449BF2D7-0D5B-4B09-84A8-9CA84FF4D215}"/>
    <cellStyle name="Calculation 2 2 2 21 2 6" xfId="17" xr:uid="{DB4EA6E7-7F83-4AE2-8C98-8E13C2C5E35F}"/>
    <cellStyle name="Comma" xfId="1" builtinId="3"/>
    <cellStyle name="Comma 2" xfId="15" xr:uid="{D3089D42-8514-45BB-A5AC-1F88799C0C2A}"/>
    <cellStyle name="Comma 3" xfId="4" xr:uid="{ED27E768-3E46-4A09-8E75-CD722C31A08B}"/>
    <cellStyle name="Currency 10" xfId="11" xr:uid="{8057A589-BDB8-4D9C-9FCE-7B948DA9AFCB}"/>
    <cellStyle name="Currency 2" xfId="8" xr:uid="{37F83135-EADE-429A-AA6C-9FDC7AB50BFC}"/>
    <cellStyle name="Normal" xfId="0" builtinId="0"/>
    <cellStyle name="Normal 12" xfId="10" xr:uid="{01399DBE-12D4-4F17-930B-21B522E25E06}"/>
    <cellStyle name="Normal 16" xfId="12" xr:uid="{08BE30E1-D905-449B-ADD5-6EC88FA91897}"/>
    <cellStyle name="Normal 2" xfId="14" xr:uid="{924D7D4E-AFDD-4F5F-9210-D7EF92C1C1CE}"/>
    <cellStyle name="Normal 3" xfId="5" xr:uid="{0AA43D96-90F4-4E2E-999D-5FF2925931CB}"/>
    <cellStyle name="Normal 48" xfId="6" xr:uid="{3C4DDE9C-85B7-4285-A697-448AD4982434}"/>
    <cellStyle name="Normal 49" xfId="7" xr:uid="{3D6F4751-1C17-4AFD-BE94-6CCDE8B19F5F}"/>
    <cellStyle name="Normal 5 3 2 2 2" xfId="20" xr:uid="{4EF038A1-6B33-497B-B458-7684C854A581}"/>
    <cellStyle name="Normal 6" xfId="13" xr:uid="{A7C30ECD-2FBE-47A8-A825-CBA4B62917FB}"/>
    <cellStyle name="Normal 76" xfId="16" xr:uid="{E44E6051-5043-4C75-BF1B-5B0F175DE69C}"/>
    <cellStyle name="Normal 88" xfId="18" xr:uid="{70DBDB11-203C-4B52-A1D4-816D5BC613C0}"/>
    <cellStyle name="Note" xfId="21" builtinId="10"/>
    <cellStyle name="Percent" xfId="2" builtinId="5"/>
    <cellStyle name="Percent 20" xfId="19" xr:uid="{F2A54768-4FEC-4FBA-A168-6AD9F32963A9}"/>
    <cellStyle name="Percent 3" xfId="9" xr:uid="{46A6E6E3-B4FC-4250-8354-DCE4F2278AA6}"/>
  </cellStyles>
  <dxfs count="22">
    <dxf>
      <font>
        <b val="0"/>
        <i val="0"/>
        <strike val="0"/>
        <outline val="0"/>
        <shadow val="0"/>
        <u val="none"/>
        <sz val="11"/>
        <color rgb="FF000000"/>
        <name val="Calibri"/>
        <family val="2"/>
        <charset val="1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sz val="11"/>
        <color rgb="FF000000"/>
        <name val="Calibri"/>
        <family val="2"/>
        <charset val="1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sz val="11"/>
        <color rgb="FF000000"/>
        <name val="Calibri"/>
        <family val="2"/>
        <charset val="1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sz val="11"/>
        <color rgb="FF000000"/>
        <name val="Calibri"/>
        <family val="2"/>
        <charset val="1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sz val="11"/>
        <color rgb="FF000000"/>
        <name val="Calibri"/>
        <family val="2"/>
        <charset val="1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sz val="11"/>
        <color rgb="FF000000"/>
        <name val="Calibri"/>
        <family val="2"/>
        <charset val="1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color rgb="FFC00000"/>
      </font>
      <fill>
        <patternFill>
          <bgColor rgb="FFFFD3D3"/>
        </patternFill>
      </fill>
    </dxf>
    <dxf>
      <font>
        <b val="0"/>
        <i val="0"/>
        <strike val="0"/>
        <outline val="0"/>
        <shadow val="0"/>
        <u val="none"/>
        <sz val="11"/>
        <color rgb="FF000000"/>
        <name val="Calibri"/>
        <family val="2"/>
        <charset val="1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sz val="11"/>
        <color rgb="FF000000"/>
        <name val="Calibri"/>
        <family val="2"/>
        <charset val="1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sz val="11"/>
        <color rgb="FF000000"/>
        <name val="Calibri"/>
        <family val="2"/>
        <charset val="1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sz val="11"/>
        <color rgb="FF000000"/>
        <name val="Calibri"/>
        <family val="2"/>
        <charset val="1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sz val="11"/>
        <color rgb="FF000000"/>
        <name val="Calibri"/>
        <family val="2"/>
        <charset val="1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sz val="11"/>
        <color rgb="FF000000"/>
        <name val="Calibri"/>
        <family val="2"/>
        <charset val="1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sz val="11"/>
        <color rgb="FF000000"/>
        <name val="Calibri"/>
        <family val="2"/>
        <charset val="1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sz val="11"/>
        <color rgb="FF000000"/>
        <name val="Calibri"/>
        <family val="2"/>
        <charset val="1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sz val="11"/>
        <color rgb="FF000000"/>
        <name val="Calibri"/>
        <family val="2"/>
        <charset val="1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sz val="11"/>
        <color rgb="FF000000"/>
        <name val="Calibri"/>
        <family val="2"/>
        <charset val="1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sz val="11"/>
        <color rgb="FF000000"/>
        <name val="Calibri"/>
        <family val="2"/>
        <charset val="1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sz val="11"/>
        <color rgb="FF000000"/>
        <name val="Calibri"/>
        <family val="2"/>
        <charset val="1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sz val="11"/>
        <color rgb="FF000000"/>
        <name val="Calibri"/>
        <family val="2"/>
        <charset val="1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sz val="11"/>
        <color rgb="FF000000"/>
        <name val="Calibri"/>
        <family val="2"/>
        <charset val="1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sz val="11"/>
        <color rgb="FF000000"/>
        <name val="Calibri"/>
        <family val="2"/>
        <charset val="1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</dxfs>
  <tableStyles count="0" defaultTableStyle="TableStyleMedium2" defaultPivotStyle="PivotStyleLight16"/>
  <colors>
    <mruColors>
      <color rgb="FF33CCFF"/>
      <color rgb="FFFFD3D3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5FC371-A732-44EC-960F-B9D146A6C3A4}">
  <sheetPr>
    <pageSetUpPr fitToPage="1"/>
  </sheetPr>
  <dimension ref="A2:D45"/>
  <sheetViews>
    <sheetView workbookViewId="0">
      <selection activeCell="C12" sqref="C12"/>
    </sheetView>
  </sheetViews>
  <sheetFormatPr defaultRowHeight="15" x14ac:dyDescent="0.2"/>
  <cols>
    <col min="1" max="1" width="18.296875" customWidth="1"/>
    <col min="2" max="2" width="17.3984375" bestFit="1" customWidth="1"/>
    <col min="3" max="3" width="20.8984375" customWidth="1"/>
    <col min="4" max="4" width="11.5" bestFit="1" customWidth="1"/>
  </cols>
  <sheetData>
    <row r="2" spans="1:3" x14ac:dyDescent="0.2">
      <c r="A2" s="105" t="s">
        <v>588</v>
      </c>
    </row>
    <row r="3" spans="1:3" x14ac:dyDescent="0.2">
      <c r="A3" s="105"/>
    </row>
    <row r="4" spans="1:3" x14ac:dyDescent="0.2">
      <c r="A4" s="96" t="s">
        <v>583</v>
      </c>
      <c r="B4" s="14"/>
    </row>
    <row r="5" spans="1:3" ht="30" x14ac:dyDescent="0.2">
      <c r="A5" s="134" t="s">
        <v>549</v>
      </c>
      <c r="B5" s="95">
        <v>51247355.57</v>
      </c>
      <c r="C5" s="91"/>
    </row>
    <row r="6" spans="1:3" ht="30" x14ac:dyDescent="0.2">
      <c r="A6" s="134" t="s">
        <v>550</v>
      </c>
      <c r="B6" s="95">
        <f>FF_Redist/FedShr_Enhanced</f>
        <v>76397369.663088858</v>
      </c>
      <c r="C6" s="9"/>
    </row>
    <row r="7" spans="1:3" x14ac:dyDescent="0.2">
      <c r="A7" s="92"/>
      <c r="B7" s="89"/>
      <c r="C7" s="9"/>
    </row>
    <row r="8" spans="1:3" x14ac:dyDescent="0.2">
      <c r="A8" s="94" t="s">
        <v>582</v>
      </c>
      <c r="B8" s="95"/>
      <c r="C8" s="9"/>
    </row>
    <row r="9" spans="1:3" x14ac:dyDescent="0.2">
      <c r="A9" s="98" t="s">
        <v>452</v>
      </c>
      <c r="B9" s="99">
        <v>0.67079999999999995</v>
      </c>
      <c r="C9" s="9"/>
    </row>
    <row r="10" spans="1:3" x14ac:dyDescent="0.2">
      <c r="A10" s="98" t="s">
        <v>454</v>
      </c>
      <c r="B10" s="99">
        <f>1-FedShr_Enhanced</f>
        <v>0.32920000000000005</v>
      </c>
      <c r="C10" s="9"/>
    </row>
    <row r="11" spans="1:3" x14ac:dyDescent="0.2">
      <c r="A11" s="93"/>
      <c r="B11" s="90"/>
      <c r="C11" s="9"/>
    </row>
    <row r="12" spans="1:3" x14ac:dyDescent="0.2">
      <c r="A12" s="94" t="s">
        <v>302</v>
      </c>
      <c r="B12" s="95">
        <f>'State Redistribution Calc'!S1+'State Redistribution Calc'!R1+SUMIFS('Non-State Redistribution Calc'!V:V,'Non-State Redistribution Calc'!J:J,1)+SUMIFS('Non-State Redistribution Calc'!AD:AD,'Non-State Redistribution Calc'!J:J,1)</f>
        <v>262689376.78999999</v>
      </c>
      <c r="C12" s="95">
        <v>292513592</v>
      </c>
    </row>
    <row r="13" spans="1:3" x14ac:dyDescent="0.2">
      <c r="A13" s="96"/>
      <c r="B13" s="97" t="str">
        <f>IF(B12&lt;=C12,"Good", "Bad")</f>
        <v>Good</v>
      </c>
      <c r="C13" s="14"/>
    </row>
    <row r="15" spans="1:3" ht="36" customHeight="1" x14ac:dyDescent="0.2">
      <c r="A15" s="105" t="s">
        <v>587</v>
      </c>
    </row>
    <row r="16" spans="1:3" ht="18" customHeight="1" x14ac:dyDescent="0.2">
      <c r="A16" s="105"/>
    </row>
    <row r="17" spans="1:4" ht="68.25" customHeight="1" x14ac:dyDescent="0.2">
      <c r="A17" s="14"/>
      <c r="B17" s="96" t="s">
        <v>299</v>
      </c>
      <c r="C17" s="96" t="s">
        <v>584</v>
      </c>
      <c r="D17" s="96" t="s">
        <v>451</v>
      </c>
    </row>
    <row r="18" spans="1:4" ht="23.25" customHeight="1" x14ac:dyDescent="0.2">
      <c r="A18" s="96" t="s">
        <v>585</v>
      </c>
      <c r="B18" s="95">
        <f>'State Redistribution Calc'!S3-'State Redistribution Calc'!T3</f>
        <v>10858433.129999999</v>
      </c>
      <c r="C18" s="100">
        <f>FF_Redist-FF_State</f>
        <v>40388922.439999998</v>
      </c>
      <c r="D18" s="100">
        <f>SUM(B18:C18)</f>
        <v>51247355.569999993</v>
      </c>
    </row>
    <row r="19" spans="1:4" ht="23.25" customHeight="1" x14ac:dyDescent="0.2">
      <c r="A19" s="96" t="s">
        <v>449</v>
      </c>
      <c r="B19" s="95">
        <f>'State Redistribution Calc'!T3</f>
        <v>5328855.37</v>
      </c>
      <c r="C19" s="95">
        <f>'Non-State Redistribution Calc'!AI4</f>
        <v>5561587.7499999972</v>
      </c>
      <c r="D19" s="100">
        <f>SUM(B19:C19)</f>
        <v>10890443.119999997</v>
      </c>
    </row>
    <row r="20" spans="1:4" ht="36" customHeight="1" x14ac:dyDescent="0.2">
      <c r="A20" s="101" t="s">
        <v>586</v>
      </c>
      <c r="B20" s="95"/>
      <c r="C20" s="95">
        <f>'Non-State Redistribution Calc'!AE4</f>
        <v>19821158.716827676</v>
      </c>
      <c r="D20" s="14"/>
    </row>
    <row r="21" spans="1:4" ht="34.5" customHeight="1" x14ac:dyDescent="0.2">
      <c r="A21" s="101" t="s">
        <v>597</v>
      </c>
      <c r="B21" s="95"/>
      <c r="C21" s="131">
        <v>14259570.960000001</v>
      </c>
      <c r="D21" s="14"/>
    </row>
    <row r="22" spans="1:4" ht="23.25" customHeight="1" thickBot="1" x14ac:dyDescent="0.25">
      <c r="A22" s="104" t="s">
        <v>456</v>
      </c>
      <c r="B22" s="102">
        <f>'State Redistribution Calc'!S3</f>
        <v>16187288.5</v>
      </c>
      <c r="C22" s="103">
        <f>FF_NonState+C20</f>
        <v>60210081.156827673</v>
      </c>
      <c r="D22" s="103">
        <f>SUM(B22:C22)</f>
        <v>76397369.656827673</v>
      </c>
    </row>
    <row r="23" spans="1:4" ht="15.75" thickTop="1" x14ac:dyDescent="0.2"/>
    <row r="24" spans="1:4" x14ac:dyDescent="0.2">
      <c r="A24" t="s">
        <v>594</v>
      </c>
    </row>
    <row r="25" spans="1:4" ht="39.75" customHeight="1" x14ac:dyDescent="0.2">
      <c r="A25" s="135" t="s">
        <v>596</v>
      </c>
      <c r="B25" s="135"/>
    </row>
    <row r="26" spans="1:4" ht="31.5" customHeight="1" x14ac:dyDescent="0.2">
      <c r="A26" s="136" t="s">
        <v>595</v>
      </c>
      <c r="B26" s="136"/>
    </row>
    <row r="27" spans="1:4" ht="31.5" customHeight="1" x14ac:dyDescent="0.2"/>
    <row r="29" spans="1:4" ht="63" customHeight="1" x14ac:dyDescent="0.2"/>
    <row r="31" spans="1:4" ht="30.75" customHeight="1" x14ac:dyDescent="0.2"/>
    <row r="33" ht="91.5" customHeight="1" x14ac:dyDescent="0.2"/>
    <row r="34" ht="91.5" customHeight="1" x14ac:dyDescent="0.2"/>
    <row r="36" ht="81" customHeight="1" x14ac:dyDescent="0.2"/>
    <row r="39" ht="50.25" customHeight="1" x14ac:dyDescent="0.2"/>
    <row r="40" ht="50.25" customHeight="1" x14ac:dyDescent="0.2"/>
    <row r="41" ht="50.25" customHeight="1" x14ac:dyDescent="0.2"/>
    <row r="43" ht="42.75" customHeight="1" x14ac:dyDescent="0.2"/>
    <row r="44" ht="36.75" customHeight="1" x14ac:dyDescent="0.2"/>
    <row r="45" ht="45.75" customHeight="1" x14ac:dyDescent="0.2"/>
  </sheetData>
  <mergeCells count="2">
    <mergeCell ref="A25:B25"/>
    <mergeCell ref="A26:B26"/>
  </mergeCells>
  <pageMargins left="0.7" right="0.7" top="0.75" bottom="0.75" header="0.3" footer="0.3"/>
  <pageSetup scale="9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0674E1-ADC8-4D0C-8E50-634C4E49F4DF}">
  <dimension ref="A1:G176"/>
  <sheetViews>
    <sheetView workbookViewId="0">
      <selection activeCell="F3" sqref="F3"/>
    </sheetView>
  </sheetViews>
  <sheetFormatPr defaultRowHeight="15" x14ac:dyDescent="0.2"/>
  <cols>
    <col min="1" max="1" width="10.5" customWidth="1"/>
    <col min="2" max="2" width="33.59765625" style="7" bestFit="1" customWidth="1"/>
    <col min="3" max="3" width="11.3984375" customWidth="1"/>
    <col min="4" max="4" width="13.5" customWidth="1"/>
    <col min="5" max="5" width="16.296875" customWidth="1"/>
    <col min="6" max="6" width="15.796875" customWidth="1"/>
    <col min="7" max="7" width="13.8984375" bestFit="1" customWidth="1"/>
  </cols>
  <sheetData>
    <row r="1" spans="1:7" x14ac:dyDescent="0.2">
      <c r="D1" s="18" t="s">
        <v>299</v>
      </c>
      <c r="E1" s="19">
        <f>SUM(E5:E13)</f>
        <v>16187288.500000002</v>
      </c>
      <c r="F1" s="19">
        <f>SUM(F5:F13)</f>
        <v>5328855.37</v>
      </c>
      <c r="G1" s="41"/>
    </row>
    <row r="2" spans="1:7" ht="17.25" x14ac:dyDescent="0.35">
      <c r="D2" s="18" t="s">
        <v>68</v>
      </c>
      <c r="E2" s="46">
        <f>SUM(E14:E176)</f>
        <v>60210081.099999994</v>
      </c>
      <c r="F2" s="46">
        <f>SUM(F14:F176)</f>
        <v>5561587.7499999972</v>
      </c>
      <c r="G2" s="41"/>
    </row>
    <row r="3" spans="1:7" ht="15.75" x14ac:dyDescent="0.25">
      <c r="D3" s="20" t="s">
        <v>451</v>
      </c>
      <c r="E3" s="21">
        <f>SUM(E1:E2)</f>
        <v>76397369.599999994</v>
      </c>
      <c r="F3" s="21">
        <f>SUM(F1:F2)</f>
        <v>10890443.119999997</v>
      </c>
      <c r="G3" s="87"/>
    </row>
    <row r="4" spans="1:7" ht="25.5" x14ac:dyDescent="0.2">
      <c r="A4" s="1" t="s">
        <v>551</v>
      </c>
      <c r="B4" s="2" t="s">
        <v>1</v>
      </c>
      <c r="C4" s="2" t="s">
        <v>2</v>
      </c>
      <c r="D4" s="2" t="s">
        <v>552</v>
      </c>
      <c r="E4" s="11" t="s">
        <v>598</v>
      </c>
      <c r="F4" s="11" t="s">
        <v>599</v>
      </c>
    </row>
    <row r="5" spans="1:7" x14ac:dyDescent="0.2">
      <c r="A5" s="44" t="s">
        <v>9</v>
      </c>
      <c r="B5" s="43" t="s">
        <v>10</v>
      </c>
      <c r="C5" s="15" t="str">
        <f>IFERROR(INDEX('State Redistribution Calc'!C:C,MATCH(A:A,'State Redistribution Calc'!A:A,0)),INDEX('Non-State Redistribution Calc'!C:C,MATCH(A:A,'Non-State Redistribution Calc'!A:A,0)))</f>
        <v>Harris</v>
      </c>
      <c r="D5" s="15" t="s">
        <v>35</v>
      </c>
      <c r="E5" s="84">
        <f>IFERROR(INDEX('State Redistribution Calc'!S:S,MATCH(A:A,'State Redistribution Calc'!A:A,0)),INDEX('Non-State Redistribution Calc'!AD:AD,MATCH(A:A,'Non-State Redistribution Calc'!A:A,0)))</f>
        <v>0</v>
      </c>
      <c r="F5" s="84">
        <f>IFERROR(INDEX('State Redistribution Calc'!T:T,MATCH(A:A,'State Redistribution Calc'!A:A,0)),INDEX('Non-State Redistribution Calc'!AI:AI,MATCH(A:A,'Non-State Redistribution Calc'!A:A,0)))</f>
        <v>0</v>
      </c>
    </row>
    <row r="6" spans="1:7" x14ac:dyDescent="0.2">
      <c r="A6" s="45" t="s">
        <v>12</v>
      </c>
      <c r="B6" s="43" t="s">
        <v>13</v>
      </c>
      <c r="C6" s="15" t="str">
        <f>IFERROR(INDEX('State Redistribution Calc'!C:C,MATCH(A:A,'State Redistribution Calc'!A:A,0)),INDEX('Non-State Redistribution Calc'!C:C,MATCH(A:A,'Non-State Redistribution Calc'!A:A,0)))</f>
        <v>Travis</v>
      </c>
      <c r="D6" s="15" t="s">
        <v>35</v>
      </c>
      <c r="E6" s="84">
        <f>IFERROR(INDEX('State Redistribution Calc'!S:S,MATCH(A:A,'State Redistribution Calc'!A:A,0)),INDEX('Non-State Redistribution Calc'!AD:AD,MATCH(A:A,'Non-State Redistribution Calc'!A:A,0)))</f>
        <v>2489981</v>
      </c>
      <c r="F6" s="84">
        <f>IFERROR(INDEX('State Redistribution Calc'!T:T,MATCH(A:A,'State Redistribution Calc'!A:A,0)),INDEX('Non-State Redistribution Calc'!AI:AI,MATCH(A:A,'Non-State Redistribution Calc'!A:A,0)))</f>
        <v>819701.75</v>
      </c>
    </row>
    <row r="7" spans="1:7" x14ac:dyDescent="0.2">
      <c r="A7" s="45" t="s">
        <v>15</v>
      </c>
      <c r="B7" s="43" t="s">
        <v>16</v>
      </c>
      <c r="C7" s="15" t="str">
        <f>IFERROR(INDEX('State Redistribution Calc'!C:C,MATCH(A:A,'State Redistribution Calc'!A:A,0)),INDEX('Non-State Redistribution Calc'!C:C,MATCH(A:A,'Non-State Redistribution Calc'!A:A,0)))</f>
        <v>Wilbarger</v>
      </c>
      <c r="D7" s="15" t="s">
        <v>35</v>
      </c>
      <c r="E7" s="84">
        <f>IFERROR(INDEX('State Redistribution Calc'!S:S,MATCH(A:A,'State Redistribution Calc'!A:A,0)),INDEX('Non-State Redistribution Calc'!AD:AD,MATCH(A:A,'Non-State Redistribution Calc'!A:A,0)))</f>
        <v>2954748.48</v>
      </c>
      <c r="F7" s="84">
        <f>IFERROR(INDEX('State Redistribution Calc'!T:T,MATCH(A:A,'State Redistribution Calc'!A:A,0)),INDEX('Non-State Redistribution Calc'!AI:AI,MATCH(A:A,'Non-State Redistribution Calc'!A:A,0)))</f>
        <v>972703.2</v>
      </c>
    </row>
    <row r="8" spans="1:7" x14ac:dyDescent="0.2">
      <c r="A8" s="45" t="s">
        <v>18</v>
      </c>
      <c r="B8" s="43" t="s">
        <v>19</v>
      </c>
      <c r="C8" s="15" t="str">
        <f>IFERROR(INDEX('State Redistribution Calc'!C:C,MATCH(A:A,'State Redistribution Calc'!A:A,0)),INDEX('Non-State Redistribution Calc'!C:C,MATCH(A:A,'Non-State Redistribution Calc'!A:A,0)))</f>
        <v>El Paso</v>
      </c>
      <c r="D8" s="15" t="s">
        <v>35</v>
      </c>
      <c r="E8" s="84">
        <f>IFERROR(INDEX('State Redistribution Calc'!S:S,MATCH(A:A,'State Redistribution Calc'!A:A,0)),INDEX('Non-State Redistribution Calc'!AD:AD,MATCH(A:A,'Non-State Redistribution Calc'!A:A,0)))</f>
        <v>720052.23</v>
      </c>
      <c r="F8" s="84">
        <f>IFERROR(INDEX('State Redistribution Calc'!T:T,MATCH(A:A,'State Redistribution Calc'!A:A,0)),INDEX('Non-State Redistribution Calc'!AI:AI,MATCH(A:A,'Non-State Redistribution Calc'!A:A,0)))</f>
        <v>237041.19</v>
      </c>
    </row>
    <row r="9" spans="1:7" x14ac:dyDescent="0.2">
      <c r="A9" s="45" t="s">
        <v>21</v>
      </c>
      <c r="B9" s="43" t="s">
        <v>22</v>
      </c>
      <c r="C9" s="15" t="str">
        <f>IFERROR(INDEX('State Redistribution Calc'!C:C,MATCH(A:A,'State Redistribution Calc'!A:A,0)),INDEX('Non-State Redistribution Calc'!C:C,MATCH(A:A,'Non-State Redistribution Calc'!A:A,0)))</f>
        <v>Kaufman</v>
      </c>
      <c r="D9" s="15" t="s">
        <v>35</v>
      </c>
      <c r="E9" s="84">
        <f>IFERROR(INDEX('State Redistribution Calc'!S:S,MATCH(A:A,'State Redistribution Calc'!A:A,0)),INDEX('Non-State Redistribution Calc'!AD:AD,MATCH(A:A,'Non-State Redistribution Calc'!A:A,0)))</f>
        <v>2765042.17</v>
      </c>
      <c r="F9" s="84">
        <f>IFERROR(INDEX('State Redistribution Calc'!T:T,MATCH(A:A,'State Redistribution Calc'!A:A,0)),INDEX('Non-State Redistribution Calc'!AI:AI,MATCH(A:A,'Non-State Redistribution Calc'!A:A,0)))</f>
        <v>910251.88</v>
      </c>
    </row>
    <row r="10" spans="1:7" x14ac:dyDescent="0.2">
      <c r="A10" s="45" t="s">
        <v>24</v>
      </c>
      <c r="B10" s="43" t="s">
        <v>25</v>
      </c>
      <c r="C10" s="15" t="str">
        <f>IFERROR(INDEX('State Redistribution Calc'!C:C,MATCH(A:A,'State Redistribution Calc'!A:A,0)),INDEX('Non-State Redistribution Calc'!C:C,MATCH(A:A,'Non-State Redistribution Calc'!A:A,0)))</f>
        <v>Bexar</v>
      </c>
      <c r="D10" s="15" t="s">
        <v>35</v>
      </c>
      <c r="E10" s="84">
        <f>IFERROR(INDEX('State Redistribution Calc'!S:S,MATCH(A:A,'State Redistribution Calc'!A:A,0)),INDEX('Non-State Redistribution Calc'!AD:AD,MATCH(A:A,'Non-State Redistribution Calc'!A:A,0)))</f>
        <v>2984248.57</v>
      </c>
      <c r="F10" s="84">
        <f>IFERROR(INDEX('State Redistribution Calc'!T:T,MATCH(A:A,'State Redistribution Calc'!A:A,0)),INDEX('Non-State Redistribution Calc'!AI:AI,MATCH(A:A,'Non-State Redistribution Calc'!A:A,0)))</f>
        <v>982414.63</v>
      </c>
    </row>
    <row r="11" spans="1:7" x14ac:dyDescent="0.2">
      <c r="A11" s="45" t="s">
        <v>27</v>
      </c>
      <c r="B11" s="43" t="s">
        <v>28</v>
      </c>
      <c r="C11" s="15" t="str">
        <f>IFERROR(INDEX('State Redistribution Calc'!C:C,MATCH(A:A,'State Redistribution Calc'!A:A,0)),INDEX('Non-State Redistribution Calc'!C:C,MATCH(A:A,'Non-State Redistribution Calc'!A:A,0)))</f>
        <v>Galveston</v>
      </c>
      <c r="D11" s="15" t="s">
        <v>36</v>
      </c>
      <c r="E11" s="84">
        <f>IFERROR(INDEX('State Redistribution Calc'!S:S,MATCH(A:A,'State Redistribution Calc'!A:A,0)),INDEX('Non-State Redistribution Calc'!AD:AD,MATCH(A:A,'Non-State Redistribution Calc'!A:A,0)))</f>
        <v>3010086.64</v>
      </c>
      <c r="F11" s="84">
        <f>IFERROR(INDEX('State Redistribution Calc'!T:T,MATCH(A:A,'State Redistribution Calc'!A:A,0)),INDEX('Non-State Redistribution Calc'!AI:AI,MATCH(A:A,'Non-State Redistribution Calc'!A:A,0)))</f>
        <v>990920.52</v>
      </c>
    </row>
    <row r="12" spans="1:7" x14ac:dyDescent="0.2">
      <c r="A12" s="45" t="s">
        <v>30</v>
      </c>
      <c r="B12" s="43" t="s">
        <v>31</v>
      </c>
      <c r="C12" s="15" t="str">
        <f>IFERROR(INDEX('State Redistribution Calc'!C:C,MATCH(A:A,'State Redistribution Calc'!A:A,0)),INDEX('Non-State Redistribution Calc'!C:C,MATCH(A:A,'Non-State Redistribution Calc'!A:A,0)))</f>
        <v>Harris</v>
      </c>
      <c r="D12" s="15" t="s">
        <v>36</v>
      </c>
      <c r="E12" s="84">
        <f>IFERROR(INDEX('State Redistribution Calc'!S:S,MATCH(A:A,'State Redistribution Calc'!A:A,0)),INDEX('Non-State Redistribution Calc'!AD:AD,MATCH(A:A,'Non-State Redistribution Calc'!A:A,0)))</f>
        <v>0</v>
      </c>
      <c r="F12" s="84">
        <f>IFERROR(INDEX('State Redistribution Calc'!T:T,MATCH(A:A,'State Redistribution Calc'!A:A,0)),INDEX('Non-State Redistribution Calc'!AI:AI,MATCH(A:A,'Non-State Redistribution Calc'!A:A,0)))</f>
        <v>0</v>
      </c>
    </row>
    <row r="13" spans="1:7" x14ac:dyDescent="0.2">
      <c r="A13" s="45" t="s">
        <v>32</v>
      </c>
      <c r="B13" s="43" t="s">
        <v>33</v>
      </c>
      <c r="C13" s="15" t="str">
        <f>IFERROR(INDEX('State Redistribution Calc'!C:C,MATCH(A:A,'State Redistribution Calc'!A:A,0)),INDEX('Non-State Redistribution Calc'!C:C,MATCH(A:A,'Non-State Redistribution Calc'!A:A,0)))</f>
        <v>Smith</v>
      </c>
      <c r="D13" s="15" t="s">
        <v>36</v>
      </c>
      <c r="E13" s="84">
        <f>IFERROR(INDEX('State Redistribution Calc'!S:S,MATCH(A:A,'State Redistribution Calc'!A:A,0)),INDEX('Non-State Redistribution Calc'!AD:AD,MATCH(A:A,'Non-State Redistribution Calc'!A:A,0)))</f>
        <v>1263129.4099999999</v>
      </c>
      <c r="F13" s="84">
        <f>IFERROR(INDEX('State Redistribution Calc'!T:T,MATCH(A:A,'State Redistribution Calc'!A:A,0)),INDEX('Non-State Redistribution Calc'!AI:AI,MATCH(A:A,'Non-State Redistribution Calc'!A:A,0)))</f>
        <v>415822.2</v>
      </c>
    </row>
    <row r="14" spans="1:7" x14ac:dyDescent="0.2">
      <c r="A14" s="45" t="s">
        <v>75</v>
      </c>
      <c r="B14" s="43" t="s">
        <v>342</v>
      </c>
      <c r="C14" s="15" t="str">
        <f>IFERROR(INDEX('State Redistribution Calc'!C:C,MATCH(A:A,'State Redistribution Calc'!A:A,0)),INDEX('Non-State Redistribution Calc'!C:C,MATCH(A:A,'Non-State Redistribution Calc'!A:A,0)))</f>
        <v>El Paso</v>
      </c>
      <c r="D14" s="15" t="s">
        <v>69</v>
      </c>
      <c r="E14" s="84">
        <f>IFERROR(INDEX('State Redistribution Calc'!S:S,MATCH(A:A,'State Redistribution Calc'!A:A,0)),INDEX('Non-State Redistribution Calc'!AD:AD,MATCH(A:A,'Non-State Redistribution Calc'!A:A,0)))</f>
        <v>1310509.01</v>
      </c>
      <c r="F14" s="84">
        <f>IFERROR(INDEX('State Redistribution Calc'!T:T,MATCH(A:A,'State Redistribution Calc'!A:A,0)),INDEX('Non-State Redistribution Calc'!AI:AI,MATCH(A:A,'Non-State Redistribution Calc'!A:A,0)))</f>
        <v>191863.75</v>
      </c>
    </row>
    <row r="15" spans="1:7" x14ac:dyDescent="0.2">
      <c r="A15" s="45" t="s">
        <v>74</v>
      </c>
      <c r="B15" s="43" t="s">
        <v>280</v>
      </c>
      <c r="C15" s="15" t="str">
        <f>IFERROR(INDEX('State Redistribution Calc'!C:C,MATCH(A:A,'State Redistribution Calc'!A:A,0)),INDEX('Non-State Redistribution Calc'!C:C,MATCH(A:A,'Non-State Redistribution Calc'!A:A,0)))</f>
        <v>Travis</v>
      </c>
      <c r="D15" s="15" t="s">
        <v>69</v>
      </c>
      <c r="E15" s="84">
        <f>IFERROR(INDEX('State Redistribution Calc'!S:S,MATCH(A:A,'State Redistribution Calc'!A:A,0)),INDEX('Non-State Redistribution Calc'!AD:AD,MATCH(A:A,'Non-State Redistribution Calc'!A:A,0)))</f>
        <v>1394090.43</v>
      </c>
      <c r="F15" s="84">
        <f>IFERROR(INDEX('State Redistribution Calc'!T:T,MATCH(A:A,'State Redistribution Calc'!A:A,0)),INDEX('Non-State Redistribution Calc'!AI:AI,MATCH(A:A,'Non-State Redistribution Calc'!A:A,0)))</f>
        <v>0</v>
      </c>
    </row>
    <row r="16" spans="1:7" x14ac:dyDescent="0.2">
      <c r="A16" s="45" t="s">
        <v>73</v>
      </c>
      <c r="B16" s="43" t="s">
        <v>326</v>
      </c>
      <c r="C16" s="15" t="str">
        <f>IFERROR(INDEX('State Redistribution Calc'!C:C,MATCH(A:A,'State Redistribution Calc'!A:A,0)),INDEX('Non-State Redistribution Calc'!C:C,MATCH(A:A,'Non-State Redistribution Calc'!A:A,0)))</f>
        <v>Bexar</v>
      </c>
      <c r="D16" s="15" t="s">
        <v>69</v>
      </c>
      <c r="E16" s="84">
        <f>IFERROR(INDEX('State Redistribution Calc'!S:S,MATCH(A:A,'State Redistribution Calc'!A:A,0)),INDEX('Non-State Redistribution Calc'!AD:AD,MATCH(A:A,'Non-State Redistribution Calc'!A:A,0)))</f>
        <v>2185168.7999999998</v>
      </c>
      <c r="F16" s="84">
        <f>IFERROR(INDEX('State Redistribution Calc'!T:T,MATCH(A:A,'State Redistribution Calc'!A:A,0)),INDEX('Non-State Redistribution Calc'!AI:AI,MATCH(A:A,'Non-State Redistribution Calc'!A:A,0)))</f>
        <v>319917.43</v>
      </c>
    </row>
    <row r="17" spans="1:6" x14ac:dyDescent="0.2">
      <c r="A17" s="45" t="s">
        <v>67</v>
      </c>
      <c r="B17" s="43" t="s">
        <v>441</v>
      </c>
      <c r="C17" s="15" t="str">
        <f>IFERROR(INDEX('State Redistribution Calc'!C:C,MATCH(A:A,'State Redistribution Calc'!A:A,0)),INDEX('Non-State Redistribution Calc'!C:C,MATCH(A:A,'Non-State Redistribution Calc'!A:A,0)))</f>
        <v>Tarrant</v>
      </c>
      <c r="D17" s="15" t="s">
        <v>69</v>
      </c>
      <c r="E17" s="84">
        <f>IFERROR(INDEX('State Redistribution Calc'!S:S,MATCH(A:A,'State Redistribution Calc'!A:A,0)),INDEX('Non-State Redistribution Calc'!AD:AD,MATCH(A:A,'Non-State Redistribution Calc'!A:A,0)))</f>
        <v>4325597.6399999997</v>
      </c>
      <c r="F17" s="84">
        <f>IFERROR(INDEX('State Redistribution Calc'!T:T,MATCH(A:A,'State Redistribution Calc'!A:A,0)),INDEX('Non-State Redistribution Calc'!AI:AI,MATCH(A:A,'Non-State Redistribution Calc'!A:A,0)))</f>
        <v>633284.76</v>
      </c>
    </row>
    <row r="18" spans="1:6" x14ac:dyDescent="0.2">
      <c r="A18" s="45" t="s">
        <v>70</v>
      </c>
      <c r="B18" s="43" t="s">
        <v>332</v>
      </c>
      <c r="C18" s="15" t="str">
        <f>IFERROR(INDEX('State Redistribution Calc'!C:C,MATCH(A:A,'State Redistribution Calc'!A:A,0)),INDEX('Non-State Redistribution Calc'!C:C,MATCH(A:A,'Non-State Redistribution Calc'!A:A,0)))</f>
        <v>Dallas</v>
      </c>
      <c r="D18" s="15" t="s">
        <v>69</v>
      </c>
      <c r="E18" s="84">
        <f>IFERROR(INDEX('State Redistribution Calc'!S:S,MATCH(A:A,'State Redistribution Calc'!A:A,0)),INDEX('Non-State Redistribution Calc'!AD:AD,MATCH(A:A,'Non-State Redistribution Calc'!A:A,0)))</f>
        <v>9848330.0099999998</v>
      </c>
      <c r="F18" s="84">
        <f>IFERROR(INDEX('State Redistribution Calc'!T:T,MATCH(A:A,'State Redistribution Calc'!A:A,0)),INDEX('Non-State Redistribution Calc'!AI:AI,MATCH(A:A,'Non-State Redistribution Calc'!A:A,0)))</f>
        <v>1441834.82</v>
      </c>
    </row>
    <row r="19" spans="1:6" x14ac:dyDescent="0.2">
      <c r="A19" s="45" t="s">
        <v>71</v>
      </c>
      <c r="B19" s="43" t="s">
        <v>72</v>
      </c>
      <c r="C19" s="15" t="str">
        <f>IFERROR(INDEX('State Redistribution Calc'!C:C,MATCH(A:A,'State Redistribution Calc'!A:A,0)),INDEX('Non-State Redistribution Calc'!C:C,MATCH(A:A,'Non-State Redistribution Calc'!A:A,0)))</f>
        <v>Harris</v>
      </c>
      <c r="D19" s="15" t="s">
        <v>69</v>
      </c>
      <c r="E19" s="84">
        <f>IFERROR(INDEX('State Redistribution Calc'!S:S,MATCH(A:A,'State Redistribution Calc'!A:A,0)),INDEX('Non-State Redistribution Calc'!AD:AD,MATCH(A:A,'Non-State Redistribution Calc'!A:A,0)))</f>
        <v>10511167.039999999</v>
      </c>
      <c r="F19" s="84">
        <f>IFERROR(INDEX('State Redistribution Calc'!T:T,MATCH(A:A,'State Redistribution Calc'!A:A,0)),INDEX('Non-State Redistribution Calc'!AI:AI,MATCH(A:A,'Non-State Redistribution Calc'!A:A,0)))</f>
        <v>1538876.81</v>
      </c>
    </row>
    <row r="20" spans="1:6" x14ac:dyDescent="0.2">
      <c r="A20" s="45" t="s">
        <v>76</v>
      </c>
      <c r="B20" s="43" t="s">
        <v>422</v>
      </c>
      <c r="C20" s="15" t="str">
        <f>IFERROR(INDEX('State Redistribution Calc'!C:C,MATCH(A:A,'State Redistribution Calc'!A:A,0)),INDEX('Non-State Redistribution Calc'!C:C,MATCH(A:A,'Non-State Redistribution Calc'!A:A,0)))</f>
        <v>Ector</v>
      </c>
      <c r="D20" s="15" t="s">
        <v>77</v>
      </c>
      <c r="E20" s="84">
        <f>IFERROR(INDEX('State Redistribution Calc'!S:S,MATCH(A:A,'State Redistribution Calc'!A:A,0)),INDEX('Non-State Redistribution Calc'!AD:AD,MATCH(A:A,'Non-State Redistribution Calc'!A:A,0)))</f>
        <v>320243.78000000003</v>
      </c>
      <c r="F20" s="84">
        <f>IFERROR(INDEX('State Redistribution Calc'!T:T,MATCH(A:A,'State Redistribution Calc'!A:A,0)),INDEX('Non-State Redistribution Calc'!AI:AI,MATCH(A:A,'Non-State Redistribution Calc'!A:A,0)))</f>
        <v>105424.25</v>
      </c>
    </row>
    <row r="21" spans="1:6" x14ac:dyDescent="0.2">
      <c r="A21" s="45" t="s">
        <v>79</v>
      </c>
      <c r="B21" s="43" t="s">
        <v>434</v>
      </c>
      <c r="C21" s="15" t="str">
        <f>IFERROR(INDEX('State Redistribution Calc'!C:C,MATCH(A:A,'State Redistribution Calc'!A:A,0)),INDEX('Non-State Redistribution Calc'!C:C,MATCH(A:A,'Non-State Redistribution Calc'!A:A,0)))</f>
        <v>Nueces</v>
      </c>
      <c r="D21" s="15" t="s">
        <v>77</v>
      </c>
      <c r="E21" s="84">
        <f>IFERROR(INDEX('State Redistribution Calc'!S:S,MATCH(A:A,'State Redistribution Calc'!A:A,0)),INDEX('Non-State Redistribution Calc'!AD:AD,MATCH(A:A,'Non-State Redistribution Calc'!A:A,0)))</f>
        <v>1100058.51</v>
      </c>
      <c r="F21" s="84">
        <f>IFERROR(INDEX('State Redistribution Calc'!T:T,MATCH(A:A,'State Redistribution Calc'!A:A,0)),INDEX('Non-State Redistribution Calc'!AI:AI,MATCH(A:A,'Non-State Redistribution Calc'!A:A,0)))</f>
        <v>362139.26</v>
      </c>
    </row>
    <row r="22" spans="1:6" x14ac:dyDescent="0.2">
      <c r="A22" s="45" t="s">
        <v>78</v>
      </c>
      <c r="B22" s="43" t="s">
        <v>377</v>
      </c>
      <c r="C22" s="15" t="str">
        <f>IFERROR(INDEX('State Redistribution Calc'!C:C,MATCH(A:A,'State Redistribution Calc'!A:A,0)),INDEX('Non-State Redistribution Calc'!C:C,MATCH(A:A,'Non-State Redistribution Calc'!A:A,0)))</f>
        <v>Lubbock</v>
      </c>
      <c r="D22" s="15" t="s">
        <v>77</v>
      </c>
      <c r="E22" s="84">
        <f>IFERROR(INDEX('State Redistribution Calc'!S:S,MATCH(A:A,'State Redistribution Calc'!A:A,0)),INDEX('Non-State Redistribution Calc'!AD:AD,MATCH(A:A,'Non-State Redistribution Calc'!A:A,0)))</f>
        <v>966071.68</v>
      </c>
      <c r="F22" s="84">
        <f>IFERROR(INDEX('State Redistribution Calc'!T:T,MATCH(A:A,'State Redistribution Calc'!A:A,0)),INDEX('Non-State Redistribution Calc'!AI:AI,MATCH(A:A,'Non-State Redistribution Calc'!A:A,0)))</f>
        <v>318030.8</v>
      </c>
    </row>
    <row r="23" spans="1:6" x14ac:dyDescent="0.2">
      <c r="A23" s="45" t="s">
        <v>172</v>
      </c>
      <c r="B23" s="43" t="s">
        <v>345</v>
      </c>
      <c r="C23" s="15" t="str">
        <f>IFERROR(INDEX('State Redistribution Calc'!C:C,MATCH(A:A,'State Redistribution Calc'!A:A,0)),INDEX('Non-State Redistribution Calc'!C:C,MATCH(A:A,'Non-State Redistribution Calc'!A:A,0)))</f>
        <v>Harris</v>
      </c>
      <c r="D23" s="15" t="s">
        <v>137</v>
      </c>
      <c r="E23" s="84">
        <f>IFERROR(INDEX('State Redistribution Calc'!S:S,MATCH(A:A,'State Redistribution Calc'!A:A,0)),INDEX('Non-State Redistribution Calc'!AD:AD,MATCH(A:A,'Non-State Redistribution Calc'!A:A,0)))</f>
        <v>3814.69</v>
      </c>
      <c r="F23" s="84">
        <f>IFERROR(INDEX('State Redistribution Calc'!T:T,MATCH(A:A,'State Redistribution Calc'!A:A,0)),INDEX('Non-State Redistribution Calc'!AI:AI,MATCH(A:A,'Non-State Redistribution Calc'!A:A,0)))</f>
        <v>0</v>
      </c>
    </row>
    <row r="24" spans="1:6" x14ac:dyDescent="0.2">
      <c r="A24" s="45" t="s">
        <v>152</v>
      </c>
      <c r="B24" s="43" t="s">
        <v>413</v>
      </c>
      <c r="C24" s="15" t="str">
        <f>IFERROR(INDEX('State Redistribution Calc'!C:C,MATCH(A:A,'State Redistribution Calc'!A:A,0)),INDEX('Non-State Redistribution Calc'!C:C,MATCH(A:A,'Non-State Redistribution Calc'!A:A,0)))</f>
        <v>Tom Green</v>
      </c>
      <c r="D24" s="15" t="s">
        <v>145</v>
      </c>
      <c r="E24" s="84">
        <f>IFERROR(INDEX('State Redistribution Calc'!S:S,MATCH(A:A,'State Redistribution Calc'!A:A,0)),INDEX('Non-State Redistribution Calc'!AD:AD,MATCH(A:A,'Non-State Redistribution Calc'!A:A,0)))</f>
        <v>20951.2</v>
      </c>
      <c r="F24" s="84">
        <f>IFERROR(INDEX('State Redistribution Calc'!T:T,MATCH(A:A,'State Redistribution Calc'!A:A,0)),INDEX('Non-State Redistribution Calc'!AI:AI,MATCH(A:A,'Non-State Redistribution Calc'!A:A,0)))</f>
        <v>0</v>
      </c>
    </row>
    <row r="25" spans="1:6" x14ac:dyDescent="0.2">
      <c r="A25" s="45" t="s">
        <v>153</v>
      </c>
      <c r="B25" s="43" t="s">
        <v>350</v>
      </c>
      <c r="C25" s="15" t="str">
        <f>IFERROR(INDEX('State Redistribution Calc'!C:C,MATCH(A:A,'State Redistribution Calc'!A:A,0)),INDEX('Non-State Redistribution Calc'!C:C,MATCH(A:A,'Non-State Redistribution Calc'!A:A,0)))</f>
        <v>Harris</v>
      </c>
      <c r="D25" s="15" t="s">
        <v>145</v>
      </c>
      <c r="E25" s="84">
        <f>IFERROR(INDEX('State Redistribution Calc'!S:S,MATCH(A:A,'State Redistribution Calc'!A:A,0)),INDEX('Non-State Redistribution Calc'!AD:AD,MATCH(A:A,'Non-State Redistribution Calc'!A:A,0)))</f>
        <v>737.13</v>
      </c>
      <c r="F25" s="84">
        <f>IFERROR(INDEX('State Redistribution Calc'!T:T,MATCH(A:A,'State Redistribution Calc'!A:A,0)),INDEX('Non-State Redistribution Calc'!AI:AI,MATCH(A:A,'Non-State Redistribution Calc'!A:A,0)))</f>
        <v>0</v>
      </c>
    </row>
    <row r="26" spans="1:6" x14ac:dyDescent="0.2">
      <c r="A26" s="45" t="s">
        <v>130</v>
      </c>
      <c r="B26" s="43" t="s">
        <v>427</v>
      </c>
      <c r="C26" s="15" t="str">
        <f>IFERROR(INDEX('State Redistribution Calc'!C:C,MATCH(A:A,'State Redistribution Calc'!A:A,0)),INDEX('Non-State Redistribution Calc'!C:C,MATCH(A:A,'Non-State Redistribution Calc'!A:A,0)))</f>
        <v>Palo Pinto</v>
      </c>
      <c r="D26" s="15" t="s">
        <v>77</v>
      </c>
      <c r="E26" s="84">
        <f>IFERROR(INDEX('State Redistribution Calc'!S:S,MATCH(A:A,'State Redistribution Calc'!A:A,0)),INDEX('Non-State Redistribution Calc'!AD:AD,MATCH(A:A,'Non-State Redistribution Calc'!A:A,0)))</f>
        <v>677.82</v>
      </c>
      <c r="F26" s="84">
        <f>IFERROR(INDEX('State Redistribution Calc'!T:T,MATCH(A:A,'State Redistribution Calc'!A:A,0)),INDEX('Non-State Redistribution Calc'!AI:AI,MATCH(A:A,'Non-State Redistribution Calc'!A:A,0)))</f>
        <v>223.14</v>
      </c>
    </row>
    <row r="27" spans="1:6" x14ac:dyDescent="0.2">
      <c r="A27" s="45" t="s">
        <v>131</v>
      </c>
      <c r="B27" s="43" t="s">
        <v>388</v>
      </c>
      <c r="C27" s="15" t="str">
        <f>IFERROR(INDEX('State Redistribution Calc'!C:C,MATCH(A:A,'State Redistribution Calc'!A:A,0)),INDEX('Non-State Redistribution Calc'!C:C,MATCH(A:A,'Non-State Redistribution Calc'!A:A,0)))</f>
        <v>Limestone</v>
      </c>
      <c r="D27" s="15" t="s">
        <v>77</v>
      </c>
      <c r="E27" s="84">
        <f>IFERROR(INDEX('State Redistribution Calc'!S:S,MATCH(A:A,'State Redistribution Calc'!A:A,0)),INDEX('Non-State Redistribution Calc'!AD:AD,MATCH(A:A,'Non-State Redistribution Calc'!A:A,0)))</f>
        <v>4940.72</v>
      </c>
      <c r="F27" s="84">
        <f>IFERROR(INDEX('State Redistribution Calc'!T:T,MATCH(A:A,'State Redistribution Calc'!A:A,0)),INDEX('Non-State Redistribution Calc'!AI:AI,MATCH(A:A,'Non-State Redistribution Calc'!A:A,0)))</f>
        <v>1626.48</v>
      </c>
    </row>
    <row r="28" spans="1:6" x14ac:dyDescent="0.2">
      <c r="A28" s="45" t="s">
        <v>154</v>
      </c>
      <c r="B28" s="43" t="s">
        <v>354</v>
      </c>
      <c r="C28" s="15" t="str">
        <f>IFERROR(INDEX('State Redistribution Calc'!C:C,MATCH(A:A,'State Redistribution Calc'!A:A,0)),INDEX('Non-State Redistribution Calc'!C:C,MATCH(A:A,'Non-State Redistribution Calc'!A:A,0)))</f>
        <v>Harris</v>
      </c>
      <c r="D28" s="15" t="s">
        <v>145</v>
      </c>
      <c r="E28" s="84">
        <f>IFERROR(INDEX('State Redistribution Calc'!S:S,MATCH(A:A,'State Redistribution Calc'!A:A,0)),INDEX('Non-State Redistribution Calc'!AD:AD,MATCH(A:A,'Non-State Redistribution Calc'!A:A,0)))</f>
        <v>625.79</v>
      </c>
      <c r="F28" s="84">
        <f>IFERROR(INDEX('State Redistribution Calc'!T:T,MATCH(A:A,'State Redistribution Calc'!A:A,0)),INDEX('Non-State Redistribution Calc'!AI:AI,MATCH(A:A,'Non-State Redistribution Calc'!A:A,0)))</f>
        <v>0</v>
      </c>
    </row>
    <row r="29" spans="1:6" x14ac:dyDescent="0.2">
      <c r="A29" s="45" t="s">
        <v>110</v>
      </c>
      <c r="B29" s="43" t="s">
        <v>111</v>
      </c>
      <c r="C29" s="15" t="str">
        <f>IFERROR(INDEX('State Redistribution Calc'!C:C,MATCH(A:A,'State Redistribution Calc'!A:A,0)),INDEX('Non-State Redistribution Calc'!C:C,MATCH(A:A,'Non-State Redistribution Calc'!A:A,0)))</f>
        <v>Nolan</v>
      </c>
      <c r="D29" s="15" t="s">
        <v>77</v>
      </c>
      <c r="E29" s="84">
        <f>IFERROR(INDEX('State Redistribution Calc'!S:S,MATCH(A:A,'State Redistribution Calc'!A:A,0)),INDEX('Non-State Redistribution Calc'!AD:AD,MATCH(A:A,'Non-State Redistribution Calc'!A:A,0)))</f>
        <v>12517.12</v>
      </c>
      <c r="F29" s="84">
        <f>IFERROR(INDEX('State Redistribution Calc'!T:T,MATCH(A:A,'State Redistribution Calc'!A:A,0)),INDEX('Non-State Redistribution Calc'!AI:AI,MATCH(A:A,'Non-State Redistribution Calc'!A:A,0)))</f>
        <v>4120.6400000000003</v>
      </c>
    </row>
    <row r="30" spans="1:6" x14ac:dyDescent="0.2">
      <c r="A30" s="45" t="s">
        <v>268</v>
      </c>
      <c r="B30" s="43" t="s">
        <v>336</v>
      </c>
      <c r="C30" s="15" t="str">
        <f>IFERROR(INDEX('State Redistribution Calc'!C:C,MATCH(A:A,'State Redistribution Calc'!A:A,0)),INDEX('Non-State Redistribution Calc'!C:C,MATCH(A:A,'Non-State Redistribution Calc'!A:A,0)))</f>
        <v>Dallas</v>
      </c>
      <c r="D30" s="15" t="s">
        <v>137</v>
      </c>
      <c r="E30" s="84">
        <f>IFERROR(INDEX('State Redistribution Calc'!S:S,MATCH(A:A,'State Redistribution Calc'!A:A,0)),INDEX('Non-State Redistribution Calc'!AD:AD,MATCH(A:A,'Non-State Redistribution Calc'!A:A,0)))</f>
        <v>343133.27</v>
      </c>
      <c r="F30" s="84">
        <f>IFERROR(INDEX('State Redistribution Calc'!T:T,MATCH(A:A,'State Redistribution Calc'!A:A,0)),INDEX('Non-State Redistribution Calc'!AI:AI,MATCH(A:A,'Non-State Redistribution Calc'!A:A,0)))</f>
        <v>0</v>
      </c>
    </row>
    <row r="31" spans="1:6" x14ac:dyDescent="0.2">
      <c r="A31" s="45" t="s">
        <v>271</v>
      </c>
      <c r="B31" s="43" t="s">
        <v>339</v>
      </c>
      <c r="C31" s="15" t="str">
        <f>IFERROR(INDEX('State Redistribution Calc'!C:C,MATCH(A:A,'State Redistribution Calc'!A:A,0)),INDEX('Non-State Redistribution Calc'!C:C,MATCH(A:A,'Non-State Redistribution Calc'!A:A,0)))</f>
        <v>Dallas</v>
      </c>
      <c r="D31" s="15" t="s">
        <v>137</v>
      </c>
      <c r="E31" s="84">
        <f>IFERROR(INDEX('State Redistribution Calc'!S:S,MATCH(A:A,'State Redistribution Calc'!A:A,0)),INDEX('Non-State Redistribution Calc'!AD:AD,MATCH(A:A,'Non-State Redistribution Calc'!A:A,0)))</f>
        <v>1023.46</v>
      </c>
      <c r="F31" s="84">
        <f>IFERROR(INDEX('State Redistribution Calc'!T:T,MATCH(A:A,'State Redistribution Calc'!A:A,0)),INDEX('Non-State Redistribution Calc'!AI:AI,MATCH(A:A,'Non-State Redistribution Calc'!A:A,0)))</f>
        <v>0</v>
      </c>
    </row>
    <row r="32" spans="1:6" x14ac:dyDescent="0.2">
      <c r="A32" s="45" t="s">
        <v>93</v>
      </c>
      <c r="B32" s="43" t="s">
        <v>94</v>
      </c>
      <c r="C32" s="15" t="str">
        <f>IFERROR(INDEX('State Redistribution Calc'!C:C,MATCH(A:A,'State Redistribution Calc'!A:A,0)),INDEX('Non-State Redistribution Calc'!C:C,MATCH(A:A,'Non-State Redistribution Calc'!A:A,0)))</f>
        <v>Knox</v>
      </c>
      <c r="D32" s="15" t="s">
        <v>77</v>
      </c>
      <c r="E32" s="84">
        <f>IFERROR(INDEX('State Redistribution Calc'!S:S,MATCH(A:A,'State Redistribution Calc'!A:A,0)),INDEX('Non-State Redistribution Calc'!AD:AD,MATCH(A:A,'Non-State Redistribution Calc'!A:A,0)))</f>
        <v>38.99</v>
      </c>
      <c r="F32" s="84">
        <f>IFERROR(INDEX('State Redistribution Calc'!T:T,MATCH(A:A,'State Redistribution Calc'!A:A,0)),INDEX('Non-State Redistribution Calc'!AI:AI,MATCH(A:A,'Non-State Redistribution Calc'!A:A,0)))</f>
        <v>12.84</v>
      </c>
    </row>
    <row r="33" spans="1:6" x14ac:dyDescent="0.2">
      <c r="A33" s="45" t="s">
        <v>90</v>
      </c>
      <c r="B33" s="43" t="s">
        <v>410</v>
      </c>
      <c r="C33" s="15" t="str">
        <f>IFERROR(INDEX('State Redistribution Calc'!C:C,MATCH(A:A,'State Redistribution Calc'!A:A,0)),INDEX('Non-State Redistribution Calc'!C:C,MATCH(A:A,'Non-State Redistribution Calc'!A:A,0)))</f>
        <v>Fisher</v>
      </c>
      <c r="D33" s="15" t="s">
        <v>77</v>
      </c>
      <c r="E33" s="84">
        <f>IFERROR(INDEX('State Redistribution Calc'!S:S,MATCH(A:A,'State Redistribution Calc'!A:A,0)),INDEX('Non-State Redistribution Calc'!AD:AD,MATCH(A:A,'Non-State Redistribution Calc'!A:A,0)))</f>
        <v>2871.6</v>
      </c>
      <c r="F33" s="84">
        <f>IFERROR(INDEX('State Redistribution Calc'!T:T,MATCH(A:A,'State Redistribution Calc'!A:A,0)),INDEX('Non-State Redistribution Calc'!AI:AI,MATCH(A:A,'Non-State Redistribution Calc'!A:A,0)))</f>
        <v>945.33</v>
      </c>
    </row>
    <row r="34" spans="1:6" x14ac:dyDescent="0.2">
      <c r="A34" s="45" t="s">
        <v>98</v>
      </c>
      <c r="B34" s="43" t="s">
        <v>417</v>
      </c>
      <c r="C34" s="15" t="str">
        <f>IFERROR(INDEX('State Redistribution Calc'!C:C,MATCH(A:A,'State Redistribution Calc'!A:A,0)),INDEX('Non-State Redistribution Calc'!C:C,MATCH(A:A,'Non-State Redistribution Calc'!A:A,0)))</f>
        <v>Wheeler</v>
      </c>
      <c r="D34" s="15" t="s">
        <v>77</v>
      </c>
      <c r="E34" s="84">
        <f>IFERROR(INDEX('State Redistribution Calc'!S:S,MATCH(A:A,'State Redistribution Calc'!A:A,0)),INDEX('Non-State Redistribution Calc'!AD:AD,MATCH(A:A,'Non-State Redistribution Calc'!A:A,0)))</f>
        <v>1269.3699999999999</v>
      </c>
      <c r="F34" s="84">
        <f>IFERROR(INDEX('State Redistribution Calc'!T:T,MATCH(A:A,'State Redistribution Calc'!A:A,0)),INDEX('Non-State Redistribution Calc'!AI:AI,MATCH(A:A,'Non-State Redistribution Calc'!A:A,0)))</f>
        <v>417.88</v>
      </c>
    </row>
    <row r="35" spans="1:6" x14ac:dyDescent="0.2">
      <c r="A35" s="45" t="s">
        <v>81</v>
      </c>
      <c r="B35" s="43" t="s">
        <v>403</v>
      </c>
      <c r="C35" s="15" t="str">
        <f>IFERROR(INDEX('State Redistribution Calc'!C:C,MATCH(A:A,'State Redistribution Calc'!A:A,0)),INDEX('Non-State Redistribution Calc'!C:C,MATCH(A:A,'Non-State Redistribution Calc'!A:A,0)))</f>
        <v>Stonewall</v>
      </c>
      <c r="D35" s="15" t="s">
        <v>77</v>
      </c>
      <c r="E35" s="84">
        <f>IFERROR(INDEX('State Redistribution Calc'!S:S,MATCH(A:A,'State Redistribution Calc'!A:A,0)),INDEX('Non-State Redistribution Calc'!AD:AD,MATCH(A:A,'Non-State Redistribution Calc'!A:A,0)))</f>
        <v>0</v>
      </c>
      <c r="F35" s="84">
        <f>IFERROR(INDEX('State Redistribution Calc'!T:T,MATCH(A:A,'State Redistribution Calc'!A:A,0)),INDEX('Non-State Redistribution Calc'!AI:AI,MATCH(A:A,'Non-State Redistribution Calc'!A:A,0)))</f>
        <v>0</v>
      </c>
    </row>
    <row r="36" spans="1:6" x14ac:dyDescent="0.2">
      <c r="A36" s="45" t="s">
        <v>80</v>
      </c>
      <c r="B36" s="43" t="s">
        <v>320</v>
      </c>
      <c r="C36" s="15" t="str">
        <f>IFERROR(INDEX('State Redistribution Calc'!C:C,MATCH(A:A,'State Redistribution Calc'!A:A,0)),INDEX('Non-State Redistribution Calc'!C:C,MATCH(A:A,'Non-State Redistribution Calc'!A:A,0)))</f>
        <v>Refugio</v>
      </c>
      <c r="D36" s="15" t="s">
        <v>77</v>
      </c>
      <c r="E36" s="84">
        <f>IFERROR(INDEX('State Redistribution Calc'!S:S,MATCH(A:A,'State Redistribution Calc'!A:A,0)),INDEX('Non-State Redistribution Calc'!AD:AD,MATCH(A:A,'Non-State Redistribution Calc'!A:A,0)))</f>
        <v>11657.88</v>
      </c>
      <c r="F36" s="84">
        <f>IFERROR(INDEX('State Redistribution Calc'!T:T,MATCH(A:A,'State Redistribution Calc'!A:A,0)),INDEX('Non-State Redistribution Calc'!AI:AI,MATCH(A:A,'Non-State Redistribution Calc'!A:A,0)))</f>
        <v>3837.77</v>
      </c>
    </row>
    <row r="37" spans="1:6" x14ac:dyDescent="0.2">
      <c r="A37" s="45" t="s">
        <v>89</v>
      </c>
      <c r="B37" s="43" t="s">
        <v>408</v>
      </c>
      <c r="C37" s="15" t="str">
        <f>IFERROR(INDEX('State Redistribution Calc'!C:C,MATCH(A:A,'State Redistribution Calc'!A:A,0)),INDEX('Non-State Redistribution Calc'!C:C,MATCH(A:A,'Non-State Redistribution Calc'!A:A,0)))</f>
        <v>Reeves</v>
      </c>
      <c r="D37" s="15" t="s">
        <v>77</v>
      </c>
      <c r="E37" s="84">
        <f>IFERROR(INDEX('State Redistribution Calc'!S:S,MATCH(A:A,'State Redistribution Calc'!A:A,0)),INDEX('Non-State Redistribution Calc'!AD:AD,MATCH(A:A,'Non-State Redistribution Calc'!A:A,0)))</f>
        <v>75.459999999999994</v>
      </c>
      <c r="F37" s="84">
        <f>IFERROR(INDEX('State Redistribution Calc'!T:T,MATCH(A:A,'State Redistribution Calc'!A:A,0)),INDEX('Non-State Redistribution Calc'!AI:AI,MATCH(A:A,'Non-State Redistribution Calc'!A:A,0)))</f>
        <v>24.84</v>
      </c>
    </row>
    <row r="38" spans="1:6" x14ac:dyDescent="0.2">
      <c r="A38" s="45" t="s">
        <v>135</v>
      </c>
      <c r="B38" s="43" t="s">
        <v>136</v>
      </c>
      <c r="C38" s="15" t="str">
        <f>IFERROR(INDEX('State Redistribution Calc'!C:C,MATCH(A:A,'State Redistribution Calc'!A:A,0)),INDEX('Non-State Redistribution Calc'!C:C,MATCH(A:A,'Non-State Redistribution Calc'!A:A,0)))</f>
        <v>Schleicher</v>
      </c>
      <c r="D38" s="15" t="s">
        <v>137</v>
      </c>
      <c r="E38" s="84">
        <f>IFERROR(INDEX('State Redistribution Calc'!S:S,MATCH(A:A,'State Redistribution Calc'!A:A,0)),INDEX('Non-State Redistribution Calc'!AD:AD,MATCH(A:A,'Non-State Redistribution Calc'!A:A,0)))</f>
        <v>7160.39</v>
      </c>
      <c r="F38" s="84">
        <f>IFERROR(INDEX('State Redistribution Calc'!T:T,MATCH(A:A,'State Redistribution Calc'!A:A,0)),INDEX('Non-State Redistribution Calc'!AI:AI,MATCH(A:A,'Non-State Redistribution Calc'!A:A,0)))</f>
        <v>0</v>
      </c>
    </row>
    <row r="39" spans="1:6" x14ac:dyDescent="0.2">
      <c r="A39" s="45" t="s">
        <v>138</v>
      </c>
      <c r="B39" s="43" t="s">
        <v>430</v>
      </c>
      <c r="C39" s="15" t="str">
        <f>IFERROR(INDEX('State Redistribution Calc'!C:C,MATCH(A:A,'State Redistribution Calc'!A:A,0)),INDEX('Non-State Redistribution Calc'!C:C,MATCH(A:A,'Non-State Redistribution Calc'!A:A,0)))</f>
        <v>Coleman</v>
      </c>
      <c r="D39" s="15" t="s">
        <v>77</v>
      </c>
      <c r="E39" s="84">
        <f>IFERROR(INDEX('State Redistribution Calc'!S:S,MATCH(A:A,'State Redistribution Calc'!A:A,0)),INDEX('Non-State Redistribution Calc'!AD:AD,MATCH(A:A,'Non-State Redistribution Calc'!A:A,0)))</f>
        <v>4465.99</v>
      </c>
      <c r="F39" s="84">
        <f>IFERROR(INDEX('State Redistribution Calc'!T:T,MATCH(A:A,'State Redistribution Calc'!A:A,0)),INDEX('Non-State Redistribution Calc'!AI:AI,MATCH(A:A,'Non-State Redistribution Calc'!A:A,0)))</f>
        <v>1470.2</v>
      </c>
    </row>
    <row r="40" spans="1:6" x14ac:dyDescent="0.2">
      <c r="A40" s="45" t="s">
        <v>261</v>
      </c>
      <c r="B40" s="43" t="s">
        <v>389</v>
      </c>
      <c r="C40" s="15" t="str">
        <f>IFERROR(INDEX('State Redistribution Calc'!C:C,MATCH(A:A,'State Redistribution Calc'!A:A,0)),INDEX('Non-State Redistribution Calc'!C:C,MATCH(A:A,'Non-State Redistribution Calc'!A:A,0)))</f>
        <v>Colorado</v>
      </c>
      <c r="D40" s="15" t="s">
        <v>137</v>
      </c>
      <c r="E40" s="84">
        <f>IFERROR(INDEX('State Redistribution Calc'!S:S,MATCH(A:A,'State Redistribution Calc'!A:A,0)),INDEX('Non-State Redistribution Calc'!AD:AD,MATCH(A:A,'Non-State Redistribution Calc'!A:A,0)))</f>
        <v>11557.2</v>
      </c>
      <c r="F40" s="84">
        <f>IFERROR(INDEX('State Redistribution Calc'!T:T,MATCH(A:A,'State Redistribution Calc'!A:A,0)),INDEX('Non-State Redistribution Calc'!AI:AI,MATCH(A:A,'Non-State Redistribution Calc'!A:A,0)))</f>
        <v>0</v>
      </c>
    </row>
    <row r="41" spans="1:6" x14ac:dyDescent="0.2">
      <c r="A41" s="45" t="s">
        <v>82</v>
      </c>
      <c r="B41" s="43" t="s">
        <v>83</v>
      </c>
      <c r="C41" s="15" t="str">
        <f>IFERROR(INDEX('State Redistribution Calc'!C:C,MATCH(A:A,'State Redistribution Calc'!A:A,0)),INDEX('Non-State Redistribution Calc'!C:C,MATCH(A:A,'Non-State Redistribution Calc'!A:A,0)))</f>
        <v>Concho</v>
      </c>
      <c r="D41" s="15" t="s">
        <v>77</v>
      </c>
      <c r="E41" s="84">
        <f>IFERROR(INDEX('State Redistribution Calc'!S:S,MATCH(A:A,'State Redistribution Calc'!A:A,0)),INDEX('Non-State Redistribution Calc'!AD:AD,MATCH(A:A,'Non-State Redistribution Calc'!A:A,0)))</f>
        <v>10740.16</v>
      </c>
      <c r="F41" s="84">
        <f>IFERROR(INDEX('State Redistribution Calc'!T:T,MATCH(A:A,'State Redistribution Calc'!A:A,0)),INDEX('Non-State Redistribution Calc'!AI:AI,MATCH(A:A,'Non-State Redistribution Calc'!A:A,0)))</f>
        <v>3535.66</v>
      </c>
    </row>
    <row r="42" spans="1:6" x14ac:dyDescent="0.2">
      <c r="A42" s="45" t="s">
        <v>219</v>
      </c>
      <c r="B42" s="43" t="s">
        <v>374</v>
      </c>
      <c r="C42" s="15" t="str">
        <f>IFERROR(INDEX('State Redistribution Calc'!C:C,MATCH(A:A,'State Redistribution Calc'!A:A,0)),INDEX('Non-State Redistribution Calc'!C:C,MATCH(A:A,'Non-State Redistribution Calc'!A:A,0)))</f>
        <v>Hockley</v>
      </c>
      <c r="D42" s="15" t="s">
        <v>137</v>
      </c>
      <c r="E42" s="84">
        <f>IFERROR(INDEX('State Redistribution Calc'!S:S,MATCH(A:A,'State Redistribution Calc'!A:A,0)),INDEX('Non-State Redistribution Calc'!AD:AD,MATCH(A:A,'Non-State Redistribution Calc'!A:A,0)))</f>
        <v>16566.28</v>
      </c>
      <c r="F42" s="84">
        <f>IFERROR(INDEX('State Redistribution Calc'!T:T,MATCH(A:A,'State Redistribution Calc'!A:A,0)),INDEX('Non-State Redistribution Calc'!AI:AI,MATCH(A:A,'Non-State Redistribution Calc'!A:A,0)))</f>
        <v>0</v>
      </c>
    </row>
    <row r="43" spans="1:6" x14ac:dyDescent="0.2">
      <c r="A43" s="45" t="s">
        <v>95</v>
      </c>
      <c r="B43" s="43" t="s">
        <v>315</v>
      </c>
      <c r="C43" s="15" t="str">
        <f>IFERROR(INDEX('State Redistribution Calc'!C:C,MATCH(A:A,'State Redistribution Calc'!A:A,0)),INDEX('Non-State Redistribution Calc'!C:C,MATCH(A:A,'Non-State Redistribution Calc'!A:A,0)))</f>
        <v>Hardeman</v>
      </c>
      <c r="D43" s="15" t="s">
        <v>77</v>
      </c>
      <c r="E43" s="84">
        <f>IFERROR(INDEX('State Redistribution Calc'!S:S,MATCH(A:A,'State Redistribution Calc'!A:A,0)),INDEX('Non-State Redistribution Calc'!AD:AD,MATCH(A:A,'Non-State Redistribution Calc'!A:A,0)))</f>
        <v>5357.12</v>
      </c>
      <c r="F43" s="84">
        <f>IFERROR(INDEX('State Redistribution Calc'!T:T,MATCH(A:A,'State Redistribution Calc'!A:A,0)),INDEX('Non-State Redistribution Calc'!AI:AI,MATCH(A:A,'Non-State Redistribution Calc'!A:A,0)))</f>
        <v>1763.56</v>
      </c>
    </row>
    <row r="44" spans="1:6" x14ac:dyDescent="0.2">
      <c r="A44" s="45" t="s">
        <v>150</v>
      </c>
      <c r="B44" s="43" t="s">
        <v>151</v>
      </c>
      <c r="C44" s="15" t="str">
        <f>IFERROR(INDEX('State Redistribution Calc'!C:C,MATCH(A:A,'State Redistribution Calc'!A:A,0)),INDEX('Non-State Redistribution Calc'!C:C,MATCH(A:A,'Non-State Redistribution Calc'!A:A,0)))</f>
        <v>Bexar</v>
      </c>
      <c r="D44" s="15" t="s">
        <v>145</v>
      </c>
      <c r="E44" s="84">
        <f>IFERROR(INDEX('State Redistribution Calc'!S:S,MATCH(A:A,'State Redistribution Calc'!A:A,0)),INDEX('Non-State Redistribution Calc'!AD:AD,MATCH(A:A,'Non-State Redistribution Calc'!A:A,0)))</f>
        <v>0</v>
      </c>
      <c r="F44" s="84">
        <f>IFERROR(INDEX('State Redistribution Calc'!T:T,MATCH(A:A,'State Redistribution Calc'!A:A,0)),INDEX('Non-State Redistribution Calc'!AI:AI,MATCH(A:A,'Non-State Redistribution Calc'!A:A,0)))</f>
        <v>0</v>
      </c>
    </row>
    <row r="45" spans="1:6" x14ac:dyDescent="0.2">
      <c r="A45" s="45" t="s">
        <v>91</v>
      </c>
      <c r="B45" s="43" t="s">
        <v>411</v>
      </c>
      <c r="C45" s="15" t="str">
        <f>IFERROR(INDEX('State Redistribution Calc'!C:C,MATCH(A:A,'State Redistribution Calc'!A:A,0)),INDEX('Non-State Redistribution Calc'!C:C,MATCH(A:A,'Non-State Redistribution Calc'!A:A,0)))</f>
        <v>Ochiltree</v>
      </c>
      <c r="D45" s="15" t="s">
        <v>77</v>
      </c>
      <c r="E45" s="84">
        <f>IFERROR(INDEX('State Redistribution Calc'!S:S,MATCH(A:A,'State Redistribution Calc'!A:A,0)),INDEX('Non-State Redistribution Calc'!AD:AD,MATCH(A:A,'Non-State Redistribution Calc'!A:A,0)))</f>
        <v>498.43</v>
      </c>
      <c r="F45" s="84">
        <f>IFERROR(INDEX('State Redistribution Calc'!T:T,MATCH(A:A,'State Redistribution Calc'!A:A,0)),INDEX('Non-State Redistribution Calc'!AI:AI,MATCH(A:A,'Non-State Redistribution Calc'!A:A,0)))</f>
        <v>164.08</v>
      </c>
    </row>
    <row r="46" spans="1:6" x14ac:dyDescent="0.2">
      <c r="A46" s="45" t="s">
        <v>87</v>
      </c>
      <c r="B46" s="43" t="s">
        <v>88</v>
      </c>
      <c r="C46" s="15" t="str">
        <f>IFERROR(INDEX('State Redistribution Calc'!C:C,MATCH(A:A,'State Redistribution Calc'!A:A,0)),INDEX('Non-State Redistribution Calc'!C:C,MATCH(A:A,'Non-State Redistribution Calc'!A:A,0)))</f>
        <v>Lavaca</v>
      </c>
      <c r="D46" s="15" t="s">
        <v>77</v>
      </c>
      <c r="E46" s="84">
        <f>IFERROR(INDEX('State Redistribution Calc'!S:S,MATCH(A:A,'State Redistribution Calc'!A:A,0)),INDEX('Non-State Redistribution Calc'!AD:AD,MATCH(A:A,'Non-State Redistribution Calc'!A:A,0)))</f>
        <v>15509.28</v>
      </c>
      <c r="F46" s="84">
        <f>IFERROR(INDEX('State Redistribution Calc'!T:T,MATCH(A:A,'State Redistribution Calc'!A:A,0)),INDEX('Non-State Redistribution Calc'!AI:AI,MATCH(A:A,'Non-State Redistribution Calc'!A:A,0)))</f>
        <v>5105.6499999999996</v>
      </c>
    </row>
    <row r="47" spans="1:6" x14ac:dyDescent="0.2">
      <c r="A47" s="45" t="s">
        <v>127</v>
      </c>
      <c r="B47" s="43" t="s">
        <v>426</v>
      </c>
      <c r="C47" s="15" t="str">
        <f>IFERROR(INDEX('State Redistribution Calc'!C:C,MATCH(A:A,'State Redistribution Calc'!A:A,0)),INDEX('Non-State Redistribution Calc'!C:C,MATCH(A:A,'Non-State Redistribution Calc'!A:A,0)))</f>
        <v>Baylor</v>
      </c>
      <c r="D47" s="15" t="s">
        <v>77</v>
      </c>
      <c r="E47" s="84">
        <f>IFERROR(INDEX('State Redistribution Calc'!S:S,MATCH(A:A,'State Redistribution Calc'!A:A,0)),INDEX('Non-State Redistribution Calc'!AD:AD,MATCH(A:A,'Non-State Redistribution Calc'!A:A,0)))</f>
        <v>9286.26</v>
      </c>
      <c r="F47" s="84">
        <f>IFERROR(INDEX('State Redistribution Calc'!T:T,MATCH(A:A,'State Redistribution Calc'!A:A,0)),INDEX('Non-State Redistribution Calc'!AI:AI,MATCH(A:A,'Non-State Redistribution Calc'!A:A,0)))</f>
        <v>3057.04</v>
      </c>
    </row>
    <row r="48" spans="1:6" x14ac:dyDescent="0.2">
      <c r="A48" s="45" t="s">
        <v>99</v>
      </c>
      <c r="B48" s="43" t="s">
        <v>384</v>
      </c>
      <c r="C48" s="15" t="str">
        <f>IFERROR(INDEX('State Redistribution Calc'!C:C,MATCH(A:A,'State Redistribution Calc'!A:A,0)),INDEX('Non-State Redistribution Calc'!C:C,MATCH(A:A,'Non-State Redistribution Calc'!A:A,0)))</f>
        <v>Jackson</v>
      </c>
      <c r="D48" s="15" t="s">
        <v>77</v>
      </c>
      <c r="E48" s="84">
        <f>IFERROR(INDEX('State Redistribution Calc'!S:S,MATCH(A:A,'State Redistribution Calc'!A:A,0)),INDEX('Non-State Redistribution Calc'!AD:AD,MATCH(A:A,'Non-State Redistribution Calc'!A:A,0)))</f>
        <v>5961.74</v>
      </c>
      <c r="F48" s="84">
        <f>IFERROR(INDEX('State Redistribution Calc'!T:T,MATCH(A:A,'State Redistribution Calc'!A:A,0)),INDEX('Non-State Redistribution Calc'!AI:AI,MATCH(A:A,'Non-State Redistribution Calc'!A:A,0)))</f>
        <v>1962.61</v>
      </c>
    </row>
    <row r="49" spans="1:6" x14ac:dyDescent="0.2">
      <c r="A49" s="45" t="s">
        <v>132</v>
      </c>
      <c r="B49" s="43" t="s">
        <v>428</v>
      </c>
      <c r="C49" s="15" t="str">
        <f>IFERROR(INDEX('State Redistribution Calc'!C:C,MATCH(A:A,'State Redistribution Calc'!A:A,0)),INDEX('Non-State Redistribution Calc'!C:C,MATCH(A:A,'Non-State Redistribution Calc'!A:A,0)))</f>
        <v>Dawson</v>
      </c>
      <c r="D49" s="15" t="s">
        <v>77</v>
      </c>
      <c r="E49" s="84">
        <f>IFERROR(INDEX('State Redistribution Calc'!S:S,MATCH(A:A,'State Redistribution Calc'!A:A,0)),INDEX('Non-State Redistribution Calc'!AD:AD,MATCH(A:A,'Non-State Redistribution Calc'!A:A,0)))</f>
        <v>1856.92</v>
      </c>
      <c r="F49" s="84">
        <f>IFERROR(INDEX('State Redistribution Calc'!T:T,MATCH(A:A,'State Redistribution Calc'!A:A,0)),INDEX('Non-State Redistribution Calc'!AI:AI,MATCH(A:A,'Non-State Redistribution Calc'!A:A,0)))</f>
        <v>611.29999999999995</v>
      </c>
    </row>
    <row r="50" spans="1:6" x14ac:dyDescent="0.2">
      <c r="A50" s="45" t="s">
        <v>222</v>
      </c>
      <c r="B50" s="43" t="s">
        <v>223</v>
      </c>
      <c r="C50" s="15" t="str">
        <f>IFERROR(INDEX('State Redistribution Calc'!C:C,MATCH(A:A,'State Redistribution Calc'!A:A,0)),INDEX('Non-State Redistribution Calc'!C:C,MATCH(A:A,'Non-State Redistribution Calc'!A:A,0)))</f>
        <v>Colorado</v>
      </c>
      <c r="D50" s="15" t="s">
        <v>137</v>
      </c>
      <c r="E50" s="84">
        <f>IFERROR(INDEX('State Redistribution Calc'!S:S,MATCH(A:A,'State Redistribution Calc'!A:A,0)),INDEX('Non-State Redistribution Calc'!AD:AD,MATCH(A:A,'Non-State Redistribution Calc'!A:A,0)))</f>
        <v>0</v>
      </c>
      <c r="F50" s="84">
        <f>IFERROR(INDEX('State Redistribution Calc'!T:T,MATCH(A:A,'State Redistribution Calc'!A:A,0)),INDEX('Non-State Redistribution Calc'!AI:AI,MATCH(A:A,'Non-State Redistribution Calc'!A:A,0)))</f>
        <v>0</v>
      </c>
    </row>
    <row r="51" spans="1:6" x14ac:dyDescent="0.2">
      <c r="A51" s="45" t="s">
        <v>228</v>
      </c>
      <c r="B51" s="43" t="s">
        <v>385</v>
      </c>
      <c r="C51" s="15" t="str">
        <f>IFERROR(INDEX('State Redistribution Calc'!C:C,MATCH(A:A,'State Redistribution Calc'!A:A,0)),INDEX('Non-State Redistribution Calc'!C:C,MATCH(A:A,'Non-State Redistribution Calc'!A:A,0)))</f>
        <v>Washington</v>
      </c>
      <c r="D51" s="15" t="s">
        <v>137</v>
      </c>
      <c r="E51" s="84">
        <f>IFERROR(INDEX('State Redistribution Calc'!S:S,MATCH(A:A,'State Redistribution Calc'!A:A,0)),INDEX('Non-State Redistribution Calc'!AD:AD,MATCH(A:A,'Non-State Redistribution Calc'!A:A,0)))</f>
        <v>62.58</v>
      </c>
      <c r="F51" s="84">
        <f>IFERROR(INDEX('State Redistribution Calc'!T:T,MATCH(A:A,'State Redistribution Calc'!A:A,0)),INDEX('Non-State Redistribution Calc'!AI:AI,MATCH(A:A,'Non-State Redistribution Calc'!A:A,0)))</f>
        <v>0</v>
      </c>
    </row>
    <row r="52" spans="1:6" x14ac:dyDescent="0.2">
      <c r="A52" s="45" t="s">
        <v>139</v>
      </c>
      <c r="B52" s="43" t="s">
        <v>412</v>
      </c>
      <c r="C52" s="15" t="str">
        <f>IFERROR(INDEX('State Redistribution Calc'!C:C,MATCH(A:A,'State Redistribution Calc'!A:A,0)),INDEX('Non-State Redistribution Calc'!C:C,MATCH(A:A,'Non-State Redistribution Calc'!A:A,0)))</f>
        <v>Pecos</v>
      </c>
      <c r="D52" s="15" t="s">
        <v>77</v>
      </c>
      <c r="E52" s="84">
        <f>IFERROR(INDEX('State Redistribution Calc'!S:S,MATCH(A:A,'State Redistribution Calc'!A:A,0)),INDEX('Non-State Redistribution Calc'!AD:AD,MATCH(A:A,'Non-State Redistribution Calc'!A:A,0)))</f>
        <v>12935.5</v>
      </c>
      <c r="F52" s="84">
        <f>IFERROR(INDEX('State Redistribution Calc'!T:T,MATCH(A:A,'State Redistribution Calc'!A:A,0)),INDEX('Non-State Redistribution Calc'!AI:AI,MATCH(A:A,'Non-State Redistribution Calc'!A:A,0)))</f>
        <v>4258.37</v>
      </c>
    </row>
    <row r="53" spans="1:6" x14ac:dyDescent="0.2">
      <c r="A53" s="45" t="s">
        <v>112</v>
      </c>
      <c r="B53" s="43" t="s">
        <v>421</v>
      </c>
      <c r="C53" s="15" t="str">
        <f>IFERROR(INDEX('State Redistribution Calc'!C:C,MATCH(A:A,'State Redistribution Calc'!A:A,0)),INDEX('Non-State Redistribution Calc'!C:C,MATCH(A:A,'Non-State Redistribution Calc'!A:A,0)))</f>
        <v>Childress</v>
      </c>
      <c r="D53" s="15" t="s">
        <v>77</v>
      </c>
      <c r="E53" s="84">
        <f>IFERROR(INDEX('State Redistribution Calc'!S:S,MATCH(A:A,'State Redistribution Calc'!A:A,0)),INDEX('Non-State Redistribution Calc'!AD:AD,MATCH(A:A,'Non-State Redistribution Calc'!A:A,0)))</f>
        <v>16.62</v>
      </c>
      <c r="F53" s="84">
        <f>IFERROR(INDEX('State Redistribution Calc'!T:T,MATCH(A:A,'State Redistribution Calc'!A:A,0)),INDEX('Non-State Redistribution Calc'!AI:AI,MATCH(A:A,'Non-State Redistribution Calc'!A:A,0)))</f>
        <v>5.47</v>
      </c>
    </row>
    <row r="54" spans="1:6" x14ac:dyDescent="0.2">
      <c r="A54" s="45" t="s">
        <v>96</v>
      </c>
      <c r="B54" s="43" t="s">
        <v>416</v>
      </c>
      <c r="C54" s="15" t="str">
        <f>IFERROR(INDEX('State Redistribution Calc'!C:C,MATCH(A:A,'State Redistribution Calc'!A:A,0)),INDEX('Non-State Redistribution Calc'!C:C,MATCH(A:A,'Non-State Redistribution Calc'!A:A,0)))</f>
        <v>Sutton</v>
      </c>
      <c r="D54" s="15" t="s">
        <v>77</v>
      </c>
      <c r="E54" s="84">
        <f>IFERROR(INDEX('State Redistribution Calc'!S:S,MATCH(A:A,'State Redistribution Calc'!A:A,0)),INDEX('Non-State Redistribution Calc'!AD:AD,MATCH(A:A,'Non-State Redistribution Calc'!A:A,0)))</f>
        <v>9899.56</v>
      </c>
      <c r="F54" s="84">
        <f>IFERROR(INDEX('State Redistribution Calc'!T:T,MATCH(A:A,'State Redistribution Calc'!A:A,0)),INDEX('Non-State Redistribution Calc'!AI:AI,MATCH(A:A,'Non-State Redistribution Calc'!A:A,0)))</f>
        <v>3258.94</v>
      </c>
    </row>
    <row r="55" spans="1:6" x14ac:dyDescent="0.2">
      <c r="A55" s="45" t="s">
        <v>148</v>
      </c>
      <c r="B55" s="43" t="s">
        <v>149</v>
      </c>
      <c r="C55" s="15" t="str">
        <f>IFERROR(INDEX('State Redistribution Calc'!C:C,MATCH(A:A,'State Redistribution Calc'!A:A,0)),INDEX('Non-State Redistribution Calc'!C:C,MATCH(A:A,'Non-State Redistribution Calc'!A:A,0)))</f>
        <v>Bexar</v>
      </c>
      <c r="D55" s="15" t="s">
        <v>145</v>
      </c>
      <c r="E55" s="84">
        <f>IFERROR(INDEX('State Redistribution Calc'!S:S,MATCH(A:A,'State Redistribution Calc'!A:A,0)),INDEX('Non-State Redistribution Calc'!AD:AD,MATCH(A:A,'Non-State Redistribution Calc'!A:A,0)))</f>
        <v>0</v>
      </c>
      <c r="F55" s="84">
        <f>IFERROR(INDEX('State Redistribution Calc'!T:T,MATCH(A:A,'State Redistribution Calc'!A:A,0)),INDEX('Non-State Redistribution Calc'!AI:AI,MATCH(A:A,'Non-State Redistribution Calc'!A:A,0)))</f>
        <v>0</v>
      </c>
    </row>
    <row r="56" spans="1:6" x14ac:dyDescent="0.2">
      <c r="A56" s="45" t="s">
        <v>128</v>
      </c>
      <c r="B56" s="43" t="s">
        <v>387</v>
      </c>
      <c r="C56" s="15" t="str">
        <f>IFERROR(INDEX('State Redistribution Calc'!C:C,MATCH(A:A,'State Redistribution Calc'!A:A,0)),INDEX('Non-State Redistribution Calc'!C:C,MATCH(A:A,'Non-State Redistribution Calc'!A:A,0)))</f>
        <v>De Witt</v>
      </c>
      <c r="D56" s="15" t="s">
        <v>77</v>
      </c>
      <c r="E56" s="84">
        <f>IFERROR(INDEX('State Redistribution Calc'!S:S,MATCH(A:A,'State Redistribution Calc'!A:A,0)),INDEX('Non-State Redistribution Calc'!AD:AD,MATCH(A:A,'Non-State Redistribution Calc'!A:A,0)))</f>
        <v>11.94</v>
      </c>
      <c r="F56" s="84">
        <f>IFERROR(INDEX('State Redistribution Calc'!T:T,MATCH(A:A,'State Redistribution Calc'!A:A,0)),INDEX('Non-State Redistribution Calc'!AI:AI,MATCH(A:A,'Non-State Redistribution Calc'!A:A,0)))</f>
        <v>3.93</v>
      </c>
    </row>
    <row r="57" spans="1:6" x14ac:dyDescent="0.2">
      <c r="A57" s="45" t="s">
        <v>86</v>
      </c>
      <c r="B57" s="43" t="s">
        <v>407</v>
      </c>
      <c r="C57" s="15" t="str">
        <f>IFERROR(INDEX('State Redistribution Calc'!C:C,MATCH(A:A,'State Redistribution Calc'!A:A,0)),INDEX('Non-State Redistribution Calc'!C:C,MATCH(A:A,'Non-State Redistribution Calc'!A:A,0)))</f>
        <v>Young</v>
      </c>
      <c r="D57" s="15" t="s">
        <v>77</v>
      </c>
      <c r="E57" s="84">
        <f>IFERROR(INDEX('State Redistribution Calc'!S:S,MATCH(A:A,'State Redistribution Calc'!A:A,0)),INDEX('Non-State Redistribution Calc'!AD:AD,MATCH(A:A,'Non-State Redistribution Calc'!A:A,0)))</f>
        <v>3779.97</v>
      </c>
      <c r="F57" s="84">
        <f>IFERROR(INDEX('State Redistribution Calc'!T:T,MATCH(A:A,'State Redistribution Calc'!A:A,0)),INDEX('Non-State Redistribution Calc'!AI:AI,MATCH(A:A,'Non-State Redistribution Calc'!A:A,0)))</f>
        <v>1244.3699999999999</v>
      </c>
    </row>
    <row r="58" spans="1:6" x14ac:dyDescent="0.2">
      <c r="A58" s="45" t="s">
        <v>121</v>
      </c>
      <c r="B58" s="43" t="s">
        <v>309</v>
      </c>
      <c r="C58" s="15" t="str">
        <f>IFERROR(INDEX('State Redistribution Calc'!C:C,MATCH(A:A,'State Redistribution Calc'!A:A,0)),INDEX('Non-State Redistribution Calc'!C:C,MATCH(A:A,'Non-State Redistribution Calc'!A:A,0)))</f>
        <v>Bosque</v>
      </c>
      <c r="D58" s="15" t="s">
        <v>77</v>
      </c>
      <c r="E58" s="84">
        <f>IFERROR(INDEX('State Redistribution Calc'!S:S,MATCH(A:A,'State Redistribution Calc'!A:A,0)),INDEX('Non-State Redistribution Calc'!AD:AD,MATCH(A:A,'Non-State Redistribution Calc'!A:A,0)))</f>
        <v>8016.62</v>
      </c>
      <c r="F58" s="84">
        <f>IFERROR(INDEX('State Redistribution Calc'!T:T,MATCH(A:A,'State Redistribution Calc'!A:A,0)),INDEX('Non-State Redistribution Calc'!AI:AI,MATCH(A:A,'Non-State Redistribution Calc'!A:A,0)))</f>
        <v>2639.07</v>
      </c>
    </row>
    <row r="59" spans="1:6" x14ac:dyDescent="0.2">
      <c r="A59" s="45" t="s">
        <v>103</v>
      </c>
      <c r="B59" s="43" t="s">
        <v>371</v>
      </c>
      <c r="C59" s="15" t="str">
        <f>IFERROR(INDEX('State Redistribution Calc'!C:C,MATCH(A:A,'State Redistribution Calc'!A:A,0)),INDEX('Non-State Redistribution Calc'!C:C,MATCH(A:A,'Non-State Redistribution Calc'!A:A,0)))</f>
        <v>Lamb</v>
      </c>
      <c r="D59" s="15" t="s">
        <v>77</v>
      </c>
      <c r="E59" s="84">
        <f>IFERROR(INDEX('State Redistribution Calc'!S:S,MATCH(A:A,'State Redistribution Calc'!A:A,0)),INDEX('Non-State Redistribution Calc'!AD:AD,MATCH(A:A,'Non-State Redistribution Calc'!A:A,0)))</f>
        <v>19162.91</v>
      </c>
      <c r="F59" s="84">
        <f>IFERROR(INDEX('State Redistribution Calc'!T:T,MATCH(A:A,'State Redistribution Calc'!A:A,0)),INDEX('Non-State Redistribution Calc'!AI:AI,MATCH(A:A,'Non-State Redistribution Calc'!A:A,0)))</f>
        <v>6308.43</v>
      </c>
    </row>
    <row r="60" spans="1:6" x14ac:dyDescent="0.2">
      <c r="A60" s="45" t="s">
        <v>113</v>
      </c>
      <c r="B60" s="43" t="s">
        <v>375</v>
      </c>
      <c r="C60" s="15" t="str">
        <f>IFERROR(INDEX('State Redistribution Calc'!C:C,MATCH(A:A,'State Redistribution Calc'!A:A,0)),INDEX('Non-State Redistribution Calc'!C:C,MATCH(A:A,'Non-State Redistribution Calc'!A:A,0)))</f>
        <v>Deaf Smith</v>
      </c>
      <c r="D60" s="15" t="s">
        <v>77</v>
      </c>
      <c r="E60" s="84">
        <f>IFERROR(INDEX('State Redistribution Calc'!S:S,MATCH(A:A,'State Redistribution Calc'!A:A,0)),INDEX('Non-State Redistribution Calc'!AD:AD,MATCH(A:A,'Non-State Redistribution Calc'!A:A,0)))</f>
        <v>15610.85</v>
      </c>
      <c r="F60" s="84">
        <f>IFERROR(INDEX('State Redistribution Calc'!T:T,MATCH(A:A,'State Redistribution Calc'!A:A,0)),INDEX('Non-State Redistribution Calc'!AI:AI,MATCH(A:A,'Non-State Redistribution Calc'!A:A,0)))</f>
        <v>5139.09</v>
      </c>
    </row>
    <row r="61" spans="1:6" x14ac:dyDescent="0.2">
      <c r="A61" s="45" t="s">
        <v>119</v>
      </c>
      <c r="B61" s="43" t="s">
        <v>120</v>
      </c>
      <c r="C61" s="15" t="str">
        <f>IFERROR(INDEX('State Redistribution Calc'!C:C,MATCH(A:A,'State Redistribution Calc'!A:A,0)),INDEX('Non-State Redistribution Calc'!C:C,MATCH(A:A,'Non-State Redistribution Calc'!A:A,0)))</f>
        <v>Tyler</v>
      </c>
      <c r="D61" s="15" t="s">
        <v>77</v>
      </c>
      <c r="E61" s="84">
        <f>IFERROR(INDEX('State Redistribution Calc'!S:S,MATCH(A:A,'State Redistribution Calc'!A:A,0)),INDEX('Non-State Redistribution Calc'!AD:AD,MATCH(A:A,'Non-State Redistribution Calc'!A:A,0)))</f>
        <v>8302.25</v>
      </c>
      <c r="F61" s="84">
        <f>IFERROR(INDEX('State Redistribution Calc'!T:T,MATCH(A:A,'State Redistribution Calc'!A:A,0)),INDEX('Non-State Redistribution Calc'!AI:AI,MATCH(A:A,'Non-State Redistribution Calc'!A:A,0)))</f>
        <v>2733.1</v>
      </c>
    </row>
    <row r="62" spans="1:6" x14ac:dyDescent="0.2">
      <c r="A62" s="45" t="s">
        <v>105</v>
      </c>
      <c r="B62" s="43" t="s">
        <v>373</v>
      </c>
      <c r="C62" s="15" t="str">
        <f>IFERROR(INDEX('State Redistribution Calc'!C:C,MATCH(A:A,'State Redistribution Calc'!A:A,0)),INDEX('Non-State Redistribution Calc'!C:C,MATCH(A:A,'Non-State Redistribution Calc'!A:A,0)))</f>
        <v>Terry</v>
      </c>
      <c r="D62" s="15" t="s">
        <v>77</v>
      </c>
      <c r="E62" s="84">
        <f>IFERROR(INDEX('State Redistribution Calc'!S:S,MATCH(A:A,'State Redistribution Calc'!A:A,0)),INDEX('Non-State Redistribution Calc'!AD:AD,MATCH(A:A,'Non-State Redistribution Calc'!A:A,0)))</f>
        <v>1042.3599999999999</v>
      </c>
      <c r="F62" s="84">
        <f>IFERROR(INDEX('State Redistribution Calc'!T:T,MATCH(A:A,'State Redistribution Calc'!A:A,0)),INDEX('Non-State Redistribution Calc'!AI:AI,MATCH(A:A,'Non-State Redistribution Calc'!A:A,0)))</f>
        <v>343.15</v>
      </c>
    </row>
    <row r="63" spans="1:6" x14ac:dyDescent="0.2">
      <c r="A63" s="45" t="s">
        <v>114</v>
      </c>
      <c r="B63" s="43" t="s">
        <v>325</v>
      </c>
      <c r="C63" s="15" t="str">
        <f>IFERROR(INDEX('State Redistribution Calc'!C:C,MATCH(A:A,'State Redistribution Calc'!A:A,0)),INDEX('Non-State Redistribution Calc'!C:C,MATCH(A:A,'Non-State Redistribution Calc'!A:A,0)))</f>
        <v>Wilson</v>
      </c>
      <c r="D63" s="15" t="s">
        <v>77</v>
      </c>
      <c r="E63" s="84">
        <f>IFERROR(INDEX('State Redistribution Calc'!S:S,MATCH(A:A,'State Redistribution Calc'!A:A,0)),INDEX('Non-State Redistribution Calc'!AD:AD,MATCH(A:A,'Non-State Redistribution Calc'!A:A,0)))</f>
        <v>38.54</v>
      </c>
      <c r="F63" s="84">
        <f>IFERROR(INDEX('State Redistribution Calc'!T:T,MATCH(A:A,'State Redistribution Calc'!A:A,0)),INDEX('Non-State Redistribution Calc'!AI:AI,MATCH(A:A,'Non-State Redistribution Calc'!A:A,0)))</f>
        <v>12.69</v>
      </c>
    </row>
    <row r="64" spans="1:6" x14ac:dyDescent="0.2">
      <c r="A64" s="45" t="s">
        <v>125</v>
      </c>
      <c r="B64" s="43" t="s">
        <v>126</v>
      </c>
      <c r="C64" s="15" t="str">
        <f>IFERROR(INDEX('State Redistribution Calc'!C:C,MATCH(A:A,'State Redistribution Calc'!A:A,0)),INDEX('Non-State Redistribution Calc'!C:C,MATCH(A:A,'Non-State Redistribution Calc'!A:A,0)))</f>
        <v>Calhoun</v>
      </c>
      <c r="D64" s="15" t="s">
        <v>77</v>
      </c>
      <c r="E64" s="84">
        <f>IFERROR(INDEX('State Redistribution Calc'!S:S,MATCH(A:A,'State Redistribution Calc'!A:A,0)),INDEX('Non-State Redistribution Calc'!AD:AD,MATCH(A:A,'Non-State Redistribution Calc'!A:A,0)))</f>
        <v>7677.38</v>
      </c>
      <c r="F64" s="84">
        <f>IFERROR(INDEX('State Redistribution Calc'!T:T,MATCH(A:A,'State Redistribution Calc'!A:A,0)),INDEX('Non-State Redistribution Calc'!AI:AI,MATCH(A:A,'Non-State Redistribution Calc'!A:A,0)))</f>
        <v>2527.39</v>
      </c>
    </row>
    <row r="65" spans="1:6" x14ac:dyDescent="0.2">
      <c r="A65" s="45" t="s">
        <v>134</v>
      </c>
      <c r="B65" s="43" t="s">
        <v>429</v>
      </c>
      <c r="C65" s="15" t="str">
        <f>IFERROR(INDEX('State Redistribution Calc'!C:C,MATCH(A:A,'State Redistribution Calc'!A:A,0)),INDEX('Non-State Redistribution Calc'!C:C,MATCH(A:A,'Non-State Redistribution Calc'!A:A,0)))</f>
        <v>Dimmit</v>
      </c>
      <c r="D65" s="15" t="s">
        <v>77</v>
      </c>
      <c r="E65" s="84">
        <f>IFERROR(INDEX('State Redistribution Calc'!S:S,MATCH(A:A,'State Redistribution Calc'!A:A,0)),INDEX('Non-State Redistribution Calc'!AD:AD,MATCH(A:A,'Non-State Redistribution Calc'!A:A,0)))</f>
        <v>31838.68</v>
      </c>
      <c r="F65" s="84">
        <f>IFERROR(INDEX('State Redistribution Calc'!T:T,MATCH(A:A,'State Redistribution Calc'!A:A,0)),INDEX('Non-State Redistribution Calc'!AI:AI,MATCH(A:A,'Non-State Redistribution Calc'!A:A,0)))</f>
        <v>10481.290000000001</v>
      </c>
    </row>
    <row r="66" spans="1:6" x14ac:dyDescent="0.2">
      <c r="A66" s="45" t="s">
        <v>279</v>
      </c>
      <c r="B66" s="43" t="s">
        <v>280</v>
      </c>
      <c r="C66" s="15" t="str">
        <f>IFERROR(INDEX('State Redistribution Calc'!C:C,MATCH(A:A,'State Redistribution Calc'!A:A,0)),INDEX('Non-State Redistribution Calc'!C:C,MATCH(A:A,'Non-State Redistribution Calc'!A:A,0)))</f>
        <v>Travis</v>
      </c>
      <c r="D66" s="15" t="s">
        <v>137</v>
      </c>
      <c r="E66" s="84">
        <f>IFERROR(INDEX('State Redistribution Calc'!S:S,MATCH(A:A,'State Redistribution Calc'!A:A,0)),INDEX('Non-State Redistribution Calc'!AD:AD,MATCH(A:A,'Non-State Redistribution Calc'!A:A,0)))</f>
        <v>11048.72</v>
      </c>
      <c r="F66" s="84">
        <f>IFERROR(INDEX('State Redistribution Calc'!T:T,MATCH(A:A,'State Redistribution Calc'!A:A,0)),INDEX('Non-State Redistribution Calc'!AI:AI,MATCH(A:A,'Non-State Redistribution Calc'!A:A,0)))</f>
        <v>0</v>
      </c>
    </row>
    <row r="67" spans="1:6" x14ac:dyDescent="0.2">
      <c r="A67" s="45" t="s">
        <v>188</v>
      </c>
      <c r="B67" s="43" t="s">
        <v>406</v>
      </c>
      <c r="C67" s="15" t="str">
        <f>IFERROR(INDEX('State Redistribution Calc'!C:C,MATCH(A:A,'State Redistribution Calc'!A:A,0)),INDEX('Non-State Redistribution Calc'!C:C,MATCH(A:A,'Non-State Redistribution Calc'!A:A,0)))</f>
        <v>Brewster</v>
      </c>
      <c r="D67" s="15" t="s">
        <v>137</v>
      </c>
      <c r="E67" s="84">
        <f>IFERROR(INDEX('State Redistribution Calc'!S:S,MATCH(A:A,'State Redistribution Calc'!A:A,0)),INDEX('Non-State Redistribution Calc'!AD:AD,MATCH(A:A,'Non-State Redistribution Calc'!A:A,0)))</f>
        <v>8168.39</v>
      </c>
      <c r="F67" s="84">
        <f>IFERROR(INDEX('State Redistribution Calc'!T:T,MATCH(A:A,'State Redistribution Calc'!A:A,0)),INDEX('Non-State Redistribution Calc'!AI:AI,MATCH(A:A,'Non-State Redistribution Calc'!A:A,0)))</f>
        <v>0</v>
      </c>
    </row>
    <row r="68" spans="1:6" x14ac:dyDescent="0.2">
      <c r="A68" s="45" t="s">
        <v>226</v>
      </c>
      <c r="B68" s="43" t="s">
        <v>227</v>
      </c>
      <c r="C68" s="15" t="str">
        <f>IFERROR(INDEX('State Redistribution Calc'!C:C,MATCH(A:A,'State Redistribution Calc'!A:A,0)),INDEX('Non-State Redistribution Calc'!C:C,MATCH(A:A,'Non-State Redistribution Calc'!A:A,0)))</f>
        <v>Tarrant</v>
      </c>
      <c r="D68" s="15" t="s">
        <v>137</v>
      </c>
      <c r="E68" s="84">
        <f>IFERROR(INDEX('State Redistribution Calc'!S:S,MATCH(A:A,'State Redistribution Calc'!A:A,0)),INDEX('Non-State Redistribution Calc'!AD:AD,MATCH(A:A,'Non-State Redistribution Calc'!A:A,0)))</f>
        <v>313710.87</v>
      </c>
      <c r="F68" s="84">
        <f>IFERROR(INDEX('State Redistribution Calc'!T:T,MATCH(A:A,'State Redistribution Calc'!A:A,0)),INDEX('Non-State Redistribution Calc'!AI:AI,MATCH(A:A,'Non-State Redistribution Calc'!A:A,0)))</f>
        <v>0</v>
      </c>
    </row>
    <row r="69" spans="1:6" x14ac:dyDescent="0.2">
      <c r="A69" s="45" t="s">
        <v>217</v>
      </c>
      <c r="B69" s="43" t="s">
        <v>218</v>
      </c>
      <c r="C69" s="15" t="str">
        <f>IFERROR(INDEX('State Redistribution Calc'!C:C,MATCH(A:A,'State Redistribution Calc'!A:A,0)),INDEX('Non-State Redistribution Calc'!C:C,MATCH(A:A,'Non-State Redistribution Calc'!A:A,0)))</f>
        <v>Hill</v>
      </c>
      <c r="D69" s="15" t="s">
        <v>137</v>
      </c>
      <c r="E69" s="84">
        <f>IFERROR(INDEX('State Redistribution Calc'!S:S,MATCH(A:A,'State Redistribution Calc'!A:A,0)),INDEX('Non-State Redistribution Calc'!AD:AD,MATCH(A:A,'Non-State Redistribution Calc'!A:A,0)))</f>
        <v>11463.01</v>
      </c>
      <c r="F69" s="84">
        <f>IFERROR(INDEX('State Redistribution Calc'!T:T,MATCH(A:A,'State Redistribution Calc'!A:A,0)),INDEX('Non-State Redistribution Calc'!AI:AI,MATCH(A:A,'Non-State Redistribution Calc'!A:A,0)))</f>
        <v>0</v>
      </c>
    </row>
    <row r="70" spans="1:6" x14ac:dyDescent="0.2">
      <c r="A70" s="45" t="s">
        <v>281</v>
      </c>
      <c r="B70" s="43" t="s">
        <v>282</v>
      </c>
      <c r="C70" s="15" t="str">
        <f>IFERROR(INDEX('State Redistribution Calc'!C:C,MATCH(A:A,'State Redistribution Calc'!A:A,0)),INDEX('Non-State Redistribution Calc'!C:C,MATCH(A:A,'Non-State Redistribution Calc'!A:A,0)))</f>
        <v>Walker</v>
      </c>
      <c r="D70" s="15" t="s">
        <v>137</v>
      </c>
      <c r="E70" s="84">
        <f>IFERROR(INDEX('State Redistribution Calc'!S:S,MATCH(A:A,'State Redistribution Calc'!A:A,0)),INDEX('Non-State Redistribution Calc'!AD:AD,MATCH(A:A,'Non-State Redistribution Calc'!A:A,0)))</f>
        <v>127005.03</v>
      </c>
      <c r="F70" s="84">
        <f>IFERROR(INDEX('State Redistribution Calc'!T:T,MATCH(A:A,'State Redistribution Calc'!A:A,0)),INDEX('Non-State Redistribution Calc'!AI:AI,MATCH(A:A,'Non-State Redistribution Calc'!A:A,0)))</f>
        <v>0</v>
      </c>
    </row>
    <row r="71" spans="1:6" x14ac:dyDescent="0.2">
      <c r="A71" s="45" t="s">
        <v>117</v>
      </c>
      <c r="B71" s="43" t="s">
        <v>361</v>
      </c>
      <c r="C71" s="15" t="str">
        <f>IFERROR(INDEX('State Redistribution Calc'!C:C,MATCH(A:A,'State Redistribution Calc'!A:A,0)),INDEX('Non-State Redistribution Calc'!C:C,MATCH(A:A,'Non-State Redistribution Calc'!A:A,0)))</f>
        <v>Starr</v>
      </c>
      <c r="D71" s="15" t="s">
        <v>77</v>
      </c>
      <c r="E71" s="84">
        <f>IFERROR(INDEX('State Redistribution Calc'!S:S,MATCH(A:A,'State Redistribution Calc'!A:A,0)),INDEX('Non-State Redistribution Calc'!AD:AD,MATCH(A:A,'Non-State Redistribution Calc'!A:A,0)))</f>
        <v>35239.86</v>
      </c>
      <c r="F71" s="84">
        <f>IFERROR(INDEX('State Redistribution Calc'!T:T,MATCH(A:A,'State Redistribution Calc'!A:A,0)),INDEX('Non-State Redistribution Calc'!AI:AI,MATCH(A:A,'Non-State Redistribution Calc'!A:A,0)))</f>
        <v>11600.96</v>
      </c>
    </row>
    <row r="72" spans="1:6" x14ac:dyDescent="0.2">
      <c r="A72" s="45" t="s">
        <v>92</v>
      </c>
      <c r="B72" s="43" t="s">
        <v>414</v>
      </c>
      <c r="C72" s="15" t="str">
        <f>IFERROR(INDEX('State Redistribution Calc'!C:C,MATCH(A:A,'State Redistribution Calc'!A:A,0)),INDEX('Non-State Redistribution Calc'!C:C,MATCH(A:A,'Non-State Redistribution Calc'!A:A,0)))</f>
        <v>Jack</v>
      </c>
      <c r="D72" s="15" t="s">
        <v>77</v>
      </c>
      <c r="E72" s="84">
        <f>IFERROR(INDEX('State Redistribution Calc'!S:S,MATCH(A:A,'State Redistribution Calc'!A:A,0)),INDEX('Non-State Redistribution Calc'!AD:AD,MATCH(A:A,'Non-State Redistribution Calc'!A:A,0)))</f>
        <v>30057.39</v>
      </c>
      <c r="F72" s="84">
        <f>IFERROR(INDEX('State Redistribution Calc'!T:T,MATCH(A:A,'State Redistribution Calc'!A:A,0)),INDEX('Non-State Redistribution Calc'!AI:AI,MATCH(A:A,'Non-State Redistribution Calc'!A:A,0)))</f>
        <v>9894.89</v>
      </c>
    </row>
    <row r="73" spans="1:6" x14ac:dyDescent="0.2">
      <c r="A73" s="45" t="s">
        <v>210</v>
      </c>
      <c r="B73" s="43" t="s">
        <v>370</v>
      </c>
      <c r="C73" s="15" t="str">
        <f>IFERROR(INDEX('State Redistribution Calc'!C:C,MATCH(A:A,'State Redistribution Calc'!A:A,0)),INDEX('Non-State Redistribution Calc'!C:C,MATCH(A:A,'Non-State Redistribution Calc'!A:A,0)))</f>
        <v>Hale</v>
      </c>
      <c r="D73" s="15" t="s">
        <v>137</v>
      </c>
      <c r="E73" s="84">
        <f>IFERROR(INDEX('State Redistribution Calc'!S:S,MATCH(A:A,'State Redistribution Calc'!A:A,0)),INDEX('Non-State Redistribution Calc'!AD:AD,MATCH(A:A,'Non-State Redistribution Calc'!A:A,0)))</f>
        <v>23733.34</v>
      </c>
      <c r="F73" s="84">
        <f>IFERROR(INDEX('State Redistribution Calc'!T:T,MATCH(A:A,'State Redistribution Calc'!A:A,0)),INDEX('Non-State Redistribution Calc'!AI:AI,MATCH(A:A,'Non-State Redistribution Calc'!A:A,0)))</f>
        <v>0</v>
      </c>
    </row>
    <row r="74" spans="1:6" x14ac:dyDescent="0.2">
      <c r="A74" s="45" t="s">
        <v>108</v>
      </c>
      <c r="B74" s="43" t="s">
        <v>312</v>
      </c>
      <c r="C74" s="15" t="str">
        <f>IFERROR(INDEX('State Redistribution Calc'!C:C,MATCH(A:A,'State Redistribution Calc'!A:A,0)),INDEX('Non-State Redistribution Calc'!C:C,MATCH(A:A,'Non-State Redistribution Calc'!A:A,0)))</f>
        <v>Nacogdoches</v>
      </c>
      <c r="D74" s="15" t="s">
        <v>77</v>
      </c>
      <c r="E74" s="84">
        <f>IFERROR(INDEX('State Redistribution Calc'!S:S,MATCH(A:A,'State Redistribution Calc'!A:A,0)),INDEX('Non-State Redistribution Calc'!AD:AD,MATCH(A:A,'Non-State Redistribution Calc'!A:A,0)))</f>
        <v>27070.560000000001</v>
      </c>
      <c r="F74" s="84">
        <f>IFERROR(INDEX('State Redistribution Calc'!T:T,MATCH(A:A,'State Redistribution Calc'!A:A,0)),INDEX('Non-State Redistribution Calc'!AI:AI,MATCH(A:A,'Non-State Redistribution Calc'!A:A,0)))</f>
        <v>8911.6299999999992</v>
      </c>
    </row>
    <row r="75" spans="1:6" x14ac:dyDescent="0.2">
      <c r="A75" s="45" t="s">
        <v>314</v>
      </c>
      <c r="B75" s="43" t="s">
        <v>409</v>
      </c>
      <c r="C75" s="15" t="str">
        <f>IFERROR(INDEX('State Redistribution Calc'!C:C,MATCH(A:A,'State Redistribution Calc'!A:A,0)),INDEX('Non-State Redistribution Calc'!C:C,MATCH(A:A,'Non-State Redistribution Calc'!A:A,0)))</f>
        <v>Frio</v>
      </c>
      <c r="D75" s="15" t="s">
        <v>137</v>
      </c>
      <c r="E75" s="84">
        <f>IFERROR(INDEX('State Redistribution Calc'!S:S,MATCH(A:A,'State Redistribution Calc'!A:A,0)),INDEX('Non-State Redistribution Calc'!AD:AD,MATCH(A:A,'Non-State Redistribution Calc'!A:A,0)))</f>
        <v>16435.41</v>
      </c>
      <c r="F75" s="84">
        <f>IFERROR(INDEX('State Redistribution Calc'!T:T,MATCH(A:A,'State Redistribution Calc'!A:A,0)),INDEX('Non-State Redistribution Calc'!AI:AI,MATCH(A:A,'Non-State Redistribution Calc'!A:A,0)))</f>
        <v>0</v>
      </c>
    </row>
    <row r="76" spans="1:6" x14ac:dyDescent="0.2">
      <c r="A76" s="45" t="s">
        <v>214</v>
      </c>
      <c r="B76" s="43" t="s">
        <v>396</v>
      </c>
      <c r="C76" s="15" t="str">
        <f>IFERROR(INDEX('State Redistribution Calc'!C:C,MATCH(A:A,'State Redistribution Calc'!A:A,0)),INDEX('Non-State Redistribution Calc'!C:C,MATCH(A:A,'Non-State Redistribution Calc'!A:A,0)))</f>
        <v>Nacogdoches</v>
      </c>
      <c r="D76" s="15" t="s">
        <v>137</v>
      </c>
      <c r="E76" s="84">
        <f>IFERROR(INDEX('State Redistribution Calc'!S:S,MATCH(A:A,'State Redistribution Calc'!A:A,0)),INDEX('Non-State Redistribution Calc'!AD:AD,MATCH(A:A,'Non-State Redistribution Calc'!A:A,0)))</f>
        <v>0</v>
      </c>
      <c r="F76" s="84">
        <f>IFERROR(INDEX('State Redistribution Calc'!T:T,MATCH(A:A,'State Redistribution Calc'!A:A,0)),INDEX('Non-State Redistribution Calc'!AI:AI,MATCH(A:A,'Non-State Redistribution Calc'!A:A,0)))</f>
        <v>0</v>
      </c>
    </row>
    <row r="77" spans="1:6" x14ac:dyDescent="0.2">
      <c r="A77" s="45" t="s">
        <v>97</v>
      </c>
      <c r="B77" s="43" t="s">
        <v>383</v>
      </c>
      <c r="C77" s="15" t="str">
        <f>IFERROR(INDEX('State Redistribution Calc'!C:C,MATCH(A:A,'State Redistribution Calc'!A:A,0)),INDEX('Non-State Redistribution Calc'!C:C,MATCH(A:A,'Non-State Redistribution Calc'!A:A,0)))</f>
        <v>Gonzales</v>
      </c>
      <c r="D77" s="15" t="s">
        <v>77</v>
      </c>
      <c r="E77" s="84">
        <f>IFERROR(INDEX('State Redistribution Calc'!S:S,MATCH(A:A,'State Redistribution Calc'!A:A,0)),INDEX('Non-State Redistribution Calc'!AD:AD,MATCH(A:A,'Non-State Redistribution Calc'!A:A,0)))</f>
        <v>27150.240000000002</v>
      </c>
      <c r="F77" s="84">
        <f>IFERROR(INDEX('State Redistribution Calc'!T:T,MATCH(A:A,'State Redistribution Calc'!A:A,0)),INDEX('Non-State Redistribution Calc'!AI:AI,MATCH(A:A,'Non-State Redistribution Calc'!A:A,0)))</f>
        <v>8937.86</v>
      </c>
    </row>
    <row r="78" spans="1:6" x14ac:dyDescent="0.2">
      <c r="A78" s="45" t="s">
        <v>133</v>
      </c>
      <c r="B78" s="43" t="s">
        <v>328</v>
      </c>
      <c r="C78" s="15" t="str">
        <f>IFERROR(INDEX('State Redistribution Calc'!C:C,MATCH(A:A,'State Redistribution Calc'!A:A,0)),INDEX('Non-State Redistribution Calc'!C:C,MATCH(A:A,'Non-State Redistribution Calc'!A:A,0)))</f>
        <v>Medina</v>
      </c>
      <c r="D78" s="15" t="s">
        <v>77</v>
      </c>
      <c r="E78" s="84">
        <f>IFERROR(INDEX('State Redistribution Calc'!S:S,MATCH(A:A,'State Redistribution Calc'!A:A,0)),INDEX('Non-State Redistribution Calc'!AD:AD,MATCH(A:A,'Non-State Redistribution Calc'!A:A,0)))</f>
        <v>8168.08</v>
      </c>
      <c r="F78" s="84">
        <f>IFERROR(INDEX('State Redistribution Calc'!T:T,MATCH(A:A,'State Redistribution Calc'!A:A,0)),INDEX('Non-State Redistribution Calc'!AI:AI,MATCH(A:A,'Non-State Redistribution Calc'!A:A,0)))</f>
        <v>2688.93</v>
      </c>
    </row>
    <row r="79" spans="1:6" x14ac:dyDescent="0.2">
      <c r="A79" s="45" t="s">
        <v>142</v>
      </c>
      <c r="B79" s="43" t="s">
        <v>143</v>
      </c>
      <c r="C79" s="15" t="str">
        <f>IFERROR(INDEX('State Redistribution Calc'!C:C,MATCH(A:A,'State Redistribution Calc'!A:A,0)),INDEX('Non-State Redistribution Calc'!C:C,MATCH(A:A,'Non-State Redistribution Calc'!A:A,0)))</f>
        <v>Cooke</v>
      </c>
      <c r="D79" s="15" t="s">
        <v>77</v>
      </c>
      <c r="E79" s="84">
        <f>IFERROR(INDEX('State Redistribution Calc'!S:S,MATCH(A:A,'State Redistribution Calc'!A:A,0)),INDEX('Non-State Redistribution Calc'!AD:AD,MATCH(A:A,'Non-State Redistribution Calc'!A:A,0)))</f>
        <v>21133.119999999999</v>
      </c>
      <c r="F79" s="84">
        <f>IFERROR(INDEX('State Redistribution Calc'!T:T,MATCH(A:A,'State Redistribution Calc'!A:A,0)),INDEX('Non-State Redistribution Calc'!AI:AI,MATCH(A:A,'Non-State Redistribution Calc'!A:A,0)))</f>
        <v>6957.02</v>
      </c>
    </row>
    <row r="80" spans="1:6" x14ac:dyDescent="0.2">
      <c r="A80" s="45" t="s">
        <v>183</v>
      </c>
      <c r="B80" s="43" t="s">
        <v>392</v>
      </c>
      <c r="C80" s="15" t="str">
        <f>IFERROR(INDEX('State Redistribution Calc'!C:C,MATCH(A:A,'State Redistribution Calc'!A:A,0)),INDEX('Non-State Redistribution Calc'!C:C,MATCH(A:A,'Non-State Redistribution Calc'!A:A,0)))</f>
        <v>Angelina</v>
      </c>
      <c r="D80" s="15" t="s">
        <v>137</v>
      </c>
      <c r="E80" s="84">
        <f>IFERROR(INDEX('State Redistribution Calc'!S:S,MATCH(A:A,'State Redistribution Calc'!A:A,0)),INDEX('Non-State Redistribution Calc'!AD:AD,MATCH(A:A,'Non-State Redistribution Calc'!A:A,0)))</f>
        <v>0</v>
      </c>
      <c r="F80" s="84">
        <f>IFERROR(INDEX('State Redistribution Calc'!T:T,MATCH(A:A,'State Redistribution Calc'!A:A,0)),INDEX('Non-State Redistribution Calc'!AI:AI,MATCH(A:A,'Non-State Redistribution Calc'!A:A,0)))</f>
        <v>0</v>
      </c>
    </row>
    <row r="81" spans="1:6" x14ac:dyDescent="0.2">
      <c r="A81" s="45" t="s">
        <v>102</v>
      </c>
      <c r="B81" s="43" t="s">
        <v>418</v>
      </c>
      <c r="C81" s="15" t="str">
        <f>IFERROR(INDEX('State Redistribution Calc'!C:C,MATCH(A:A,'State Redistribution Calc'!A:A,0)),INDEX('Non-State Redistribution Calc'!C:C,MATCH(A:A,'Non-State Redistribution Calc'!A:A,0)))</f>
        <v>Andrews</v>
      </c>
      <c r="D81" s="15" t="s">
        <v>77</v>
      </c>
      <c r="E81" s="84">
        <f>IFERROR(INDEX('State Redistribution Calc'!S:S,MATCH(A:A,'State Redistribution Calc'!A:A,0)),INDEX('Non-State Redistribution Calc'!AD:AD,MATCH(A:A,'Non-State Redistribution Calc'!A:A,0)))</f>
        <v>0</v>
      </c>
      <c r="F81" s="84">
        <f>IFERROR(INDEX('State Redistribution Calc'!T:T,MATCH(A:A,'State Redistribution Calc'!A:A,0)),INDEX('Non-State Redistribution Calc'!AI:AI,MATCH(A:A,'Non-State Redistribution Calc'!A:A,0)))</f>
        <v>0</v>
      </c>
    </row>
    <row r="82" spans="1:6" x14ac:dyDescent="0.2">
      <c r="A82" s="45" t="s">
        <v>104</v>
      </c>
      <c r="B82" s="43" t="s">
        <v>419</v>
      </c>
      <c r="C82" s="15" t="str">
        <f>IFERROR(INDEX('State Redistribution Calc'!C:C,MATCH(A:A,'State Redistribution Calc'!A:A,0)),INDEX('Non-State Redistribution Calc'!C:C,MATCH(A:A,'Non-State Redistribution Calc'!A:A,0)))</f>
        <v>Pecos</v>
      </c>
      <c r="D82" s="15" t="s">
        <v>77</v>
      </c>
      <c r="E82" s="84">
        <f>IFERROR(INDEX('State Redistribution Calc'!S:S,MATCH(A:A,'State Redistribution Calc'!A:A,0)),INDEX('Non-State Redistribution Calc'!AD:AD,MATCH(A:A,'Non-State Redistribution Calc'!A:A,0)))</f>
        <v>20496.150000000001</v>
      </c>
      <c r="F82" s="84">
        <f>IFERROR(INDEX('State Redistribution Calc'!T:T,MATCH(A:A,'State Redistribution Calc'!A:A,0)),INDEX('Non-State Redistribution Calc'!AI:AI,MATCH(A:A,'Non-State Redistribution Calc'!A:A,0)))</f>
        <v>6747.33</v>
      </c>
    </row>
    <row r="83" spans="1:6" x14ac:dyDescent="0.2">
      <c r="A83" s="45" t="s">
        <v>122</v>
      </c>
      <c r="B83" s="43" t="s">
        <v>123</v>
      </c>
      <c r="C83" s="15" t="str">
        <f>IFERROR(INDEX('State Redistribution Calc'!C:C,MATCH(A:A,'State Redistribution Calc'!A:A,0)),INDEX('Non-State Redistribution Calc'!C:C,MATCH(A:A,'Non-State Redistribution Calc'!A:A,0)))</f>
        <v>Yoakum</v>
      </c>
      <c r="D83" s="15" t="s">
        <v>77</v>
      </c>
      <c r="E83" s="84">
        <f>IFERROR(INDEX('State Redistribution Calc'!S:S,MATCH(A:A,'State Redistribution Calc'!A:A,0)),INDEX('Non-State Redistribution Calc'!AD:AD,MATCH(A:A,'Non-State Redistribution Calc'!A:A,0)))</f>
        <v>28440.77</v>
      </c>
      <c r="F83" s="84">
        <f>IFERROR(INDEX('State Redistribution Calc'!T:T,MATCH(A:A,'State Redistribution Calc'!A:A,0)),INDEX('Non-State Redistribution Calc'!AI:AI,MATCH(A:A,'Non-State Redistribution Calc'!A:A,0)))</f>
        <v>9362.7000000000007</v>
      </c>
    </row>
    <row r="84" spans="1:6" x14ac:dyDescent="0.2">
      <c r="A84" s="45" t="s">
        <v>106</v>
      </c>
      <c r="B84" s="43" t="s">
        <v>420</v>
      </c>
      <c r="C84" s="15" t="str">
        <f>IFERROR(INDEX('State Redistribution Calc'!C:C,MATCH(A:A,'State Redistribution Calc'!A:A,0)),INDEX('Non-State Redistribution Calc'!C:C,MATCH(A:A,'Non-State Redistribution Calc'!A:A,0)))</f>
        <v>Dallam</v>
      </c>
      <c r="D84" s="15" t="s">
        <v>77</v>
      </c>
      <c r="E84" s="84">
        <f>IFERROR(INDEX('State Redistribution Calc'!S:S,MATCH(A:A,'State Redistribution Calc'!A:A,0)),INDEX('Non-State Redistribution Calc'!AD:AD,MATCH(A:A,'Non-State Redistribution Calc'!A:A,0)))</f>
        <v>20309.490000000002</v>
      </c>
      <c r="F84" s="84">
        <f>IFERROR(INDEX('State Redistribution Calc'!T:T,MATCH(A:A,'State Redistribution Calc'!A:A,0)),INDEX('Non-State Redistribution Calc'!AI:AI,MATCH(A:A,'Non-State Redistribution Calc'!A:A,0)))</f>
        <v>6685.88</v>
      </c>
    </row>
    <row r="85" spans="1:6" x14ac:dyDescent="0.2">
      <c r="A85" s="45" t="s">
        <v>283</v>
      </c>
      <c r="B85" s="43" t="s">
        <v>284</v>
      </c>
      <c r="C85" s="15" t="str">
        <f>IFERROR(INDEX('State Redistribution Calc'!C:C,MATCH(A:A,'State Redistribution Calc'!A:A,0)),INDEX('Non-State Redistribution Calc'!C:C,MATCH(A:A,'Non-State Redistribution Calc'!A:A,0)))</f>
        <v>Nueces</v>
      </c>
      <c r="D85" s="15" t="s">
        <v>137</v>
      </c>
      <c r="E85" s="84">
        <f>IFERROR(INDEX('State Redistribution Calc'!S:S,MATCH(A:A,'State Redistribution Calc'!A:A,0)),INDEX('Non-State Redistribution Calc'!AD:AD,MATCH(A:A,'Non-State Redistribution Calc'!A:A,0)))</f>
        <v>1130.8499999999999</v>
      </c>
      <c r="F85" s="84">
        <f>IFERROR(INDEX('State Redistribution Calc'!T:T,MATCH(A:A,'State Redistribution Calc'!A:A,0)),INDEX('Non-State Redistribution Calc'!AI:AI,MATCH(A:A,'Non-State Redistribution Calc'!A:A,0)))</f>
        <v>0</v>
      </c>
    </row>
    <row r="86" spans="1:6" x14ac:dyDescent="0.2">
      <c r="A86" s="45" t="s">
        <v>285</v>
      </c>
      <c r="B86" s="43" t="s">
        <v>286</v>
      </c>
      <c r="C86" s="15" t="str">
        <f>IFERROR(INDEX('State Redistribution Calc'!C:C,MATCH(A:A,'State Redistribution Calc'!A:A,0)),INDEX('Non-State Redistribution Calc'!C:C,MATCH(A:A,'Non-State Redistribution Calc'!A:A,0)))</f>
        <v>Rusk</v>
      </c>
      <c r="D86" s="15" t="s">
        <v>137</v>
      </c>
      <c r="E86" s="84">
        <f>IFERROR(INDEX('State Redistribution Calc'!S:S,MATCH(A:A,'State Redistribution Calc'!A:A,0)),INDEX('Non-State Redistribution Calc'!AD:AD,MATCH(A:A,'Non-State Redistribution Calc'!A:A,0)))</f>
        <v>9144.25</v>
      </c>
      <c r="F86" s="84">
        <f>IFERROR(INDEX('State Redistribution Calc'!T:T,MATCH(A:A,'State Redistribution Calc'!A:A,0)),INDEX('Non-State Redistribution Calc'!AI:AI,MATCH(A:A,'Non-State Redistribution Calc'!A:A,0)))</f>
        <v>0</v>
      </c>
    </row>
    <row r="87" spans="1:6" x14ac:dyDescent="0.2">
      <c r="A87" s="45" t="s">
        <v>85</v>
      </c>
      <c r="B87" s="43" t="s">
        <v>405</v>
      </c>
      <c r="C87" s="15" t="str">
        <f>IFERROR(INDEX('State Redistribution Calc'!C:C,MATCH(A:A,'State Redistribution Calc'!A:A,0)),INDEX('Non-State Redistribution Calc'!C:C,MATCH(A:A,'Non-State Redistribution Calc'!A:A,0)))</f>
        <v>Moore</v>
      </c>
      <c r="D87" s="15" t="s">
        <v>77</v>
      </c>
      <c r="E87" s="84">
        <f>IFERROR(INDEX('State Redistribution Calc'!S:S,MATCH(A:A,'State Redistribution Calc'!A:A,0)),INDEX('Non-State Redistribution Calc'!AD:AD,MATCH(A:A,'Non-State Redistribution Calc'!A:A,0)))</f>
        <v>60.03</v>
      </c>
      <c r="F87" s="84">
        <f>IFERROR(INDEX('State Redistribution Calc'!T:T,MATCH(A:A,'State Redistribution Calc'!A:A,0)),INDEX('Non-State Redistribution Calc'!AI:AI,MATCH(A:A,'Non-State Redistribution Calc'!A:A,0)))</f>
        <v>19.760000000000002</v>
      </c>
    </row>
    <row r="88" spans="1:6" x14ac:dyDescent="0.2">
      <c r="A88" s="45" t="s">
        <v>84</v>
      </c>
      <c r="B88" s="43" t="s">
        <v>404</v>
      </c>
      <c r="C88" s="15" t="str">
        <f>IFERROR(INDEX('State Redistribution Calc'!C:C,MATCH(A:A,'State Redistribution Calc'!A:A,0)),INDEX('Non-State Redistribution Calc'!C:C,MATCH(A:A,'Non-State Redistribution Calc'!A:A,0)))</f>
        <v>Gaines</v>
      </c>
      <c r="D88" s="15" t="s">
        <v>77</v>
      </c>
      <c r="E88" s="84">
        <f>IFERROR(INDEX('State Redistribution Calc'!S:S,MATCH(A:A,'State Redistribution Calc'!A:A,0)),INDEX('Non-State Redistribution Calc'!AD:AD,MATCH(A:A,'Non-State Redistribution Calc'!A:A,0)))</f>
        <v>30517.439999999999</v>
      </c>
      <c r="F88" s="84">
        <f>IFERROR(INDEX('State Redistribution Calc'!T:T,MATCH(A:A,'State Redistribution Calc'!A:A,0)),INDEX('Non-State Redistribution Calc'!AI:AI,MATCH(A:A,'Non-State Redistribution Calc'!A:A,0)))</f>
        <v>10046.34</v>
      </c>
    </row>
    <row r="89" spans="1:6" x14ac:dyDescent="0.2">
      <c r="A89" s="45" t="s">
        <v>212</v>
      </c>
      <c r="B89" s="43" t="s">
        <v>372</v>
      </c>
      <c r="C89" s="15" t="str">
        <f>IFERROR(INDEX('State Redistribution Calc'!C:C,MATCH(A:A,'State Redistribution Calc'!A:A,0)),INDEX('Non-State Redistribution Calc'!C:C,MATCH(A:A,'Non-State Redistribution Calc'!A:A,0)))</f>
        <v>Lubbock</v>
      </c>
      <c r="D89" s="15" t="s">
        <v>137</v>
      </c>
      <c r="E89" s="84">
        <f>IFERROR(INDEX('State Redistribution Calc'!S:S,MATCH(A:A,'State Redistribution Calc'!A:A,0)),INDEX('Non-State Redistribution Calc'!AD:AD,MATCH(A:A,'Non-State Redistribution Calc'!A:A,0)))</f>
        <v>164.34</v>
      </c>
      <c r="F89" s="84">
        <f>IFERROR(INDEX('State Redistribution Calc'!T:T,MATCH(A:A,'State Redistribution Calc'!A:A,0)),INDEX('Non-State Redistribution Calc'!AI:AI,MATCH(A:A,'Non-State Redistribution Calc'!A:A,0)))</f>
        <v>0</v>
      </c>
    </row>
    <row r="90" spans="1:6" x14ac:dyDescent="0.2">
      <c r="A90" s="45" t="s">
        <v>287</v>
      </c>
      <c r="B90" s="43" t="s">
        <v>288</v>
      </c>
      <c r="C90" s="15" t="str">
        <f>IFERROR(INDEX('State Redistribution Calc'!C:C,MATCH(A:A,'State Redistribution Calc'!A:A,0)),INDEX('Non-State Redistribution Calc'!C:C,MATCH(A:A,'Non-State Redistribution Calc'!A:A,0)))</f>
        <v>Cherokee</v>
      </c>
      <c r="D90" s="15" t="s">
        <v>137</v>
      </c>
      <c r="E90" s="84">
        <f>IFERROR(INDEX('State Redistribution Calc'!S:S,MATCH(A:A,'State Redistribution Calc'!A:A,0)),INDEX('Non-State Redistribution Calc'!AD:AD,MATCH(A:A,'Non-State Redistribution Calc'!A:A,0)))</f>
        <v>26247.72</v>
      </c>
      <c r="F90" s="84">
        <f>IFERROR(INDEX('State Redistribution Calc'!T:T,MATCH(A:A,'State Redistribution Calc'!A:A,0)),INDEX('Non-State Redistribution Calc'!AI:AI,MATCH(A:A,'Non-State Redistribution Calc'!A:A,0)))</f>
        <v>0</v>
      </c>
    </row>
    <row r="91" spans="1:6" x14ac:dyDescent="0.2">
      <c r="A91" s="45" t="s">
        <v>289</v>
      </c>
      <c r="B91" s="43" t="s">
        <v>290</v>
      </c>
      <c r="C91" s="15" t="str">
        <f>IFERROR(INDEX('State Redistribution Calc'!C:C,MATCH(A:A,'State Redistribution Calc'!A:A,0)),INDEX('Non-State Redistribution Calc'!C:C,MATCH(A:A,'Non-State Redistribution Calc'!A:A,0)))</f>
        <v>Cameron</v>
      </c>
      <c r="D91" s="15" t="s">
        <v>137</v>
      </c>
      <c r="E91" s="84">
        <f>IFERROR(INDEX('State Redistribution Calc'!S:S,MATCH(A:A,'State Redistribution Calc'!A:A,0)),INDEX('Non-State Redistribution Calc'!AD:AD,MATCH(A:A,'Non-State Redistribution Calc'!A:A,0)))</f>
        <v>93479.54</v>
      </c>
      <c r="F91" s="84">
        <f>IFERROR(INDEX('State Redistribution Calc'!T:T,MATCH(A:A,'State Redistribution Calc'!A:A,0)),INDEX('Non-State Redistribution Calc'!AI:AI,MATCH(A:A,'Non-State Redistribution Calc'!A:A,0)))</f>
        <v>0</v>
      </c>
    </row>
    <row r="92" spans="1:6" x14ac:dyDescent="0.2">
      <c r="A92" s="45" t="s">
        <v>259</v>
      </c>
      <c r="B92" s="43" t="s">
        <v>379</v>
      </c>
      <c r="C92" s="15" t="str">
        <f>IFERROR(INDEX('State Redistribution Calc'!C:C,MATCH(A:A,'State Redistribution Calc'!A:A,0)),INDEX('Non-State Redistribution Calc'!C:C,MATCH(A:A,'Non-State Redistribution Calc'!A:A,0)))</f>
        <v>Hutchinson</v>
      </c>
      <c r="D92" s="15" t="s">
        <v>137</v>
      </c>
      <c r="E92" s="84">
        <f>IFERROR(INDEX('State Redistribution Calc'!S:S,MATCH(A:A,'State Redistribution Calc'!A:A,0)),INDEX('Non-State Redistribution Calc'!AD:AD,MATCH(A:A,'Non-State Redistribution Calc'!A:A,0)))</f>
        <v>11995.73</v>
      </c>
      <c r="F92" s="84">
        <f>IFERROR(INDEX('State Redistribution Calc'!T:T,MATCH(A:A,'State Redistribution Calc'!A:A,0)),INDEX('Non-State Redistribution Calc'!AI:AI,MATCH(A:A,'Non-State Redistribution Calc'!A:A,0)))</f>
        <v>0</v>
      </c>
    </row>
    <row r="93" spans="1:6" x14ac:dyDescent="0.2">
      <c r="A93" s="45" t="s">
        <v>163</v>
      </c>
      <c r="B93" s="43" t="s">
        <v>164</v>
      </c>
      <c r="C93" s="15" t="str">
        <f>IFERROR(INDEX('State Redistribution Calc'!C:C,MATCH(A:A,'State Redistribution Calc'!A:A,0)),INDEX('Non-State Redistribution Calc'!C:C,MATCH(A:A,'Non-State Redistribution Calc'!A:A,0)))</f>
        <v>Brown</v>
      </c>
      <c r="D93" s="15" t="s">
        <v>137</v>
      </c>
      <c r="E93" s="84">
        <f>IFERROR(INDEX('State Redistribution Calc'!S:S,MATCH(A:A,'State Redistribution Calc'!A:A,0)),INDEX('Non-State Redistribution Calc'!AD:AD,MATCH(A:A,'Non-State Redistribution Calc'!A:A,0)))</f>
        <v>20915.32</v>
      </c>
      <c r="F93" s="84">
        <f>IFERROR(INDEX('State Redistribution Calc'!T:T,MATCH(A:A,'State Redistribution Calc'!A:A,0)),INDEX('Non-State Redistribution Calc'!AI:AI,MATCH(A:A,'Non-State Redistribution Calc'!A:A,0)))</f>
        <v>0</v>
      </c>
    </row>
    <row r="94" spans="1:6" x14ac:dyDescent="0.2">
      <c r="A94" s="45" t="s">
        <v>197</v>
      </c>
      <c r="B94" s="43" t="s">
        <v>198</v>
      </c>
      <c r="C94" s="15" t="str">
        <f>IFERROR(INDEX('State Redistribution Calc'!C:C,MATCH(A:A,'State Redistribution Calc'!A:A,0)),INDEX('Non-State Redistribution Calc'!C:C,MATCH(A:A,'Non-State Redistribution Calc'!A:A,0)))</f>
        <v>Tom Green</v>
      </c>
      <c r="D94" s="15" t="s">
        <v>137</v>
      </c>
      <c r="E94" s="84">
        <f>IFERROR(INDEX('State Redistribution Calc'!S:S,MATCH(A:A,'State Redistribution Calc'!A:A,0)),INDEX('Non-State Redistribution Calc'!AD:AD,MATCH(A:A,'Non-State Redistribution Calc'!A:A,0)))</f>
        <v>103154.51</v>
      </c>
      <c r="F94" s="84">
        <f>IFERROR(INDEX('State Redistribution Calc'!T:T,MATCH(A:A,'State Redistribution Calc'!A:A,0)),INDEX('Non-State Redistribution Calc'!AI:AI,MATCH(A:A,'Non-State Redistribution Calc'!A:A,0)))</f>
        <v>0</v>
      </c>
    </row>
    <row r="95" spans="1:6" x14ac:dyDescent="0.2">
      <c r="A95" s="45" t="s">
        <v>262</v>
      </c>
      <c r="B95" s="43" t="s">
        <v>400</v>
      </c>
      <c r="C95" s="15" t="str">
        <f>IFERROR(INDEX('State Redistribution Calc'!C:C,MATCH(A:A,'State Redistribution Calc'!A:A,0)),INDEX('Non-State Redistribution Calc'!C:C,MATCH(A:A,'Non-State Redistribution Calc'!A:A,0)))</f>
        <v>Grayson</v>
      </c>
      <c r="D95" s="15" t="s">
        <v>137</v>
      </c>
      <c r="E95" s="84">
        <f>IFERROR(INDEX('State Redistribution Calc'!S:S,MATCH(A:A,'State Redistribution Calc'!A:A,0)),INDEX('Non-State Redistribution Calc'!AD:AD,MATCH(A:A,'Non-State Redistribution Calc'!A:A,0)))</f>
        <v>115978.21</v>
      </c>
      <c r="F95" s="84">
        <f>IFERROR(INDEX('State Redistribution Calc'!T:T,MATCH(A:A,'State Redistribution Calc'!A:A,0)),INDEX('Non-State Redistribution Calc'!AI:AI,MATCH(A:A,'Non-State Redistribution Calc'!A:A,0)))</f>
        <v>0</v>
      </c>
    </row>
    <row r="96" spans="1:6" x14ac:dyDescent="0.2">
      <c r="A96" s="45" t="s">
        <v>168</v>
      </c>
      <c r="B96" s="43" t="s">
        <v>331</v>
      </c>
      <c r="C96" s="15" t="str">
        <f>IFERROR(INDEX('State Redistribution Calc'!C:C,MATCH(A:A,'State Redistribution Calc'!A:A,0)),INDEX('Non-State Redistribution Calc'!C:C,MATCH(A:A,'Non-State Redistribution Calc'!A:A,0)))</f>
        <v>Rockwall</v>
      </c>
      <c r="D96" s="15" t="s">
        <v>137</v>
      </c>
      <c r="E96" s="84">
        <f>IFERROR(INDEX('State Redistribution Calc'!S:S,MATCH(A:A,'State Redistribution Calc'!A:A,0)),INDEX('Non-State Redistribution Calc'!AD:AD,MATCH(A:A,'Non-State Redistribution Calc'!A:A,0)))</f>
        <v>206464.89</v>
      </c>
      <c r="F96" s="84">
        <f>IFERROR(INDEX('State Redistribution Calc'!T:T,MATCH(A:A,'State Redistribution Calc'!A:A,0)),INDEX('Non-State Redistribution Calc'!AI:AI,MATCH(A:A,'Non-State Redistribution Calc'!A:A,0)))</f>
        <v>0</v>
      </c>
    </row>
    <row r="97" spans="1:6" x14ac:dyDescent="0.2">
      <c r="A97" s="45" t="s">
        <v>129</v>
      </c>
      <c r="B97" s="43" t="s">
        <v>397</v>
      </c>
      <c r="C97" s="15" t="str">
        <f>IFERROR(INDEX('State Redistribution Calc'!C:C,MATCH(A:A,'State Redistribution Calc'!A:A,0)),INDEX('Non-State Redistribution Calc'!C:C,MATCH(A:A,'Non-State Redistribution Calc'!A:A,0)))</f>
        <v>Titus</v>
      </c>
      <c r="D97" s="15" t="s">
        <v>77</v>
      </c>
      <c r="E97" s="84">
        <f>IFERROR(INDEX('State Redistribution Calc'!S:S,MATCH(A:A,'State Redistribution Calc'!A:A,0)),INDEX('Non-State Redistribution Calc'!AD:AD,MATCH(A:A,'Non-State Redistribution Calc'!A:A,0)))</f>
        <v>0</v>
      </c>
      <c r="F97" s="84">
        <f>IFERROR(INDEX('State Redistribution Calc'!T:T,MATCH(A:A,'State Redistribution Calc'!A:A,0)),INDEX('Non-State Redistribution Calc'!AI:AI,MATCH(A:A,'Non-State Redistribution Calc'!A:A,0)))</f>
        <v>0</v>
      </c>
    </row>
    <row r="98" spans="1:6" x14ac:dyDescent="0.2">
      <c r="A98" s="45" t="s">
        <v>234</v>
      </c>
      <c r="B98" s="43" t="s">
        <v>235</v>
      </c>
      <c r="C98" s="15" t="str">
        <f>IFERROR(INDEX('State Redistribution Calc'!C:C,MATCH(A:A,'State Redistribution Calc'!A:A,0)),INDEX('Non-State Redistribution Calc'!C:C,MATCH(A:A,'Non-State Redistribution Calc'!A:A,0)))</f>
        <v>Tom Green</v>
      </c>
      <c r="D98" s="15" t="s">
        <v>137</v>
      </c>
      <c r="E98" s="84">
        <f>IFERROR(INDEX('State Redistribution Calc'!S:S,MATCH(A:A,'State Redistribution Calc'!A:A,0)),INDEX('Non-State Redistribution Calc'!AD:AD,MATCH(A:A,'Non-State Redistribution Calc'!A:A,0)))</f>
        <v>314880.68</v>
      </c>
      <c r="F98" s="84">
        <f>IFERROR(INDEX('State Redistribution Calc'!T:T,MATCH(A:A,'State Redistribution Calc'!A:A,0)),INDEX('Non-State Redistribution Calc'!AI:AI,MATCH(A:A,'Non-State Redistribution Calc'!A:A,0)))</f>
        <v>0</v>
      </c>
    </row>
    <row r="99" spans="1:6" x14ac:dyDescent="0.2">
      <c r="A99" s="45" t="s">
        <v>176</v>
      </c>
      <c r="B99" s="43" t="s">
        <v>177</v>
      </c>
      <c r="C99" s="15" t="str">
        <f>IFERROR(INDEX('State Redistribution Calc'!C:C,MATCH(A:A,'State Redistribution Calc'!A:A,0)),INDEX('Non-State Redistribution Calc'!C:C,MATCH(A:A,'Non-State Redistribution Calc'!A:A,0)))</f>
        <v>Victoria</v>
      </c>
      <c r="D99" s="15" t="s">
        <v>137</v>
      </c>
      <c r="E99" s="84">
        <f>IFERROR(INDEX('State Redistribution Calc'!S:S,MATCH(A:A,'State Redistribution Calc'!A:A,0)),INDEX('Non-State Redistribution Calc'!AD:AD,MATCH(A:A,'Non-State Redistribution Calc'!A:A,0)))</f>
        <v>98696.79</v>
      </c>
      <c r="F99" s="84">
        <f>IFERROR(INDEX('State Redistribution Calc'!T:T,MATCH(A:A,'State Redistribution Calc'!A:A,0)),INDEX('Non-State Redistribution Calc'!AI:AI,MATCH(A:A,'Non-State Redistribution Calc'!A:A,0)))</f>
        <v>0</v>
      </c>
    </row>
    <row r="100" spans="1:6" x14ac:dyDescent="0.2">
      <c r="A100" s="45" t="s">
        <v>116</v>
      </c>
      <c r="B100" s="43" t="s">
        <v>425</v>
      </c>
      <c r="C100" s="15" t="str">
        <f>IFERROR(INDEX('State Redistribution Calc'!C:C,MATCH(A:A,'State Redistribution Calc'!A:A,0)),INDEX('Non-State Redistribution Calc'!C:C,MATCH(A:A,'Non-State Redistribution Calc'!A:A,0)))</f>
        <v>Scurry</v>
      </c>
      <c r="D100" s="15" t="s">
        <v>77</v>
      </c>
      <c r="E100" s="84">
        <f>IFERROR(INDEX('State Redistribution Calc'!S:S,MATCH(A:A,'State Redistribution Calc'!A:A,0)),INDEX('Non-State Redistribution Calc'!AD:AD,MATCH(A:A,'Non-State Redistribution Calc'!A:A,0)))</f>
        <v>1811.71</v>
      </c>
      <c r="F100" s="84">
        <f>IFERROR(INDEX('State Redistribution Calc'!T:T,MATCH(A:A,'State Redistribution Calc'!A:A,0)),INDEX('Non-State Redistribution Calc'!AI:AI,MATCH(A:A,'Non-State Redistribution Calc'!A:A,0)))</f>
        <v>596.41999999999996</v>
      </c>
    </row>
    <row r="101" spans="1:6" x14ac:dyDescent="0.2">
      <c r="A101" s="45" t="s">
        <v>107</v>
      </c>
      <c r="B101" s="43" t="s">
        <v>351</v>
      </c>
      <c r="C101" s="15" t="str">
        <f>IFERROR(INDEX('State Redistribution Calc'!C:C,MATCH(A:A,'State Redistribution Calc'!A:A,0)),INDEX('Non-State Redistribution Calc'!C:C,MATCH(A:A,'Non-State Redistribution Calc'!A:A,0)))</f>
        <v>Matagorda</v>
      </c>
      <c r="D101" s="15" t="s">
        <v>77</v>
      </c>
      <c r="E101" s="84">
        <f>IFERROR(INDEX('State Redistribution Calc'!S:S,MATCH(A:A,'State Redistribution Calc'!A:A,0)),INDEX('Non-State Redistribution Calc'!AD:AD,MATCH(A:A,'Non-State Redistribution Calc'!A:A,0)))</f>
        <v>19727.68</v>
      </c>
      <c r="F101" s="84">
        <f>IFERROR(INDEX('State Redistribution Calc'!T:T,MATCH(A:A,'State Redistribution Calc'!A:A,0)),INDEX('Non-State Redistribution Calc'!AI:AI,MATCH(A:A,'Non-State Redistribution Calc'!A:A,0)))</f>
        <v>6494.35</v>
      </c>
    </row>
    <row r="102" spans="1:6" x14ac:dyDescent="0.2">
      <c r="A102" s="45" t="s">
        <v>157</v>
      </c>
      <c r="B102" s="43" t="s">
        <v>431</v>
      </c>
      <c r="C102" s="15" t="str">
        <f>IFERROR(INDEX('State Redistribution Calc'!C:C,MATCH(A:A,'State Redistribution Calc'!A:A,0)),INDEX('Non-State Redistribution Calc'!C:C,MATCH(A:A,'Non-State Redistribution Calc'!A:A,0)))</f>
        <v>Bee</v>
      </c>
      <c r="D102" s="15" t="s">
        <v>137</v>
      </c>
      <c r="E102" s="84">
        <f>IFERROR(INDEX('State Redistribution Calc'!S:S,MATCH(A:A,'State Redistribution Calc'!A:A,0)),INDEX('Non-State Redistribution Calc'!AD:AD,MATCH(A:A,'Non-State Redistribution Calc'!A:A,0)))</f>
        <v>15127.96</v>
      </c>
      <c r="F102" s="84">
        <f>IFERROR(INDEX('State Redistribution Calc'!T:T,MATCH(A:A,'State Redistribution Calc'!A:A,0)),INDEX('Non-State Redistribution Calc'!AI:AI,MATCH(A:A,'Non-State Redistribution Calc'!A:A,0)))</f>
        <v>0</v>
      </c>
    </row>
    <row r="103" spans="1:6" x14ac:dyDescent="0.2">
      <c r="A103" s="45" t="s">
        <v>224</v>
      </c>
      <c r="B103" s="43" t="s">
        <v>225</v>
      </c>
      <c r="C103" s="15" t="str">
        <f>IFERROR(INDEX('State Redistribution Calc'!C:C,MATCH(A:A,'State Redistribution Calc'!A:A,0)),INDEX('Non-State Redistribution Calc'!C:C,MATCH(A:A,'Non-State Redistribution Calc'!A:A,0)))</f>
        <v>Hidalgo</v>
      </c>
      <c r="D103" s="15" t="s">
        <v>137</v>
      </c>
      <c r="E103" s="84">
        <f>IFERROR(INDEX('State Redistribution Calc'!S:S,MATCH(A:A,'State Redistribution Calc'!A:A,0)),INDEX('Non-State Redistribution Calc'!AD:AD,MATCH(A:A,'Non-State Redistribution Calc'!A:A,0)))</f>
        <v>43651.26</v>
      </c>
      <c r="F103" s="84">
        <f>IFERROR(INDEX('State Redistribution Calc'!T:T,MATCH(A:A,'State Redistribution Calc'!A:A,0)),INDEX('Non-State Redistribution Calc'!AI:AI,MATCH(A:A,'Non-State Redistribution Calc'!A:A,0)))</f>
        <v>0</v>
      </c>
    </row>
    <row r="104" spans="1:6" x14ac:dyDescent="0.2">
      <c r="A104" s="45" t="s">
        <v>263</v>
      </c>
      <c r="B104" s="43" t="s">
        <v>343</v>
      </c>
      <c r="C104" s="15" t="str">
        <f>IFERROR(INDEX('State Redistribution Calc'!C:C,MATCH(A:A,'State Redistribution Calc'!A:A,0)),INDEX('Non-State Redistribution Calc'!C:C,MATCH(A:A,'Non-State Redistribution Calc'!A:A,0)))</f>
        <v>El Paso</v>
      </c>
      <c r="D104" s="15" t="s">
        <v>137</v>
      </c>
      <c r="E104" s="84">
        <f>IFERROR(INDEX('State Redistribution Calc'!S:S,MATCH(A:A,'State Redistribution Calc'!A:A,0)),INDEX('Non-State Redistribution Calc'!AD:AD,MATCH(A:A,'Non-State Redistribution Calc'!A:A,0)))</f>
        <v>64449.51</v>
      </c>
      <c r="F104" s="84">
        <f>IFERROR(INDEX('State Redistribution Calc'!T:T,MATCH(A:A,'State Redistribution Calc'!A:A,0)),INDEX('Non-State Redistribution Calc'!AI:AI,MATCH(A:A,'Non-State Redistribution Calc'!A:A,0)))</f>
        <v>0</v>
      </c>
    </row>
    <row r="105" spans="1:6" x14ac:dyDescent="0.2">
      <c r="A105" s="45" t="s">
        <v>195</v>
      </c>
      <c r="B105" s="43" t="s">
        <v>196</v>
      </c>
      <c r="C105" s="15" t="str">
        <f>IFERROR(INDEX('State Redistribution Calc'!C:C,MATCH(A:A,'State Redistribution Calc'!A:A,0)),INDEX('Non-State Redistribution Calc'!C:C,MATCH(A:A,'Non-State Redistribution Calc'!A:A,0)))</f>
        <v>Hidalgo</v>
      </c>
      <c r="D105" s="15" t="s">
        <v>137</v>
      </c>
      <c r="E105" s="84">
        <f>IFERROR(INDEX('State Redistribution Calc'!S:S,MATCH(A:A,'State Redistribution Calc'!A:A,0)),INDEX('Non-State Redistribution Calc'!AD:AD,MATCH(A:A,'Non-State Redistribution Calc'!A:A,0)))</f>
        <v>27073.48</v>
      </c>
      <c r="F105" s="84">
        <f>IFERROR(INDEX('State Redistribution Calc'!T:T,MATCH(A:A,'State Redistribution Calc'!A:A,0)),INDEX('Non-State Redistribution Calc'!AI:AI,MATCH(A:A,'Non-State Redistribution Calc'!A:A,0)))</f>
        <v>0</v>
      </c>
    </row>
    <row r="106" spans="1:6" x14ac:dyDescent="0.2">
      <c r="A106" s="45" t="s">
        <v>207</v>
      </c>
      <c r="B106" s="43" t="s">
        <v>444</v>
      </c>
      <c r="C106" s="15" t="str">
        <f>IFERROR(INDEX('State Redistribution Calc'!C:C,MATCH(A:A,'State Redistribution Calc'!A:A,0)),INDEX('Non-State Redistribution Calc'!C:C,MATCH(A:A,'Non-State Redistribution Calc'!A:A,0)))</f>
        <v>Hays</v>
      </c>
      <c r="D106" s="15" t="s">
        <v>137</v>
      </c>
      <c r="E106" s="84">
        <f>IFERROR(INDEX('State Redistribution Calc'!S:S,MATCH(A:A,'State Redistribution Calc'!A:A,0)),INDEX('Non-State Redistribution Calc'!AD:AD,MATCH(A:A,'Non-State Redistribution Calc'!A:A,0)))</f>
        <v>94348.9</v>
      </c>
      <c r="F106" s="84">
        <f>IFERROR(INDEX('State Redistribution Calc'!T:T,MATCH(A:A,'State Redistribution Calc'!A:A,0)),INDEX('Non-State Redistribution Calc'!AI:AI,MATCH(A:A,'Non-State Redistribution Calc'!A:A,0)))</f>
        <v>0</v>
      </c>
    </row>
    <row r="107" spans="1:6" x14ac:dyDescent="0.2">
      <c r="A107" s="45" t="s">
        <v>229</v>
      </c>
      <c r="B107" s="43" t="s">
        <v>423</v>
      </c>
      <c r="C107" s="15" t="str">
        <f>IFERROR(INDEX('State Redistribution Calc'!C:C,MATCH(A:A,'State Redistribution Calc'!A:A,0)),INDEX('Non-State Redistribution Calc'!C:C,MATCH(A:A,'Non-State Redistribution Calc'!A:A,0)))</f>
        <v>Wichita</v>
      </c>
      <c r="D107" s="15" t="s">
        <v>137</v>
      </c>
      <c r="E107" s="84">
        <f>IFERROR(INDEX('State Redistribution Calc'!S:S,MATCH(A:A,'State Redistribution Calc'!A:A,0)),INDEX('Non-State Redistribution Calc'!AD:AD,MATCH(A:A,'Non-State Redistribution Calc'!A:A,0)))</f>
        <v>160169.38</v>
      </c>
      <c r="F107" s="84">
        <f>IFERROR(INDEX('State Redistribution Calc'!T:T,MATCH(A:A,'State Redistribution Calc'!A:A,0)),INDEX('Non-State Redistribution Calc'!AI:AI,MATCH(A:A,'Non-State Redistribution Calc'!A:A,0)))</f>
        <v>0</v>
      </c>
    </row>
    <row r="108" spans="1:6" x14ac:dyDescent="0.2">
      <c r="A108" s="45" t="s">
        <v>184</v>
      </c>
      <c r="B108" s="43" t="s">
        <v>359</v>
      </c>
      <c r="C108" s="15" t="str">
        <f>IFERROR(INDEX('State Redistribution Calc'!C:C,MATCH(A:A,'State Redistribution Calc'!A:A,0)),INDEX('Non-State Redistribution Calc'!C:C,MATCH(A:A,'Non-State Redistribution Calc'!A:A,0)))</f>
        <v>Webb</v>
      </c>
      <c r="D108" s="15" t="s">
        <v>137</v>
      </c>
      <c r="E108" s="84">
        <f>IFERROR(INDEX('State Redistribution Calc'!S:S,MATCH(A:A,'State Redistribution Calc'!A:A,0)),INDEX('Non-State Redistribution Calc'!AD:AD,MATCH(A:A,'Non-State Redistribution Calc'!A:A,0)))</f>
        <v>111708.75</v>
      </c>
      <c r="F108" s="84">
        <f>IFERROR(INDEX('State Redistribution Calc'!T:T,MATCH(A:A,'State Redistribution Calc'!A:A,0)),INDEX('Non-State Redistribution Calc'!AI:AI,MATCH(A:A,'Non-State Redistribution Calc'!A:A,0)))</f>
        <v>0</v>
      </c>
    </row>
    <row r="109" spans="1:6" x14ac:dyDescent="0.2">
      <c r="A109" s="45" t="s">
        <v>231</v>
      </c>
      <c r="B109" s="43" t="s">
        <v>435</v>
      </c>
      <c r="C109" s="15" t="str">
        <f>IFERROR(INDEX('State Redistribution Calc'!C:C,MATCH(A:A,'State Redistribution Calc'!A:A,0)),INDEX('Non-State Redistribution Calc'!C:C,MATCH(A:A,'Non-State Redistribution Calc'!A:A,0)))</f>
        <v>Kleberg</v>
      </c>
      <c r="D109" s="15" t="s">
        <v>137</v>
      </c>
      <c r="E109" s="84">
        <f>IFERROR(INDEX('State Redistribution Calc'!S:S,MATCH(A:A,'State Redistribution Calc'!A:A,0)),INDEX('Non-State Redistribution Calc'!AD:AD,MATCH(A:A,'Non-State Redistribution Calc'!A:A,0)))</f>
        <v>27476.87</v>
      </c>
      <c r="F109" s="84">
        <f>IFERROR(INDEX('State Redistribution Calc'!T:T,MATCH(A:A,'State Redistribution Calc'!A:A,0)),INDEX('Non-State Redistribution Calc'!AI:AI,MATCH(A:A,'Non-State Redistribution Calc'!A:A,0)))</f>
        <v>0</v>
      </c>
    </row>
    <row r="110" spans="1:6" x14ac:dyDescent="0.2">
      <c r="A110" s="45" t="s">
        <v>213</v>
      </c>
      <c r="B110" s="43" t="s">
        <v>341</v>
      </c>
      <c r="C110" s="15" t="str">
        <f>IFERROR(INDEX('State Redistribution Calc'!C:C,MATCH(A:A,'State Redistribution Calc'!A:A,0)),INDEX('Non-State Redistribution Calc'!C:C,MATCH(A:A,'Non-State Redistribution Calc'!A:A,0)))</f>
        <v>El Paso</v>
      </c>
      <c r="D110" s="15" t="s">
        <v>137</v>
      </c>
      <c r="E110" s="84">
        <f>IFERROR(INDEX('State Redistribution Calc'!S:S,MATCH(A:A,'State Redistribution Calc'!A:A,0)),INDEX('Non-State Redistribution Calc'!AD:AD,MATCH(A:A,'Non-State Redistribution Calc'!A:A,0)))</f>
        <v>158227</v>
      </c>
      <c r="F110" s="84">
        <f>IFERROR(INDEX('State Redistribution Calc'!T:T,MATCH(A:A,'State Redistribution Calc'!A:A,0)),INDEX('Non-State Redistribution Calc'!AI:AI,MATCH(A:A,'Non-State Redistribution Calc'!A:A,0)))</f>
        <v>0</v>
      </c>
    </row>
    <row r="111" spans="1:6" x14ac:dyDescent="0.2">
      <c r="A111" s="45" t="s">
        <v>118</v>
      </c>
      <c r="B111" s="43" t="s">
        <v>415</v>
      </c>
      <c r="C111" s="15" t="str">
        <f>IFERROR(INDEX('State Redistribution Calc'!C:C,MATCH(A:A,'State Redistribution Calc'!A:A,0)),INDEX('Non-State Redistribution Calc'!C:C,MATCH(A:A,'Non-State Redistribution Calc'!A:A,0)))</f>
        <v>Val Verde</v>
      </c>
      <c r="D111" s="15" t="s">
        <v>77</v>
      </c>
      <c r="E111" s="84">
        <f>IFERROR(INDEX('State Redistribution Calc'!S:S,MATCH(A:A,'State Redistribution Calc'!A:A,0)),INDEX('Non-State Redistribution Calc'!AD:AD,MATCH(A:A,'Non-State Redistribution Calc'!A:A,0)))</f>
        <v>6644.79</v>
      </c>
      <c r="F111" s="84">
        <f>IFERROR(INDEX('State Redistribution Calc'!T:T,MATCH(A:A,'State Redistribution Calc'!A:A,0)),INDEX('Non-State Redistribution Calc'!AI:AI,MATCH(A:A,'Non-State Redistribution Calc'!A:A,0)))</f>
        <v>2187.4699999999998</v>
      </c>
    </row>
    <row r="112" spans="1:6" x14ac:dyDescent="0.2">
      <c r="A112" s="45" t="s">
        <v>292</v>
      </c>
      <c r="B112" s="43" t="s">
        <v>280</v>
      </c>
      <c r="C112" s="15" t="str">
        <f>IFERROR(INDEX('State Redistribution Calc'!C:C,MATCH(A:A,'State Redistribution Calc'!A:A,0)),INDEX('Non-State Redistribution Calc'!C:C,MATCH(A:A,'Non-State Redistribution Calc'!A:A,0)))</f>
        <v>Hays</v>
      </c>
      <c r="D112" s="15" t="s">
        <v>137</v>
      </c>
      <c r="E112" s="84">
        <f>IFERROR(INDEX('State Redistribution Calc'!S:S,MATCH(A:A,'State Redistribution Calc'!A:A,0)),INDEX('Non-State Redistribution Calc'!AD:AD,MATCH(A:A,'Non-State Redistribution Calc'!A:A,0)))</f>
        <v>156638.42000000001</v>
      </c>
      <c r="F112" s="84">
        <f>IFERROR(INDEX('State Redistribution Calc'!T:T,MATCH(A:A,'State Redistribution Calc'!A:A,0)),INDEX('Non-State Redistribution Calc'!AI:AI,MATCH(A:A,'Non-State Redistribution Calc'!A:A,0)))</f>
        <v>0</v>
      </c>
    </row>
    <row r="113" spans="1:6" x14ac:dyDescent="0.2">
      <c r="A113" s="45" t="s">
        <v>256</v>
      </c>
      <c r="B113" s="43" t="s">
        <v>369</v>
      </c>
      <c r="C113" s="15" t="str">
        <f>IFERROR(INDEX('State Redistribution Calc'!C:C,MATCH(A:A,'State Redistribution Calc'!A:A,0)),INDEX('Non-State Redistribution Calc'!C:C,MATCH(A:A,'Non-State Redistribution Calc'!A:A,0)))</f>
        <v>Jefferson</v>
      </c>
      <c r="D113" s="15" t="s">
        <v>137</v>
      </c>
      <c r="E113" s="84">
        <f>IFERROR(INDEX('State Redistribution Calc'!S:S,MATCH(A:A,'State Redistribution Calc'!A:A,0)),INDEX('Non-State Redistribution Calc'!AD:AD,MATCH(A:A,'Non-State Redistribution Calc'!A:A,0)))</f>
        <v>111925.77</v>
      </c>
      <c r="F113" s="84">
        <f>IFERROR(INDEX('State Redistribution Calc'!T:T,MATCH(A:A,'State Redistribution Calc'!A:A,0)),INDEX('Non-State Redistribution Calc'!AI:AI,MATCH(A:A,'Non-State Redistribution Calc'!A:A,0)))</f>
        <v>0</v>
      </c>
    </row>
    <row r="114" spans="1:6" x14ac:dyDescent="0.2">
      <c r="A114" s="45" t="s">
        <v>272</v>
      </c>
      <c r="B114" s="43" t="s">
        <v>401</v>
      </c>
      <c r="C114" s="15" t="str">
        <f>IFERROR(INDEX('State Redistribution Calc'!C:C,MATCH(A:A,'State Redistribution Calc'!A:A,0)),INDEX('Non-State Redistribution Calc'!C:C,MATCH(A:A,'Non-State Redistribution Calc'!A:A,0)))</f>
        <v>Hopkins</v>
      </c>
      <c r="D114" s="15" t="s">
        <v>137</v>
      </c>
      <c r="E114" s="84">
        <f>IFERROR(INDEX('State Redistribution Calc'!S:S,MATCH(A:A,'State Redistribution Calc'!A:A,0)),INDEX('Non-State Redistribution Calc'!AD:AD,MATCH(A:A,'Non-State Redistribution Calc'!A:A,0)))</f>
        <v>0</v>
      </c>
      <c r="F114" s="84">
        <f>IFERROR(INDEX('State Redistribution Calc'!T:T,MATCH(A:A,'State Redistribution Calc'!A:A,0)),INDEX('Non-State Redistribution Calc'!AI:AI,MATCH(A:A,'Non-State Redistribution Calc'!A:A,0)))</f>
        <v>0</v>
      </c>
    </row>
    <row r="115" spans="1:6" x14ac:dyDescent="0.2">
      <c r="A115" s="45" t="s">
        <v>317</v>
      </c>
      <c r="B115" s="43" t="s">
        <v>318</v>
      </c>
      <c r="C115" s="15" t="str">
        <f>IFERROR(INDEX('State Redistribution Calc'!C:C,MATCH(A:A,'State Redistribution Calc'!A:A,0)),INDEX('Non-State Redistribution Calc'!C:C,MATCH(A:A,'Non-State Redistribution Calc'!A:A,0)))</f>
        <v>Uvalde</v>
      </c>
      <c r="D115" s="15" t="s">
        <v>77</v>
      </c>
      <c r="E115" s="84">
        <f>IFERROR(INDEX('State Redistribution Calc'!S:S,MATCH(A:A,'State Redistribution Calc'!A:A,0)),INDEX('Non-State Redistribution Calc'!AD:AD,MATCH(A:A,'Non-State Redistribution Calc'!A:A,0)))</f>
        <v>0</v>
      </c>
      <c r="F115" s="84">
        <f>IFERROR(INDEX('State Redistribution Calc'!T:T,MATCH(A:A,'State Redistribution Calc'!A:A,0)),INDEX('Non-State Redistribution Calc'!AI:AI,MATCH(A:A,'Non-State Redistribution Calc'!A:A,0)))</f>
        <v>0</v>
      </c>
    </row>
    <row r="116" spans="1:6" x14ac:dyDescent="0.2">
      <c r="A116" s="45" t="s">
        <v>191</v>
      </c>
      <c r="B116" s="43" t="s">
        <v>393</v>
      </c>
      <c r="C116" s="15" t="str">
        <f>IFERROR(INDEX('State Redistribution Calc'!C:C,MATCH(A:A,'State Redistribution Calc'!A:A,0)),INDEX('Non-State Redistribution Calc'!C:C,MATCH(A:A,'Non-State Redistribution Calc'!A:A,0)))</f>
        <v>Gregg</v>
      </c>
      <c r="D116" s="15" t="s">
        <v>137</v>
      </c>
      <c r="E116" s="84">
        <f>IFERROR(INDEX('State Redistribution Calc'!S:S,MATCH(A:A,'State Redistribution Calc'!A:A,0)),INDEX('Non-State Redistribution Calc'!AD:AD,MATCH(A:A,'Non-State Redistribution Calc'!A:A,0)))</f>
        <v>131536.47</v>
      </c>
      <c r="F116" s="84">
        <f>IFERROR(INDEX('State Redistribution Calc'!T:T,MATCH(A:A,'State Redistribution Calc'!A:A,0)),INDEX('Non-State Redistribution Calc'!AI:AI,MATCH(A:A,'Non-State Redistribution Calc'!A:A,0)))</f>
        <v>0</v>
      </c>
    </row>
    <row r="117" spans="1:6" x14ac:dyDescent="0.2">
      <c r="A117" s="45" t="s">
        <v>255</v>
      </c>
      <c r="B117" s="43" t="s">
        <v>398</v>
      </c>
      <c r="C117" s="15" t="str">
        <f>IFERROR(INDEX('State Redistribution Calc'!C:C,MATCH(A:A,'State Redistribution Calc'!A:A,0)),INDEX('Non-State Redistribution Calc'!C:C,MATCH(A:A,'Non-State Redistribution Calc'!A:A,0)))</f>
        <v>Lamar</v>
      </c>
      <c r="D117" s="15" t="s">
        <v>137</v>
      </c>
      <c r="E117" s="84">
        <f>IFERROR(INDEX('State Redistribution Calc'!S:S,MATCH(A:A,'State Redistribution Calc'!A:A,0)),INDEX('Non-State Redistribution Calc'!AD:AD,MATCH(A:A,'Non-State Redistribution Calc'!A:A,0)))</f>
        <v>16956.86</v>
      </c>
      <c r="F117" s="84">
        <f>IFERROR(INDEX('State Redistribution Calc'!T:T,MATCH(A:A,'State Redistribution Calc'!A:A,0)),INDEX('Non-State Redistribution Calc'!AI:AI,MATCH(A:A,'Non-State Redistribution Calc'!A:A,0)))</f>
        <v>0</v>
      </c>
    </row>
    <row r="118" spans="1:6" x14ac:dyDescent="0.2">
      <c r="A118" s="45" t="s">
        <v>124</v>
      </c>
      <c r="B118" s="43" t="s">
        <v>436</v>
      </c>
      <c r="C118" s="15" t="str">
        <f>IFERROR(INDEX('State Redistribution Calc'!C:C,MATCH(A:A,'State Redistribution Calc'!A:A,0)),INDEX('Non-State Redistribution Calc'!C:C,MATCH(A:A,'Non-State Redistribution Calc'!A:A,0)))</f>
        <v>Victoria</v>
      </c>
      <c r="D118" s="15" t="s">
        <v>77</v>
      </c>
      <c r="E118" s="84">
        <f>IFERROR(INDEX('State Redistribution Calc'!S:S,MATCH(A:A,'State Redistribution Calc'!A:A,0)),INDEX('Non-State Redistribution Calc'!AD:AD,MATCH(A:A,'Non-State Redistribution Calc'!A:A,0)))</f>
        <v>231033.99</v>
      </c>
      <c r="F118" s="84">
        <f>IFERROR(INDEX('State Redistribution Calc'!T:T,MATCH(A:A,'State Redistribution Calc'!A:A,0)),INDEX('Non-State Redistribution Calc'!AI:AI,MATCH(A:A,'Non-State Redistribution Calc'!A:A,0)))</f>
        <v>76056.39</v>
      </c>
    </row>
    <row r="119" spans="1:6" x14ac:dyDescent="0.2">
      <c r="A119" s="45" t="s">
        <v>260</v>
      </c>
      <c r="B119" s="43" t="s">
        <v>313</v>
      </c>
      <c r="C119" s="15" t="str">
        <f>IFERROR(INDEX('State Redistribution Calc'!C:C,MATCH(A:A,'State Redistribution Calc'!A:A,0)),INDEX('Non-State Redistribution Calc'!C:C,MATCH(A:A,'Non-State Redistribution Calc'!A:A,0)))</f>
        <v>Bowie</v>
      </c>
      <c r="D119" s="15" t="s">
        <v>137</v>
      </c>
      <c r="E119" s="84">
        <f>IFERROR(INDEX('State Redistribution Calc'!S:S,MATCH(A:A,'State Redistribution Calc'!A:A,0)),INDEX('Non-State Redistribution Calc'!AD:AD,MATCH(A:A,'Non-State Redistribution Calc'!A:A,0)))</f>
        <v>197282.81</v>
      </c>
      <c r="F119" s="84">
        <f>IFERROR(INDEX('State Redistribution Calc'!T:T,MATCH(A:A,'State Redistribution Calc'!A:A,0)),INDEX('Non-State Redistribution Calc'!AI:AI,MATCH(A:A,'Non-State Redistribution Calc'!A:A,0)))</f>
        <v>0</v>
      </c>
    </row>
    <row r="120" spans="1:6" x14ac:dyDescent="0.2">
      <c r="A120" s="45" t="s">
        <v>291</v>
      </c>
      <c r="B120" s="43" t="s">
        <v>280</v>
      </c>
      <c r="C120" s="15" t="str">
        <f>IFERROR(INDEX('State Redistribution Calc'!C:C,MATCH(A:A,'State Redistribution Calc'!A:A,0)),INDEX('Non-State Redistribution Calc'!C:C,MATCH(A:A,'Non-State Redistribution Calc'!A:A,0)))</f>
        <v>Travis</v>
      </c>
      <c r="D120" s="15" t="s">
        <v>137</v>
      </c>
      <c r="E120" s="84">
        <f>IFERROR(INDEX('State Redistribution Calc'!S:S,MATCH(A:A,'State Redistribution Calc'!A:A,0)),INDEX('Non-State Redistribution Calc'!AD:AD,MATCH(A:A,'Non-State Redistribution Calc'!A:A,0)))</f>
        <v>400119.83</v>
      </c>
      <c r="F120" s="84">
        <f>IFERROR(INDEX('State Redistribution Calc'!T:T,MATCH(A:A,'State Redistribution Calc'!A:A,0)),INDEX('Non-State Redistribution Calc'!AI:AI,MATCH(A:A,'Non-State Redistribution Calc'!A:A,0)))</f>
        <v>0</v>
      </c>
    </row>
    <row r="121" spans="1:6" x14ac:dyDescent="0.2">
      <c r="A121" s="45" t="s">
        <v>187</v>
      </c>
      <c r="B121" s="43" t="s">
        <v>433</v>
      </c>
      <c r="C121" s="15" t="str">
        <f>IFERROR(INDEX('State Redistribution Calc'!C:C,MATCH(A:A,'State Redistribution Calc'!A:A,0)),INDEX('Non-State Redistribution Calc'!C:C,MATCH(A:A,'Non-State Redistribution Calc'!A:A,0)))</f>
        <v>Jim Wells</v>
      </c>
      <c r="D121" s="15" t="s">
        <v>137</v>
      </c>
      <c r="E121" s="84">
        <f>IFERROR(INDEX('State Redistribution Calc'!S:S,MATCH(A:A,'State Redistribution Calc'!A:A,0)),INDEX('Non-State Redistribution Calc'!AD:AD,MATCH(A:A,'Non-State Redistribution Calc'!A:A,0)))</f>
        <v>37001.269999999997</v>
      </c>
      <c r="F121" s="84">
        <f>IFERROR(INDEX('State Redistribution Calc'!T:T,MATCH(A:A,'State Redistribution Calc'!A:A,0)),INDEX('Non-State Redistribution Calc'!AI:AI,MATCH(A:A,'Non-State Redistribution Calc'!A:A,0)))</f>
        <v>0</v>
      </c>
    </row>
    <row r="122" spans="1:6" x14ac:dyDescent="0.2">
      <c r="A122" s="45" t="s">
        <v>161</v>
      </c>
      <c r="B122" s="43" t="s">
        <v>323</v>
      </c>
      <c r="C122" s="15" t="str">
        <f>IFERROR(INDEX('State Redistribution Calc'!C:C,MATCH(A:A,'State Redistribution Calc'!A:A,0)),INDEX('Non-State Redistribution Calc'!C:C,MATCH(A:A,'Non-State Redistribution Calc'!A:A,0)))</f>
        <v>Bexar</v>
      </c>
      <c r="D122" s="15" t="s">
        <v>137</v>
      </c>
      <c r="E122" s="84">
        <f>IFERROR(INDEX('State Redistribution Calc'!S:S,MATCH(A:A,'State Redistribution Calc'!A:A,0)),INDEX('Non-State Redistribution Calc'!AD:AD,MATCH(A:A,'Non-State Redistribution Calc'!A:A,0)))</f>
        <v>136117.25</v>
      </c>
      <c r="F122" s="84">
        <f>IFERROR(INDEX('State Redistribution Calc'!T:T,MATCH(A:A,'State Redistribution Calc'!A:A,0)),INDEX('Non-State Redistribution Calc'!AI:AI,MATCH(A:A,'Non-State Redistribution Calc'!A:A,0)))</f>
        <v>0</v>
      </c>
    </row>
    <row r="123" spans="1:6" x14ac:dyDescent="0.2">
      <c r="A123" s="45" t="s">
        <v>204</v>
      </c>
      <c r="B123" s="43" t="s">
        <v>316</v>
      </c>
      <c r="C123" s="15" t="str">
        <f>IFERROR(INDEX('State Redistribution Calc'!C:C,MATCH(A:A,'State Redistribution Calc'!A:A,0)),INDEX('Non-State Redistribution Calc'!C:C,MATCH(A:A,'Non-State Redistribution Calc'!A:A,0)))</f>
        <v>Ector</v>
      </c>
      <c r="D123" s="15" t="s">
        <v>137</v>
      </c>
      <c r="E123" s="84">
        <f>IFERROR(INDEX('State Redistribution Calc'!S:S,MATCH(A:A,'State Redistribution Calc'!A:A,0)),INDEX('Non-State Redistribution Calc'!AD:AD,MATCH(A:A,'Non-State Redistribution Calc'!A:A,0)))</f>
        <v>105049.65</v>
      </c>
      <c r="F123" s="84">
        <f>IFERROR(INDEX('State Redistribution Calc'!T:T,MATCH(A:A,'State Redistribution Calc'!A:A,0)),INDEX('Non-State Redistribution Calc'!AI:AI,MATCH(A:A,'Non-State Redistribution Calc'!A:A,0)))</f>
        <v>0</v>
      </c>
    </row>
    <row r="124" spans="1:6" x14ac:dyDescent="0.2">
      <c r="A124" s="45" t="s">
        <v>258</v>
      </c>
      <c r="B124" s="43" t="s">
        <v>399</v>
      </c>
      <c r="C124" s="15" t="str">
        <f>IFERROR(INDEX('State Redistribution Calc'!C:C,MATCH(A:A,'State Redistribution Calc'!A:A,0)),INDEX('Non-State Redistribution Calc'!C:C,MATCH(A:A,'Non-State Redistribution Calc'!A:A,0)))</f>
        <v>Grayson</v>
      </c>
      <c r="D124" s="15" t="s">
        <v>137</v>
      </c>
      <c r="E124" s="84">
        <f>IFERROR(INDEX('State Redistribution Calc'!S:S,MATCH(A:A,'State Redistribution Calc'!A:A,0)),INDEX('Non-State Redistribution Calc'!AD:AD,MATCH(A:A,'Non-State Redistribution Calc'!A:A,0)))</f>
        <v>260816.93</v>
      </c>
      <c r="F124" s="84">
        <f>IFERROR(INDEX('State Redistribution Calc'!T:T,MATCH(A:A,'State Redistribution Calc'!A:A,0)),INDEX('Non-State Redistribution Calc'!AI:AI,MATCH(A:A,'Non-State Redistribution Calc'!A:A,0)))</f>
        <v>0</v>
      </c>
    </row>
    <row r="125" spans="1:6" x14ac:dyDescent="0.2">
      <c r="A125" s="45" t="s">
        <v>293</v>
      </c>
      <c r="B125" s="43" t="s">
        <v>445</v>
      </c>
      <c r="C125" s="15" t="str">
        <f>IFERROR(INDEX('State Redistribution Calc'!C:C,MATCH(A:A,'State Redistribution Calc'!A:A,0)),INDEX('Non-State Redistribution Calc'!C:C,MATCH(A:A,'Non-State Redistribution Calc'!A:A,0)))</f>
        <v>Burnet</v>
      </c>
      <c r="D125" s="15" t="s">
        <v>137</v>
      </c>
      <c r="E125" s="84">
        <f>IFERROR(INDEX('State Redistribution Calc'!S:S,MATCH(A:A,'State Redistribution Calc'!A:A,0)),INDEX('Non-State Redistribution Calc'!AD:AD,MATCH(A:A,'Non-State Redistribution Calc'!A:A,0)))</f>
        <v>44971.29</v>
      </c>
      <c r="F125" s="84">
        <f>IFERROR(INDEX('State Redistribution Calc'!T:T,MATCH(A:A,'State Redistribution Calc'!A:A,0)),INDEX('Non-State Redistribution Calc'!AI:AI,MATCH(A:A,'Non-State Redistribution Calc'!A:A,0)))</f>
        <v>0</v>
      </c>
    </row>
    <row r="126" spans="1:6" x14ac:dyDescent="0.2">
      <c r="A126" s="45" t="s">
        <v>192</v>
      </c>
      <c r="B126" s="43" t="s">
        <v>382</v>
      </c>
      <c r="C126" s="15" t="str">
        <f>IFERROR(INDEX('State Redistribution Calc'!C:C,MATCH(A:A,'State Redistribution Calc'!A:A,0)),INDEX('Non-State Redistribution Calc'!C:C,MATCH(A:A,'Non-State Redistribution Calc'!A:A,0)))</f>
        <v>Mclennan</v>
      </c>
      <c r="D126" s="15" t="s">
        <v>137</v>
      </c>
      <c r="E126" s="84">
        <f>IFERROR(INDEX('State Redistribution Calc'!S:S,MATCH(A:A,'State Redistribution Calc'!A:A,0)),INDEX('Non-State Redistribution Calc'!AD:AD,MATCH(A:A,'Non-State Redistribution Calc'!A:A,0)))</f>
        <v>171412.43</v>
      </c>
      <c r="F126" s="84">
        <f>IFERROR(INDEX('State Redistribution Calc'!T:T,MATCH(A:A,'State Redistribution Calc'!A:A,0)),INDEX('Non-State Redistribution Calc'!AI:AI,MATCH(A:A,'Non-State Redistribution Calc'!A:A,0)))</f>
        <v>0</v>
      </c>
    </row>
    <row r="127" spans="1:6" x14ac:dyDescent="0.2">
      <c r="A127" s="45" t="s">
        <v>178</v>
      </c>
      <c r="B127" s="43" t="s">
        <v>381</v>
      </c>
      <c r="C127" s="15" t="str">
        <f>IFERROR(INDEX('State Redistribution Calc'!C:C,MATCH(A:A,'State Redistribution Calc'!A:A,0)),INDEX('Non-State Redistribution Calc'!C:C,MATCH(A:A,'Non-State Redistribution Calc'!A:A,0)))</f>
        <v>Bell</v>
      </c>
      <c r="D127" s="15" t="s">
        <v>137</v>
      </c>
      <c r="E127" s="84">
        <f>IFERROR(INDEX('State Redistribution Calc'!S:S,MATCH(A:A,'State Redistribution Calc'!A:A,0)),INDEX('Non-State Redistribution Calc'!AD:AD,MATCH(A:A,'Non-State Redistribution Calc'!A:A,0)))</f>
        <v>98889.87</v>
      </c>
      <c r="F127" s="84">
        <f>IFERROR(INDEX('State Redistribution Calc'!T:T,MATCH(A:A,'State Redistribution Calc'!A:A,0)),INDEX('Non-State Redistribution Calc'!AI:AI,MATCH(A:A,'Non-State Redistribution Calc'!A:A,0)))</f>
        <v>0</v>
      </c>
    </row>
    <row r="128" spans="1:6" x14ac:dyDescent="0.2">
      <c r="A128" s="45" t="s">
        <v>206</v>
      </c>
      <c r="B128" s="43" t="s">
        <v>360</v>
      </c>
      <c r="C128" s="15" t="str">
        <f>IFERROR(INDEX('State Redistribution Calc'!C:C,MATCH(A:A,'State Redistribution Calc'!A:A,0)),INDEX('Non-State Redistribution Calc'!C:C,MATCH(A:A,'Non-State Redistribution Calc'!A:A,0)))</f>
        <v>Hidalgo</v>
      </c>
      <c r="D128" s="15" t="s">
        <v>137</v>
      </c>
      <c r="E128" s="84">
        <f>IFERROR(INDEX('State Redistribution Calc'!S:S,MATCH(A:A,'State Redistribution Calc'!A:A,0)),INDEX('Non-State Redistribution Calc'!AD:AD,MATCH(A:A,'Non-State Redistribution Calc'!A:A,0)))</f>
        <v>171084.43</v>
      </c>
      <c r="F128" s="84">
        <f>IFERROR(INDEX('State Redistribution Calc'!T:T,MATCH(A:A,'State Redistribution Calc'!A:A,0)),INDEX('Non-State Redistribution Calc'!AI:AI,MATCH(A:A,'Non-State Redistribution Calc'!A:A,0)))</f>
        <v>0</v>
      </c>
    </row>
    <row r="129" spans="1:6" x14ac:dyDescent="0.2">
      <c r="A129" s="45" t="s">
        <v>185</v>
      </c>
      <c r="B129" s="43" t="s">
        <v>346</v>
      </c>
      <c r="C129" s="15" t="str">
        <f>IFERROR(INDEX('State Redistribution Calc'!C:C,MATCH(A:A,'State Redistribution Calc'!A:A,0)),INDEX('Non-State Redistribution Calc'!C:C,MATCH(A:A,'Non-State Redistribution Calc'!A:A,0)))</f>
        <v>Harris</v>
      </c>
      <c r="D129" s="15" t="s">
        <v>137</v>
      </c>
      <c r="E129" s="84">
        <f>IFERROR(INDEX('State Redistribution Calc'!S:S,MATCH(A:A,'State Redistribution Calc'!A:A,0)),INDEX('Non-State Redistribution Calc'!AD:AD,MATCH(A:A,'Non-State Redistribution Calc'!A:A,0)))</f>
        <v>202563.27</v>
      </c>
      <c r="F129" s="84">
        <f>IFERROR(INDEX('State Redistribution Calc'!T:T,MATCH(A:A,'State Redistribution Calc'!A:A,0)),INDEX('Non-State Redistribution Calc'!AI:AI,MATCH(A:A,'Non-State Redistribution Calc'!A:A,0)))</f>
        <v>0</v>
      </c>
    </row>
    <row r="130" spans="1:6" x14ac:dyDescent="0.2">
      <c r="A130" s="45" t="s">
        <v>294</v>
      </c>
      <c r="B130" s="43" t="s">
        <v>295</v>
      </c>
      <c r="C130" s="15" t="str">
        <f>IFERROR(INDEX('State Redistribution Calc'!C:C,MATCH(A:A,'State Redistribution Calc'!A:A,0)),INDEX('Non-State Redistribution Calc'!C:C,MATCH(A:A,'Non-State Redistribution Calc'!A:A,0)))</f>
        <v>Henderson</v>
      </c>
      <c r="D130" s="15" t="s">
        <v>137</v>
      </c>
      <c r="E130" s="84">
        <f>IFERROR(INDEX('State Redistribution Calc'!S:S,MATCH(A:A,'State Redistribution Calc'!A:A,0)),INDEX('Non-State Redistribution Calc'!AD:AD,MATCH(A:A,'Non-State Redistribution Calc'!A:A,0)))</f>
        <v>184257.74</v>
      </c>
      <c r="F130" s="84">
        <f>IFERROR(INDEX('State Redistribution Calc'!T:T,MATCH(A:A,'State Redistribution Calc'!A:A,0)),INDEX('Non-State Redistribution Calc'!AI:AI,MATCH(A:A,'Non-State Redistribution Calc'!A:A,0)))</f>
        <v>0</v>
      </c>
    </row>
    <row r="131" spans="1:6" x14ac:dyDescent="0.2">
      <c r="A131" s="45" t="s">
        <v>244</v>
      </c>
      <c r="B131" s="43" t="s">
        <v>245</v>
      </c>
      <c r="C131" s="15" t="str">
        <f>IFERROR(INDEX('State Redistribution Calc'!C:C,MATCH(A:A,'State Redistribution Calc'!A:A,0)),INDEX('Non-State Redistribution Calc'!C:C,MATCH(A:A,'Non-State Redistribution Calc'!A:A,0)))</f>
        <v>Mclennan</v>
      </c>
      <c r="D131" s="15" t="s">
        <v>137</v>
      </c>
      <c r="E131" s="84">
        <f>IFERROR(INDEX('State Redistribution Calc'!S:S,MATCH(A:A,'State Redistribution Calc'!A:A,0)),INDEX('Non-State Redistribution Calc'!AD:AD,MATCH(A:A,'Non-State Redistribution Calc'!A:A,0)))</f>
        <v>206072.92</v>
      </c>
      <c r="F131" s="84">
        <f>IFERROR(INDEX('State Redistribution Calc'!T:T,MATCH(A:A,'State Redistribution Calc'!A:A,0)),INDEX('Non-State Redistribution Calc'!AI:AI,MATCH(A:A,'Non-State Redistribution Calc'!A:A,0)))</f>
        <v>0</v>
      </c>
    </row>
    <row r="132" spans="1:6" x14ac:dyDescent="0.2">
      <c r="A132" s="45" t="s">
        <v>232</v>
      </c>
      <c r="B132" s="43" t="s">
        <v>233</v>
      </c>
      <c r="C132" s="15" t="str">
        <f>IFERROR(INDEX('State Redistribution Calc'!C:C,MATCH(A:A,'State Redistribution Calc'!A:A,0)),INDEX('Non-State Redistribution Calc'!C:C,MATCH(A:A,'Non-State Redistribution Calc'!A:A,0)))</f>
        <v>Bexar</v>
      </c>
      <c r="D132" s="15" t="s">
        <v>137</v>
      </c>
      <c r="E132" s="84">
        <f>IFERROR(INDEX('State Redistribution Calc'!S:S,MATCH(A:A,'State Redistribution Calc'!A:A,0)),INDEX('Non-State Redistribution Calc'!AD:AD,MATCH(A:A,'Non-State Redistribution Calc'!A:A,0)))</f>
        <v>158499.12</v>
      </c>
      <c r="F132" s="84">
        <f>IFERROR(INDEX('State Redistribution Calc'!T:T,MATCH(A:A,'State Redistribution Calc'!A:A,0)),INDEX('Non-State Redistribution Calc'!AI:AI,MATCH(A:A,'Non-State Redistribution Calc'!A:A,0)))</f>
        <v>0</v>
      </c>
    </row>
    <row r="133" spans="1:6" x14ac:dyDescent="0.2">
      <c r="A133" s="45" t="s">
        <v>109</v>
      </c>
      <c r="B133" s="43" t="s">
        <v>334</v>
      </c>
      <c r="C133" s="15" t="str">
        <f>IFERROR(INDEX('State Redistribution Calc'!C:C,MATCH(A:A,'State Redistribution Calc'!A:A,0)),INDEX('Non-State Redistribution Calc'!C:C,MATCH(A:A,'Non-State Redistribution Calc'!A:A,0)))</f>
        <v>Hunt</v>
      </c>
      <c r="D133" s="15" t="s">
        <v>77</v>
      </c>
      <c r="E133" s="84">
        <f>IFERROR(INDEX('State Redistribution Calc'!S:S,MATCH(A:A,'State Redistribution Calc'!A:A,0)),INDEX('Non-State Redistribution Calc'!AD:AD,MATCH(A:A,'Non-State Redistribution Calc'!A:A,0)))</f>
        <v>129576.88</v>
      </c>
      <c r="F133" s="84">
        <f>IFERROR(INDEX('State Redistribution Calc'!T:T,MATCH(A:A,'State Redistribution Calc'!A:A,0)),INDEX('Non-State Redistribution Calc'!AI:AI,MATCH(A:A,'Non-State Redistribution Calc'!A:A,0)))</f>
        <v>42656.71</v>
      </c>
    </row>
    <row r="134" spans="1:6" x14ac:dyDescent="0.2">
      <c r="A134" s="45" t="s">
        <v>296</v>
      </c>
      <c r="B134" s="43" t="s">
        <v>297</v>
      </c>
      <c r="C134" s="15" t="str">
        <f>IFERROR(INDEX('State Redistribution Calc'!C:C,MATCH(A:A,'State Redistribution Calc'!A:A,0)),INDEX('Non-State Redistribution Calc'!C:C,MATCH(A:A,'Non-State Redistribution Calc'!A:A,0)))</f>
        <v>Gray</v>
      </c>
      <c r="D134" s="15" t="s">
        <v>137</v>
      </c>
      <c r="E134" s="84">
        <f>IFERROR(INDEX('State Redistribution Calc'!S:S,MATCH(A:A,'State Redistribution Calc'!A:A,0)),INDEX('Non-State Redistribution Calc'!AD:AD,MATCH(A:A,'Non-State Redistribution Calc'!A:A,0)))</f>
        <v>33359.61</v>
      </c>
      <c r="F134" s="84">
        <f>IFERROR(INDEX('State Redistribution Calc'!T:T,MATCH(A:A,'State Redistribution Calc'!A:A,0)),INDEX('Non-State Redistribution Calc'!AI:AI,MATCH(A:A,'Non-State Redistribution Calc'!A:A,0)))</f>
        <v>0</v>
      </c>
    </row>
    <row r="135" spans="1:6" x14ac:dyDescent="0.2">
      <c r="A135" s="45" t="s">
        <v>170</v>
      </c>
      <c r="B135" s="43" t="s">
        <v>390</v>
      </c>
      <c r="C135" s="15" t="str">
        <f>IFERROR(INDEX('State Redistribution Calc'!C:C,MATCH(A:A,'State Redistribution Calc'!A:A,0)),INDEX('Non-State Redistribution Calc'!C:C,MATCH(A:A,'Non-State Redistribution Calc'!A:A,0)))</f>
        <v>Bowie</v>
      </c>
      <c r="D135" s="15" t="s">
        <v>137</v>
      </c>
      <c r="E135" s="84">
        <f>IFERROR(INDEX('State Redistribution Calc'!S:S,MATCH(A:A,'State Redistribution Calc'!A:A,0)),INDEX('Non-State Redistribution Calc'!AD:AD,MATCH(A:A,'Non-State Redistribution Calc'!A:A,0)))</f>
        <v>472748.9</v>
      </c>
      <c r="F135" s="84">
        <f>IFERROR(INDEX('State Redistribution Calc'!T:T,MATCH(A:A,'State Redistribution Calc'!A:A,0)),INDEX('Non-State Redistribution Calc'!AI:AI,MATCH(A:A,'Non-State Redistribution Calc'!A:A,0)))</f>
        <v>0</v>
      </c>
    </row>
    <row r="136" spans="1:6" x14ac:dyDescent="0.2">
      <c r="A136" s="45" t="s">
        <v>182</v>
      </c>
      <c r="B136" s="43" t="s">
        <v>442</v>
      </c>
      <c r="C136" s="15" t="str">
        <f>IFERROR(INDEX('State Redistribution Calc'!C:C,MATCH(A:A,'State Redistribution Calc'!A:A,0)),INDEX('Non-State Redistribution Calc'!C:C,MATCH(A:A,'Non-State Redistribution Calc'!A:A,0)))</f>
        <v>Travis</v>
      </c>
      <c r="D136" s="15" t="s">
        <v>137</v>
      </c>
      <c r="E136" s="84">
        <f>IFERROR(INDEX('State Redistribution Calc'!S:S,MATCH(A:A,'State Redistribution Calc'!A:A,0)),INDEX('Non-State Redistribution Calc'!AD:AD,MATCH(A:A,'Non-State Redistribution Calc'!A:A,0)))</f>
        <v>255540.66</v>
      </c>
      <c r="F136" s="84">
        <f>IFERROR(INDEX('State Redistribution Calc'!T:T,MATCH(A:A,'State Redistribution Calc'!A:A,0)),INDEX('Non-State Redistribution Calc'!AI:AI,MATCH(A:A,'Non-State Redistribution Calc'!A:A,0)))</f>
        <v>0</v>
      </c>
    </row>
    <row r="137" spans="1:6" x14ac:dyDescent="0.2">
      <c r="A137" s="45" t="s">
        <v>264</v>
      </c>
      <c r="B137" s="43" t="s">
        <v>364</v>
      </c>
      <c r="C137" s="15" t="str">
        <f>IFERROR(INDEX('State Redistribution Calc'!C:C,MATCH(A:A,'State Redistribution Calc'!A:A,0)),INDEX('Non-State Redistribution Calc'!C:C,MATCH(A:A,'Non-State Redistribution Calc'!A:A,0)))</f>
        <v>Cameron</v>
      </c>
      <c r="D137" s="15" t="s">
        <v>137</v>
      </c>
      <c r="E137" s="84">
        <f>IFERROR(INDEX('State Redistribution Calc'!S:S,MATCH(A:A,'State Redistribution Calc'!A:A,0)),INDEX('Non-State Redistribution Calc'!AD:AD,MATCH(A:A,'Non-State Redistribution Calc'!A:A,0)))</f>
        <v>339383.27</v>
      </c>
      <c r="F137" s="84">
        <f>IFERROR(INDEX('State Redistribution Calc'!T:T,MATCH(A:A,'State Redistribution Calc'!A:A,0)),INDEX('Non-State Redistribution Calc'!AI:AI,MATCH(A:A,'Non-State Redistribution Calc'!A:A,0)))</f>
        <v>0</v>
      </c>
    </row>
    <row r="138" spans="1:6" x14ac:dyDescent="0.2">
      <c r="A138" s="45" t="s">
        <v>230</v>
      </c>
      <c r="B138" s="43" t="s">
        <v>363</v>
      </c>
      <c r="C138" s="15" t="str">
        <f>IFERROR(INDEX('State Redistribution Calc'!C:C,MATCH(A:A,'State Redistribution Calc'!A:A,0)),INDEX('Non-State Redistribution Calc'!C:C,MATCH(A:A,'Non-State Redistribution Calc'!A:A,0)))</f>
        <v>Cameron</v>
      </c>
      <c r="D138" s="15" t="s">
        <v>137</v>
      </c>
      <c r="E138" s="84">
        <f>IFERROR(INDEX('State Redistribution Calc'!S:S,MATCH(A:A,'State Redistribution Calc'!A:A,0)),INDEX('Non-State Redistribution Calc'!AD:AD,MATCH(A:A,'Non-State Redistribution Calc'!A:A,0)))</f>
        <v>273482.14</v>
      </c>
      <c r="F138" s="84">
        <f>IFERROR(INDEX('State Redistribution Calc'!T:T,MATCH(A:A,'State Redistribution Calc'!A:A,0)),INDEX('Non-State Redistribution Calc'!AI:AI,MATCH(A:A,'Non-State Redistribution Calc'!A:A,0)))</f>
        <v>0</v>
      </c>
    </row>
    <row r="139" spans="1:6" x14ac:dyDescent="0.2">
      <c r="A139" s="45" t="s">
        <v>254</v>
      </c>
      <c r="B139" s="43" t="s">
        <v>362</v>
      </c>
      <c r="C139" s="15" t="str">
        <f>IFERROR(INDEX('State Redistribution Calc'!C:C,MATCH(A:A,'State Redistribution Calc'!A:A,0)),INDEX('Non-State Redistribution Calc'!C:C,MATCH(A:A,'Non-State Redistribution Calc'!A:A,0)))</f>
        <v>Webb</v>
      </c>
      <c r="D139" s="15" t="s">
        <v>137</v>
      </c>
      <c r="E139" s="84">
        <f>IFERROR(INDEX('State Redistribution Calc'!S:S,MATCH(A:A,'State Redistribution Calc'!A:A,0)),INDEX('Non-State Redistribution Calc'!AD:AD,MATCH(A:A,'Non-State Redistribution Calc'!A:A,0)))</f>
        <v>268361.74</v>
      </c>
      <c r="F139" s="84">
        <f>IFERROR(INDEX('State Redistribution Calc'!T:T,MATCH(A:A,'State Redistribution Calc'!A:A,0)),INDEX('Non-State Redistribution Calc'!AI:AI,MATCH(A:A,'Non-State Redistribution Calc'!A:A,0)))</f>
        <v>0</v>
      </c>
    </row>
    <row r="140" spans="1:6" x14ac:dyDescent="0.2">
      <c r="A140" s="45" t="s">
        <v>166</v>
      </c>
      <c r="B140" s="43" t="s">
        <v>357</v>
      </c>
      <c r="C140" s="15" t="str">
        <f>IFERROR(INDEX('State Redistribution Calc'!C:C,MATCH(A:A,'State Redistribution Calc'!A:A,0)),INDEX('Non-State Redistribution Calc'!C:C,MATCH(A:A,'Non-State Redistribution Calc'!A:A,0)))</f>
        <v>Cameron</v>
      </c>
      <c r="D140" s="15" t="s">
        <v>137</v>
      </c>
      <c r="E140" s="84">
        <f>IFERROR(INDEX('State Redistribution Calc'!S:S,MATCH(A:A,'State Redistribution Calc'!A:A,0)),INDEX('Non-State Redistribution Calc'!AD:AD,MATCH(A:A,'Non-State Redistribution Calc'!A:A,0)))</f>
        <v>115424.3</v>
      </c>
      <c r="F140" s="84">
        <f>IFERROR(INDEX('State Redistribution Calc'!T:T,MATCH(A:A,'State Redistribution Calc'!A:A,0)),INDEX('Non-State Redistribution Calc'!AI:AI,MATCH(A:A,'Non-State Redistribution Calc'!A:A,0)))</f>
        <v>0</v>
      </c>
    </row>
    <row r="141" spans="1:6" x14ac:dyDescent="0.2">
      <c r="A141" s="45" t="s">
        <v>186</v>
      </c>
      <c r="B141" s="43" t="s">
        <v>443</v>
      </c>
      <c r="C141" s="15" t="str">
        <f>IFERROR(INDEX('State Redistribution Calc'!C:C,MATCH(A:A,'State Redistribution Calc'!A:A,0)),INDEX('Non-State Redistribution Calc'!C:C,MATCH(A:A,'Non-State Redistribution Calc'!A:A,0)))</f>
        <v>Travis</v>
      </c>
      <c r="D141" s="15" t="s">
        <v>137</v>
      </c>
      <c r="E141" s="84">
        <f>IFERROR(INDEX('State Redistribution Calc'!S:S,MATCH(A:A,'State Redistribution Calc'!A:A,0)),INDEX('Non-State Redistribution Calc'!AD:AD,MATCH(A:A,'Non-State Redistribution Calc'!A:A,0)))</f>
        <v>170097.01</v>
      </c>
      <c r="F141" s="84">
        <f>IFERROR(INDEX('State Redistribution Calc'!T:T,MATCH(A:A,'State Redistribution Calc'!A:A,0)),INDEX('Non-State Redistribution Calc'!AI:AI,MATCH(A:A,'Non-State Redistribution Calc'!A:A,0)))</f>
        <v>0</v>
      </c>
    </row>
    <row r="142" spans="1:6" x14ac:dyDescent="0.2">
      <c r="A142" s="45" t="s">
        <v>249</v>
      </c>
      <c r="B142" s="43" t="s">
        <v>378</v>
      </c>
      <c r="C142" s="15" t="str">
        <f>IFERROR(INDEX('State Redistribution Calc'!C:C,MATCH(A:A,'State Redistribution Calc'!A:A,0)),INDEX('Non-State Redistribution Calc'!C:C,MATCH(A:A,'Non-State Redistribution Calc'!A:A,0)))</f>
        <v>Lubbock</v>
      </c>
      <c r="D142" s="15" t="s">
        <v>137</v>
      </c>
      <c r="E142" s="84">
        <f>IFERROR(INDEX('State Redistribution Calc'!S:S,MATCH(A:A,'State Redistribution Calc'!A:A,0)),INDEX('Non-State Redistribution Calc'!AD:AD,MATCH(A:A,'Non-State Redistribution Calc'!A:A,0)))</f>
        <v>494980.14</v>
      </c>
      <c r="F142" s="84">
        <f>IFERROR(INDEX('State Redistribution Calc'!T:T,MATCH(A:A,'State Redistribution Calc'!A:A,0)),INDEX('Non-State Redistribution Calc'!AI:AI,MATCH(A:A,'Non-State Redistribution Calc'!A:A,0)))</f>
        <v>0</v>
      </c>
    </row>
    <row r="143" spans="1:6" x14ac:dyDescent="0.2">
      <c r="A143" s="45" t="s">
        <v>159</v>
      </c>
      <c r="B143" s="43" t="s">
        <v>344</v>
      </c>
      <c r="C143" s="15" t="str">
        <f>IFERROR(INDEX('State Redistribution Calc'!C:C,MATCH(A:A,'State Redistribution Calc'!A:A,0)),INDEX('Non-State Redistribution Calc'!C:C,MATCH(A:A,'Non-State Redistribution Calc'!A:A,0)))</f>
        <v>Harris</v>
      </c>
      <c r="D143" s="15" t="s">
        <v>137</v>
      </c>
      <c r="E143" s="84">
        <f>IFERROR(INDEX('State Redistribution Calc'!S:S,MATCH(A:A,'State Redistribution Calc'!A:A,0)),INDEX('Non-State Redistribution Calc'!AD:AD,MATCH(A:A,'Non-State Redistribution Calc'!A:A,0)))</f>
        <v>241717.64</v>
      </c>
      <c r="F143" s="84">
        <f>IFERROR(INDEX('State Redistribution Calc'!T:T,MATCH(A:A,'State Redistribution Calc'!A:A,0)),INDEX('Non-State Redistribution Calc'!AI:AI,MATCH(A:A,'Non-State Redistribution Calc'!A:A,0)))</f>
        <v>0</v>
      </c>
    </row>
    <row r="144" spans="1:6" x14ac:dyDescent="0.2">
      <c r="A144" s="45" t="s">
        <v>269</v>
      </c>
      <c r="B144" s="43" t="s">
        <v>380</v>
      </c>
      <c r="C144" s="15" t="str">
        <f>IFERROR(INDEX('State Redistribution Calc'!C:C,MATCH(A:A,'State Redistribution Calc'!A:A,0)),INDEX('Non-State Redistribution Calc'!C:C,MATCH(A:A,'Non-State Redistribution Calc'!A:A,0)))</f>
        <v>Potter</v>
      </c>
      <c r="D144" s="15" t="s">
        <v>137</v>
      </c>
      <c r="E144" s="84">
        <f>IFERROR(INDEX('State Redistribution Calc'!S:S,MATCH(A:A,'State Redistribution Calc'!A:A,0)),INDEX('Non-State Redistribution Calc'!AD:AD,MATCH(A:A,'Non-State Redistribution Calc'!A:A,0)))</f>
        <v>362680.99</v>
      </c>
      <c r="F144" s="84">
        <f>IFERROR(INDEX('State Redistribution Calc'!T:T,MATCH(A:A,'State Redistribution Calc'!A:A,0)),INDEX('Non-State Redistribution Calc'!AI:AI,MATCH(A:A,'Non-State Redistribution Calc'!A:A,0)))</f>
        <v>0</v>
      </c>
    </row>
    <row r="145" spans="1:6" x14ac:dyDescent="0.2">
      <c r="A145" s="45" t="s">
        <v>115</v>
      </c>
      <c r="B145" s="43" t="s">
        <v>424</v>
      </c>
      <c r="C145" s="15" t="str">
        <f>IFERROR(INDEX('State Redistribution Calc'!C:C,MATCH(A:A,'State Redistribution Calc'!A:A,0)),INDEX('Non-State Redistribution Calc'!C:C,MATCH(A:A,'Non-State Redistribution Calc'!A:A,0)))</f>
        <v>Midland</v>
      </c>
      <c r="D145" s="15" t="s">
        <v>77</v>
      </c>
      <c r="E145" s="84">
        <f>IFERROR(INDEX('State Redistribution Calc'!S:S,MATCH(A:A,'State Redistribution Calc'!A:A,0)),INDEX('Non-State Redistribution Calc'!AD:AD,MATCH(A:A,'Non-State Redistribution Calc'!A:A,0)))</f>
        <v>310856.84000000003</v>
      </c>
      <c r="F145" s="84">
        <f>IFERROR(INDEX('State Redistribution Calc'!T:T,MATCH(A:A,'State Redistribution Calc'!A:A,0)),INDEX('Non-State Redistribution Calc'!AI:AI,MATCH(A:A,'Non-State Redistribution Calc'!A:A,0)))</f>
        <v>102334.07</v>
      </c>
    </row>
    <row r="146" spans="1:6" x14ac:dyDescent="0.2">
      <c r="A146" s="45" t="s">
        <v>211</v>
      </c>
      <c r="B146" s="43" t="s">
        <v>310</v>
      </c>
      <c r="C146" s="15" t="str">
        <f>IFERROR(INDEX('State Redistribution Calc'!C:C,MATCH(A:A,'State Redistribution Calc'!A:A,0)),INDEX('Non-State Redistribution Calc'!C:C,MATCH(A:A,'Non-State Redistribution Calc'!A:A,0)))</f>
        <v>Brazos</v>
      </c>
      <c r="D146" s="15" t="s">
        <v>137</v>
      </c>
      <c r="E146" s="84">
        <f>IFERROR(INDEX('State Redistribution Calc'!S:S,MATCH(A:A,'State Redistribution Calc'!A:A,0)),INDEX('Non-State Redistribution Calc'!AD:AD,MATCH(A:A,'Non-State Redistribution Calc'!A:A,0)))</f>
        <v>456208.37</v>
      </c>
      <c r="F146" s="84">
        <f>IFERROR(INDEX('State Redistribution Calc'!T:T,MATCH(A:A,'State Redistribution Calc'!A:A,0)),INDEX('Non-State Redistribution Calc'!AI:AI,MATCH(A:A,'Non-State Redistribution Calc'!A:A,0)))</f>
        <v>0</v>
      </c>
    </row>
    <row r="147" spans="1:6" x14ac:dyDescent="0.2">
      <c r="A147" s="45" t="s">
        <v>208</v>
      </c>
      <c r="B147" s="43" t="s">
        <v>349</v>
      </c>
      <c r="C147" s="15" t="str">
        <f>IFERROR(INDEX('State Redistribution Calc'!C:C,MATCH(A:A,'State Redistribution Calc'!A:A,0)),INDEX('Non-State Redistribution Calc'!C:C,MATCH(A:A,'Non-State Redistribution Calc'!A:A,0)))</f>
        <v>Harris</v>
      </c>
      <c r="D147" s="15" t="s">
        <v>137</v>
      </c>
      <c r="E147" s="84">
        <f>IFERROR(INDEX('State Redistribution Calc'!S:S,MATCH(A:A,'State Redistribution Calc'!A:A,0)),INDEX('Non-State Redistribution Calc'!AD:AD,MATCH(A:A,'Non-State Redistribution Calc'!A:A,0)))</f>
        <v>261630.92</v>
      </c>
      <c r="F147" s="84">
        <f>IFERROR(INDEX('State Redistribution Calc'!T:T,MATCH(A:A,'State Redistribution Calc'!A:A,0)),INDEX('Non-State Redistribution Calc'!AI:AI,MATCH(A:A,'Non-State Redistribution Calc'!A:A,0)))</f>
        <v>0</v>
      </c>
    </row>
    <row r="148" spans="1:6" x14ac:dyDescent="0.2">
      <c r="A148" s="45" t="s">
        <v>240</v>
      </c>
      <c r="B148" s="43" t="s">
        <v>368</v>
      </c>
      <c r="C148" s="15" t="str">
        <f>IFERROR(INDEX('State Redistribution Calc'!C:C,MATCH(A:A,'State Redistribution Calc'!A:A,0)),INDEX('Non-State Redistribution Calc'!C:C,MATCH(A:A,'Non-State Redistribution Calc'!A:A,0)))</f>
        <v>Jefferson</v>
      </c>
      <c r="D148" s="15" t="s">
        <v>137</v>
      </c>
      <c r="E148" s="84">
        <f>IFERROR(INDEX('State Redistribution Calc'!S:S,MATCH(A:A,'State Redistribution Calc'!A:A,0)),INDEX('Non-State Redistribution Calc'!AD:AD,MATCH(A:A,'Non-State Redistribution Calc'!A:A,0)))</f>
        <v>529595.76</v>
      </c>
      <c r="F148" s="84">
        <f>IFERROR(INDEX('State Redistribution Calc'!T:T,MATCH(A:A,'State Redistribution Calc'!A:A,0)),INDEX('Non-State Redistribution Calc'!AI:AI,MATCH(A:A,'Non-State Redistribution Calc'!A:A,0)))</f>
        <v>0</v>
      </c>
    </row>
    <row r="149" spans="1:6" x14ac:dyDescent="0.2">
      <c r="A149" s="45" t="s">
        <v>273</v>
      </c>
      <c r="B149" s="43" t="s">
        <v>348</v>
      </c>
      <c r="C149" s="15" t="str">
        <f>IFERROR(INDEX('State Redistribution Calc'!C:C,MATCH(A:A,'State Redistribution Calc'!A:A,0)),INDEX('Non-State Redistribution Calc'!C:C,MATCH(A:A,'Non-State Redistribution Calc'!A:A,0)))</f>
        <v>Harris</v>
      </c>
      <c r="D149" s="15" t="s">
        <v>137</v>
      </c>
      <c r="E149" s="84">
        <f>IFERROR(INDEX('State Redistribution Calc'!S:S,MATCH(A:A,'State Redistribution Calc'!A:A,0)),INDEX('Non-State Redistribution Calc'!AD:AD,MATCH(A:A,'Non-State Redistribution Calc'!A:A,0)))</f>
        <v>311307.27</v>
      </c>
      <c r="F149" s="84">
        <f>IFERROR(INDEX('State Redistribution Calc'!T:T,MATCH(A:A,'State Redistribution Calc'!A:A,0)),INDEX('Non-State Redistribution Calc'!AI:AI,MATCH(A:A,'Non-State Redistribution Calc'!A:A,0)))</f>
        <v>0</v>
      </c>
    </row>
    <row r="150" spans="1:6" x14ac:dyDescent="0.2">
      <c r="A150" s="45" t="s">
        <v>241</v>
      </c>
      <c r="B150" s="43" t="s">
        <v>242</v>
      </c>
      <c r="C150" s="15" t="str">
        <f>IFERROR(INDEX('State Redistribution Calc'!C:C,MATCH(A:A,'State Redistribution Calc'!A:A,0)),INDEX('Non-State Redistribution Calc'!C:C,MATCH(A:A,'Non-State Redistribution Calc'!A:A,0)))</f>
        <v>Taylor</v>
      </c>
      <c r="D150" s="15" t="s">
        <v>137</v>
      </c>
      <c r="E150" s="84">
        <f>IFERROR(INDEX('State Redistribution Calc'!S:S,MATCH(A:A,'State Redistribution Calc'!A:A,0)),INDEX('Non-State Redistribution Calc'!AD:AD,MATCH(A:A,'Non-State Redistribution Calc'!A:A,0)))</f>
        <v>399746.16</v>
      </c>
      <c r="F150" s="84">
        <f>IFERROR(INDEX('State Redistribution Calc'!T:T,MATCH(A:A,'State Redistribution Calc'!A:A,0)),INDEX('Non-State Redistribution Calc'!AI:AI,MATCH(A:A,'Non-State Redistribution Calc'!A:A,0)))</f>
        <v>0</v>
      </c>
    </row>
    <row r="151" spans="1:6" x14ac:dyDescent="0.2">
      <c r="A151" s="45" t="s">
        <v>169</v>
      </c>
      <c r="B151" s="43" t="s">
        <v>432</v>
      </c>
      <c r="C151" s="15" t="str">
        <f>IFERROR(INDEX('State Redistribution Calc'!C:C,MATCH(A:A,'State Redistribution Calc'!A:A,0)),INDEX('Non-State Redistribution Calc'!C:C,MATCH(A:A,'Non-State Redistribution Calc'!A:A,0)))</f>
        <v>Nueces</v>
      </c>
      <c r="D151" s="15" t="s">
        <v>137</v>
      </c>
      <c r="E151" s="84">
        <f>IFERROR(INDEX('State Redistribution Calc'!S:S,MATCH(A:A,'State Redistribution Calc'!A:A,0)),INDEX('Non-State Redistribution Calc'!AD:AD,MATCH(A:A,'Non-State Redistribution Calc'!A:A,0)))</f>
        <v>331826.84999999998</v>
      </c>
      <c r="F151" s="84">
        <f>IFERROR(INDEX('State Redistribution Calc'!T:T,MATCH(A:A,'State Redistribution Calc'!A:A,0)),INDEX('Non-State Redistribution Calc'!AI:AI,MATCH(A:A,'Non-State Redistribution Calc'!A:A,0)))</f>
        <v>0</v>
      </c>
    </row>
    <row r="152" spans="1:6" x14ac:dyDescent="0.2">
      <c r="A152" s="45" t="s">
        <v>158</v>
      </c>
      <c r="B152" s="43" t="s">
        <v>402</v>
      </c>
      <c r="C152" s="15" t="str">
        <f>IFERROR(INDEX('State Redistribution Calc'!C:C,MATCH(A:A,'State Redistribution Calc'!A:A,0)),INDEX('Non-State Redistribution Calc'!C:C,MATCH(A:A,'Non-State Redistribution Calc'!A:A,0)))</f>
        <v>Smith</v>
      </c>
      <c r="D152" s="15" t="s">
        <v>137</v>
      </c>
      <c r="E152" s="84">
        <f>IFERROR(INDEX('State Redistribution Calc'!S:S,MATCH(A:A,'State Redistribution Calc'!A:A,0)),INDEX('Non-State Redistribution Calc'!AD:AD,MATCH(A:A,'Non-State Redistribution Calc'!A:A,0)))</f>
        <v>433304.9</v>
      </c>
      <c r="F152" s="84">
        <f>IFERROR(INDEX('State Redistribution Calc'!T:T,MATCH(A:A,'State Redistribution Calc'!A:A,0)),INDEX('Non-State Redistribution Calc'!AI:AI,MATCH(A:A,'Non-State Redistribution Calc'!A:A,0)))</f>
        <v>0</v>
      </c>
    </row>
    <row r="153" spans="1:6" x14ac:dyDescent="0.2">
      <c r="A153" s="45" t="s">
        <v>252</v>
      </c>
      <c r="B153" s="43" t="s">
        <v>253</v>
      </c>
      <c r="C153" s="15" t="str">
        <f>IFERROR(INDEX('State Redistribution Calc'!C:C,MATCH(A:A,'State Redistribution Calc'!A:A,0)),INDEX('Non-State Redistribution Calc'!C:C,MATCH(A:A,'Non-State Redistribution Calc'!A:A,0)))</f>
        <v>Hidalgo</v>
      </c>
      <c r="D153" s="15" t="s">
        <v>137</v>
      </c>
      <c r="E153" s="84">
        <f>IFERROR(INDEX('State Redistribution Calc'!S:S,MATCH(A:A,'State Redistribution Calc'!A:A,0)),INDEX('Non-State Redistribution Calc'!AD:AD,MATCH(A:A,'Non-State Redistribution Calc'!A:A,0)))</f>
        <v>223035.65</v>
      </c>
      <c r="F153" s="84">
        <f>IFERROR(INDEX('State Redistribution Calc'!T:T,MATCH(A:A,'State Redistribution Calc'!A:A,0)),INDEX('Non-State Redistribution Calc'!AI:AI,MATCH(A:A,'Non-State Redistribution Calc'!A:A,0)))</f>
        <v>0</v>
      </c>
    </row>
    <row r="154" spans="1:6" x14ac:dyDescent="0.2">
      <c r="A154" s="45" t="s">
        <v>167</v>
      </c>
      <c r="B154" s="43" t="s">
        <v>437</v>
      </c>
      <c r="C154" s="15" t="str">
        <f>IFERROR(INDEX('State Redistribution Calc'!C:C,MATCH(A:A,'State Redistribution Calc'!A:A,0)),INDEX('Non-State Redistribution Calc'!C:C,MATCH(A:A,'Non-State Redistribution Calc'!A:A,0)))</f>
        <v>Tarrant</v>
      </c>
      <c r="D154" s="15" t="s">
        <v>137</v>
      </c>
      <c r="E154" s="84">
        <f>IFERROR(INDEX('State Redistribution Calc'!S:S,MATCH(A:A,'State Redistribution Calc'!A:A,0)),INDEX('Non-State Redistribution Calc'!AD:AD,MATCH(A:A,'Non-State Redistribution Calc'!A:A,0)))</f>
        <v>364377.62</v>
      </c>
      <c r="F154" s="84">
        <f>IFERROR(INDEX('State Redistribution Calc'!T:T,MATCH(A:A,'State Redistribution Calc'!A:A,0)),INDEX('Non-State Redistribution Calc'!AI:AI,MATCH(A:A,'Non-State Redistribution Calc'!A:A,0)))</f>
        <v>0</v>
      </c>
    </row>
    <row r="155" spans="1:6" x14ac:dyDescent="0.2">
      <c r="A155" s="45" t="s">
        <v>220</v>
      </c>
      <c r="B155" s="43" t="s">
        <v>221</v>
      </c>
      <c r="C155" s="15" t="str">
        <f>IFERROR(INDEX('State Redistribution Calc'!C:C,MATCH(A:A,'State Redistribution Calc'!A:A,0)),INDEX('Non-State Redistribution Calc'!C:C,MATCH(A:A,'Non-State Redistribution Calc'!A:A,0)))</f>
        <v>Dallas</v>
      </c>
      <c r="D155" s="15" t="s">
        <v>137</v>
      </c>
      <c r="E155" s="84">
        <f>IFERROR(INDEX('State Redistribution Calc'!S:S,MATCH(A:A,'State Redistribution Calc'!A:A,0)),INDEX('Non-State Redistribution Calc'!AD:AD,MATCH(A:A,'Non-State Redistribution Calc'!A:A,0)))</f>
        <v>678139.45</v>
      </c>
      <c r="F155" s="84">
        <f>IFERROR(INDEX('State Redistribution Calc'!T:T,MATCH(A:A,'State Redistribution Calc'!A:A,0)),INDEX('Non-State Redistribution Calc'!AI:AI,MATCH(A:A,'Non-State Redistribution Calc'!A:A,0)))</f>
        <v>0</v>
      </c>
    </row>
    <row r="156" spans="1:6" x14ac:dyDescent="0.2">
      <c r="A156" s="45" t="s">
        <v>278</v>
      </c>
      <c r="B156" s="43" t="s">
        <v>355</v>
      </c>
      <c r="C156" s="15" t="str">
        <f>IFERROR(INDEX('State Redistribution Calc'!C:C,MATCH(A:A,'State Redistribution Calc'!A:A,0)),INDEX('Non-State Redistribution Calc'!C:C,MATCH(A:A,'Non-State Redistribution Calc'!A:A,0)))</f>
        <v>Harris</v>
      </c>
      <c r="D156" s="15" t="s">
        <v>137</v>
      </c>
      <c r="E156" s="84">
        <f>IFERROR(INDEX('State Redistribution Calc'!S:S,MATCH(A:A,'State Redistribution Calc'!A:A,0)),INDEX('Non-State Redistribution Calc'!AD:AD,MATCH(A:A,'Non-State Redistribution Calc'!A:A,0)))</f>
        <v>432892.52</v>
      </c>
      <c r="F156" s="84">
        <f>IFERROR(INDEX('State Redistribution Calc'!T:T,MATCH(A:A,'State Redistribution Calc'!A:A,0)),INDEX('Non-State Redistribution Calc'!AI:AI,MATCH(A:A,'Non-State Redistribution Calc'!A:A,0)))</f>
        <v>0</v>
      </c>
    </row>
    <row r="157" spans="1:6" x14ac:dyDescent="0.2">
      <c r="A157" s="45" t="s">
        <v>174</v>
      </c>
      <c r="B157" s="43" t="s">
        <v>340</v>
      </c>
      <c r="C157" s="15" t="str">
        <f>IFERROR(INDEX('State Redistribution Calc'!C:C,MATCH(A:A,'State Redistribution Calc'!A:A,0)),INDEX('Non-State Redistribution Calc'!C:C,MATCH(A:A,'Non-State Redistribution Calc'!A:A,0)))</f>
        <v>El Paso</v>
      </c>
      <c r="D157" s="15" t="s">
        <v>137</v>
      </c>
      <c r="E157" s="84">
        <f>IFERROR(INDEX('State Redistribution Calc'!S:S,MATCH(A:A,'State Redistribution Calc'!A:A,0)),INDEX('Non-State Redistribution Calc'!AD:AD,MATCH(A:A,'Non-State Redistribution Calc'!A:A,0)))</f>
        <v>146383.09</v>
      </c>
      <c r="F157" s="84">
        <f>IFERROR(INDEX('State Redistribution Calc'!T:T,MATCH(A:A,'State Redistribution Calc'!A:A,0)),INDEX('Non-State Redistribution Calc'!AI:AI,MATCH(A:A,'Non-State Redistribution Calc'!A:A,0)))</f>
        <v>0</v>
      </c>
    </row>
    <row r="158" spans="1:6" x14ac:dyDescent="0.2">
      <c r="A158" s="45" t="s">
        <v>236</v>
      </c>
      <c r="B158" s="43" t="s">
        <v>376</v>
      </c>
      <c r="C158" s="15" t="str">
        <f>IFERROR(INDEX('State Redistribution Calc'!C:C,MATCH(A:A,'State Redistribution Calc'!A:A,0)),INDEX('Non-State Redistribution Calc'!C:C,MATCH(A:A,'Non-State Redistribution Calc'!A:A,0)))</f>
        <v>Potter</v>
      </c>
      <c r="D158" s="15" t="s">
        <v>137</v>
      </c>
      <c r="E158" s="84">
        <f>IFERROR(INDEX('State Redistribution Calc'!S:S,MATCH(A:A,'State Redistribution Calc'!A:A,0)),INDEX('Non-State Redistribution Calc'!AD:AD,MATCH(A:A,'Non-State Redistribution Calc'!A:A,0)))</f>
        <v>321312.15999999997</v>
      </c>
      <c r="F158" s="84">
        <f>IFERROR(INDEX('State Redistribution Calc'!T:T,MATCH(A:A,'State Redistribution Calc'!A:A,0)),INDEX('Non-State Redistribution Calc'!AI:AI,MATCH(A:A,'Non-State Redistribution Calc'!A:A,0)))</f>
        <v>0</v>
      </c>
    </row>
    <row r="159" spans="1:6" x14ac:dyDescent="0.2">
      <c r="A159" s="45" t="s">
        <v>251</v>
      </c>
      <c r="B159" s="43" t="s">
        <v>327</v>
      </c>
      <c r="C159" s="15" t="str">
        <f>IFERROR(INDEX('State Redistribution Calc'!C:C,MATCH(A:A,'State Redistribution Calc'!A:A,0)),INDEX('Non-State Redistribution Calc'!C:C,MATCH(A:A,'Non-State Redistribution Calc'!A:A,0)))</f>
        <v>Bexar</v>
      </c>
      <c r="D159" s="15" t="s">
        <v>137</v>
      </c>
      <c r="E159" s="84">
        <f>IFERROR(INDEX('State Redistribution Calc'!S:S,MATCH(A:A,'State Redistribution Calc'!A:A,0)),INDEX('Non-State Redistribution Calc'!AD:AD,MATCH(A:A,'Non-State Redistribution Calc'!A:A,0)))</f>
        <v>891620.24</v>
      </c>
      <c r="F159" s="84">
        <f>IFERROR(INDEX('State Redistribution Calc'!T:T,MATCH(A:A,'State Redistribution Calc'!A:A,0)),INDEX('Non-State Redistribution Calc'!AI:AI,MATCH(A:A,'Non-State Redistribution Calc'!A:A,0)))</f>
        <v>0</v>
      </c>
    </row>
    <row r="160" spans="1:6" x14ac:dyDescent="0.2">
      <c r="A160" s="45" t="s">
        <v>175</v>
      </c>
      <c r="B160" s="43" t="s">
        <v>358</v>
      </c>
      <c r="C160" s="15" t="str">
        <f>IFERROR(INDEX('State Redistribution Calc'!C:C,MATCH(A:A,'State Redistribution Calc'!A:A,0)),INDEX('Non-State Redistribution Calc'!C:C,MATCH(A:A,'Non-State Redistribution Calc'!A:A,0)))</f>
        <v>Hidalgo</v>
      </c>
      <c r="D160" s="15" t="s">
        <v>137</v>
      </c>
      <c r="E160" s="84">
        <f>IFERROR(INDEX('State Redistribution Calc'!S:S,MATCH(A:A,'State Redistribution Calc'!A:A,0)),INDEX('Non-State Redistribution Calc'!AD:AD,MATCH(A:A,'Non-State Redistribution Calc'!A:A,0)))</f>
        <v>532344.87</v>
      </c>
      <c r="F160" s="84">
        <f>IFERROR(INDEX('State Redistribution Calc'!T:T,MATCH(A:A,'State Redistribution Calc'!A:A,0)),INDEX('Non-State Redistribution Calc'!AI:AI,MATCH(A:A,'Non-State Redistribution Calc'!A:A,0)))</f>
        <v>0</v>
      </c>
    </row>
    <row r="161" spans="1:6" x14ac:dyDescent="0.2">
      <c r="A161" s="45" t="s">
        <v>250</v>
      </c>
      <c r="B161" s="43" t="s">
        <v>305</v>
      </c>
      <c r="C161" s="15" t="str">
        <f>IFERROR(INDEX('State Redistribution Calc'!C:C,MATCH(A:A,'State Redistribution Calc'!A:A,0)),INDEX('Non-State Redistribution Calc'!C:C,MATCH(A:A,'Non-State Redistribution Calc'!A:A,0)))</f>
        <v>Dallas</v>
      </c>
      <c r="D161" s="15" t="s">
        <v>137</v>
      </c>
      <c r="E161" s="84">
        <f>IFERROR(INDEX('State Redistribution Calc'!S:S,MATCH(A:A,'State Redistribution Calc'!A:A,0)),INDEX('Non-State Redistribution Calc'!AD:AD,MATCH(A:A,'Non-State Redistribution Calc'!A:A,0)))</f>
        <v>1085828.8700000001</v>
      </c>
      <c r="F161" s="84">
        <f>IFERROR(INDEX('State Redistribution Calc'!T:T,MATCH(A:A,'State Redistribution Calc'!A:A,0)),INDEX('Non-State Redistribution Calc'!AI:AI,MATCH(A:A,'Non-State Redistribution Calc'!A:A,0)))</f>
        <v>0</v>
      </c>
    </row>
    <row r="162" spans="1:6" x14ac:dyDescent="0.2">
      <c r="A162" s="45" t="s">
        <v>140</v>
      </c>
      <c r="B162" s="43" t="s">
        <v>141</v>
      </c>
      <c r="C162" s="15" t="str">
        <f>IFERROR(INDEX('State Redistribution Calc'!C:C,MATCH(A:A,'State Redistribution Calc'!A:A,0)),INDEX('Non-State Redistribution Calc'!C:C,MATCH(A:A,'Non-State Redistribution Calc'!A:A,0)))</f>
        <v>Dallas</v>
      </c>
      <c r="D162" s="42" t="s">
        <v>36</v>
      </c>
      <c r="E162" s="84">
        <f>IFERROR(INDEX('State Redistribution Calc'!S:S,MATCH(A:A,'State Redistribution Calc'!A:A,0)),INDEX('Non-State Redistribution Calc'!AD:AD,MATCH(A:A,'Non-State Redistribution Calc'!A:A,0)))</f>
        <v>820786.29</v>
      </c>
      <c r="F162" s="84">
        <f>IFERROR(INDEX('State Redistribution Calc'!T:T,MATCH(A:A,'State Redistribution Calc'!A:A,0)),INDEX('Non-State Redistribution Calc'!AI:AI,MATCH(A:A,'Non-State Redistribution Calc'!A:A,0)))</f>
        <v>270202.84999999998</v>
      </c>
    </row>
    <row r="163" spans="1:6" x14ac:dyDescent="0.2">
      <c r="A163" s="45" t="s">
        <v>165</v>
      </c>
      <c r="B163" s="43" t="s">
        <v>330</v>
      </c>
      <c r="C163" s="15" t="str">
        <f>IFERROR(INDEX('State Redistribution Calc'!C:C,MATCH(A:A,'State Redistribution Calc'!A:A,0)),INDEX('Non-State Redistribution Calc'!C:C,MATCH(A:A,'Non-State Redistribution Calc'!A:A,0)))</f>
        <v>Dallas</v>
      </c>
      <c r="D163" s="15" t="s">
        <v>137</v>
      </c>
      <c r="E163" s="84">
        <f>IFERROR(INDEX('State Redistribution Calc'!S:S,MATCH(A:A,'State Redistribution Calc'!A:A,0)),INDEX('Non-State Redistribution Calc'!AD:AD,MATCH(A:A,'Non-State Redistribution Calc'!A:A,0)))</f>
        <v>320959.83</v>
      </c>
      <c r="F163" s="84">
        <f>IFERROR(INDEX('State Redistribution Calc'!T:T,MATCH(A:A,'State Redistribution Calc'!A:A,0)),INDEX('Non-State Redistribution Calc'!AI:AI,MATCH(A:A,'Non-State Redistribution Calc'!A:A,0)))</f>
        <v>0</v>
      </c>
    </row>
    <row r="164" spans="1:6" x14ac:dyDescent="0.2">
      <c r="A164" s="45" t="s">
        <v>298</v>
      </c>
      <c r="B164" s="43" t="s">
        <v>333</v>
      </c>
      <c r="C164" s="15" t="str">
        <f>IFERROR(INDEX('State Redistribution Calc'!C:C,MATCH(A:A,'State Redistribution Calc'!A:A,0)),INDEX('Non-State Redistribution Calc'!C:C,MATCH(A:A,'Non-State Redistribution Calc'!A:A,0)))</f>
        <v>Collin</v>
      </c>
      <c r="D164" s="15" t="s">
        <v>137</v>
      </c>
      <c r="E164" s="84">
        <f>IFERROR(INDEX('State Redistribution Calc'!S:S,MATCH(A:A,'State Redistribution Calc'!A:A,0)),INDEX('Non-State Redistribution Calc'!AD:AD,MATCH(A:A,'Non-State Redistribution Calc'!A:A,0)))</f>
        <v>453202.65</v>
      </c>
      <c r="F164" s="84">
        <f>IFERROR(INDEX('State Redistribution Calc'!T:T,MATCH(A:A,'State Redistribution Calc'!A:A,0)),INDEX('Non-State Redistribution Calc'!AI:AI,MATCH(A:A,'Non-State Redistribution Calc'!A:A,0)))</f>
        <v>0</v>
      </c>
    </row>
    <row r="165" spans="1:6" x14ac:dyDescent="0.2">
      <c r="A165" s="45" t="s">
        <v>237</v>
      </c>
      <c r="B165" s="43" t="s">
        <v>386</v>
      </c>
      <c r="C165" s="15" t="str">
        <f>IFERROR(INDEX('State Redistribution Calc'!C:C,MATCH(A:A,'State Redistribution Calc'!A:A,0)),INDEX('Non-State Redistribution Calc'!C:C,MATCH(A:A,'Non-State Redistribution Calc'!A:A,0)))</f>
        <v>Bell</v>
      </c>
      <c r="D165" s="15" t="s">
        <v>137</v>
      </c>
      <c r="E165" s="84">
        <f>IFERROR(INDEX('State Redistribution Calc'!S:S,MATCH(A:A,'State Redistribution Calc'!A:A,0)),INDEX('Non-State Redistribution Calc'!AD:AD,MATCH(A:A,'Non-State Redistribution Calc'!A:A,0)))</f>
        <v>959630.31</v>
      </c>
      <c r="F165" s="84">
        <f>IFERROR(INDEX('State Redistribution Calc'!T:T,MATCH(A:A,'State Redistribution Calc'!A:A,0)),INDEX('Non-State Redistribution Calc'!AI:AI,MATCH(A:A,'Non-State Redistribution Calc'!A:A,0)))</f>
        <v>0</v>
      </c>
    </row>
    <row r="166" spans="1:6" x14ac:dyDescent="0.2">
      <c r="A166" s="45" t="s">
        <v>194</v>
      </c>
      <c r="B166" s="43" t="s">
        <v>440</v>
      </c>
      <c r="C166" s="15" t="str">
        <f>IFERROR(INDEX('State Redistribution Calc'!C:C,MATCH(A:A,'State Redistribution Calc'!A:A,0)),INDEX('Non-State Redistribution Calc'!C:C,MATCH(A:A,'Non-State Redistribution Calc'!A:A,0)))</f>
        <v>Tarrant</v>
      </c>
      <c r="D166" s="15" t="s">
        <v>137</v>
      </c>
      <c r="E166" s="84">
        <f>IFERROR(INDEX('State Redistribution Calc'!S:S,MATCH(A:A,'State Redistribution Calc'!A:A,0)),INDEX('Non-State Redistribution Calc'!AD:AD,MATCH(A:A,'Non-State Redistribution Calc'!A:A,0)))</f>
        <v>869871.22</v>
      </c>
      <c r="F166" s="84">
        <f>IFERROR(INDEX('State Redistribution Calc'!T:T,MATCH(A:A,'State Redistribution Calc'!A:A,0)),INDEX('Non-State Redistribution Calc'!AI:AI,MATCH(A:A,'Non-State Redistribution Calc'!A:A,0)))</f>
        <v>0</v>
      </c>
    </row>
    <row r="167" spans="1:6" x14ac:dyDescent="0.2">
      <c r="A167" s="45" t="s">
        <v>180</v>
      </c>
      <c r="B167" s="43" t="s">
        <v>366</v>
      </c>
      <c r="C167" s="15" t="str">
        <f>IFERROR(INDEX('State Redistribution Calc'!C:C,MATCH(A:A,'State Redistribution Calc'!A:A,0)),INDEX('Non-State Redistribution Calc'!C:C,MATCH(A:A,'Non-State Redistribution Calc'!A:A,0)))</f>
        <v>Jefferson</v>
      </c>
      <c r="D167" s="15" t="s">
        <v>137</v>
      </c>
      <c r="E167" s="84">
        <f>IFERROR(INDEX('State Redistribution Calc'!S:S,MATCH(A:A,'State Redistribution Calc'!A:A,0)),INDEX('Non-State Redistribution Calc'!AD:AD,MATCH(A:A,'Non-State Redistribution Calc'!A:A,0)))</f>
        <v>364628.3</v>
      </c>
      <c r="F167" s="84">
        <f>IFERROR(INDEX('State Redistribution Calc'!T:T,MATCH(A:A,'State Redistribution Calc'!A:A,0)),INDEX('Non-State Redistribution Calc'!AI:AI,MATCH(A:A,'Non-State Redistribution Calc'!A:A,0)))</f>
        <v>0</v>
      </c>
    </row>
    <row r="168" spans="1:6" x14ac:dyDescent="0.2">
      <c r="A168" s="45" t="s">
        <v>173</v>
      </c>
      <c r="B168" s="43" t="s">
        <v>391</v>
      </c>
      <c r="C168" s="15" t="str">
        <f>IFERROR(INDEX('State Redistribution Calc'!C:C,MATCH(A:A,'State Redistribution Calc'!A:A,0)),INDEX('Non-State Redistribution Calc'!C:C,MATCH(A:A,'Non-State Redistribution Calc'!A:A,0)))</f>
        <v>Smith</v>
      </c>
      <c r="D168" s="15" t="s">
        <v>137</v>
      </c>
      <c r="E168" s="84">
        <f>IFERROR(INDEX('State Redistribution Calc'!S:S,MATCH(A:A,'State Redistribution Calc'!A:A,0)),INDEX('Non-State Redistribution Calc'!AD:AD,MATCH(A:A,'Non-State Redistribution Calc'!A:A,0)))</f>
        <v>723020.73</v>
      </c>
      <c r="F168" s="84">
        <f>IFERROR(INDEX('State Redistribution Calc'!T:T,MATCH(A:A,'State Redistribution Calc'!A:A,0)),INDEX('Non-State Redistribution Calc'!AI:AI,MATCH(A:A,'Non-State Redistribution Calc'!A:A,0)))</f>
        <v>0</v>
      </c>
    </row>
    <row r="169" spans="1:6" x14ac:dyDescent="0.2">
      <c r="A169" s="45" t="s">
        <v>193</v>
      </c>
      <c r="B169" s="43" t="s">
        <v>394</v>
      </c>
      <c r="C169" s="15" t="str">
        <f>IFERROR(INDEX('State Redistribution Calc'!C:C,MATCH(A:A,'State Redistribution Calc'!A:A,0)),INDEX('Non-State Redistribution Calc'!C:C,MATCH(A:A,'Non-State Redistribution Calc'!A:A,0)))</f>
        <v>Harrison</v>
      </c>
      <c r="D169" s="15" t="s">
        <v>137</v>
      </c>
      <c r="E169" s="84">
        <f>IFERROR(INDEX('State Redistribution Calc'!S:S,MATCH(A:A,'State Redistribution Calc'!A:A,0)),INDEX('Non-State Redistribution Calc'!AD:AD,MATCH(A:A,'Non-State Redistribution Calc'!A:A,0)))</f>
        <v>551371.43000000005</v>
      </c>
      <c r="F169" s="84">
        <f>IFERROR(INDEX('State Redistribution Calc'!T:T,MATCH(A:A,'State Redistribution Calc'!A:A,0)),INDEX('Non-State Redistribution Calc'!AI:AI,MATCH(A:A,'Non-State Redistribution Calc'!A:A,0)))</f>
        <v>0</v>
      </c>
    </row>
    <row r="170" spans="1:6" x14ac:dyDescent="0.2">
      <c r="A170" s="45" t="s">
        <v>162</v>
      </c>
      <c r="B170" s="43" t="s">
        <v>329</v>
      </c>
      <c r="C170" s="15" t="str">
        <f>IFERROR(INDEX('State Redistribution Calc'!C:C,MATCH(A:A,'State Redistribution Calc'!A:A,0)),INDEX('Non-State Redistribution Calc'!C:C,MATCH(A:A,'Non-State Redistribution Calc'!A:A,0)))</f>
        <v>Dallas</v>
      </c>
      <c r="D170" s="15" t="s">
        <v>137</v>
      </c>
      <c r="E170" s="84">
        <f>IFERROR(INDEX('State Redistribution Calc'!S:S,MATCH(A:A,'State Redistribution Calc'!A:A,0)),INDEX('Non-State Redistribution Calc'!AD:AD,MATCH(A:A,'Non-State Redistribution Calc'!A:A,0)))</f>
        <v>657251.24</v>
      </c>
      <c r="F170" s="84">
        <f>IFERROR(INDEX('State Redistribution Calc'!T:T,MATCH(A:A,'State Redistribution Calc'!A:A,0)),INDEX('Non-State Redistribution Calc'!AI:AI,MATCH(A:A,'Non-State Redistribution Calc'!A:A,0)))</f>
        <v>0</v>
      </c>
    </row>
    <row r="171" spans="1:6" x14ac:dyDescent="0.2">
      <c r="A171" s="45" t="s">
        <v>257</v>
      </c>
      <c r="B171" s="43" t="s">
        <v>356</v>
      </c>
      <c r="C171" s="15" t="str">
        <f>IFERROR(INDEX('State Redistribution Calc'!C:C,MATCH(A:A,'State Redistribution Calc'!A:A,0)),INDEX('Non-State Redistribution Calc'!C:C,MATCH(A:A,'Non-State Redistribution Calc'!A:A,0)))</f>
        <v>Harris</v>
      </c>
      <c r="D171" s="15" t="s">
        <v>137</v>
      </c>
      <c r="E171" s="84">
        <f>IFERROR(INDEX('State Redistribution Calc'!S:S,MATCH(A:A,'State Redistribution Calc'!A:A,0)),INDEX('Non-State Redistribution Calc'!AD:AD,MATCH(A:A,'Non-State Redistribution Calc'!A:A,0)))</f>
        <v>560193.42000000004</v>
      </c>
      <c r="F171" s="84">
        <f>IFERROR(INDEX('State Redistribution Calc'!T:T,MATCH(A:A,'State Redistribution Calc'!A:A,0)),INDEX('Non-State Redistribution Calc'!AI:AI,MATCH(A:A,'Non-State Redistribution Calc'!A:A,0)))</f>
        <v>0</v>
      </c>
    </row>
    <row r="172" spans="1:6" x14ac:dyDescent="0.2">
      <c r="A172" s="45" t="s">
        <v>238</v>
      </c>
      <c r="B172" s="43" t="s">
        <v>352</v>
      </c>
      <c r="C172" s="15" t="str">
        <f>IFERROR(INDEX('State Redistribution Calc'!C:C,MATCH(A:A,'State Redistribution Calc'!A:A,0)),INDEX('Non-State Redistribution Calc'!C:C,MATCH(A:A,'Non-State Redistribution Calc'!A:A,0)))</f>
        <v>Harris</v>
      </c>
      <c r="D172" s="15" t="s">
        <v>137</v>
      </c>
      <c r="E172" s="84">
        <f>IFERROR(INDEX('State Redistribution Calc'!S:S,MATCH(A:A,'State Redistribution Calc'!A:A,0)),INDEX('Non-State Redistribution Calc'!AD:AD,MATCH(A:A,'Non-State Redistribution Calc'!A:A,0)))</f>
        <v>1545752.14</v>
      </c>
      <c r="F172" s="84">
        <f>IFERROR(INDEX('State Redistribution Calc'!T:T,MATCH(A:A,'State Redistribution Calc'!A:A,0)),INDEX('Non-State Redistribution Calc'!AI:AI,MATCH(A:A,'Non-State Redistribution Calc'!A:A,0)))</f>
        <v>0</v>
      </c>
    </row>
    <row r="173" spans="1:6" x14ac:dyDescent="0.2">
      <c r="A173" s="45" t="s">
        <v>160</v>
      </c>
      <c r="B173" s="43" t="s">
        <v>239</v>
      </c>
      <c r="C173" s="15" t="str">
        <f>IFERROR(INDEX('State Redistribution Calc'!C:C,MATCH(A:A,'State Redistribution Calc'!A:A,0)),INDEX('Non-State Redistribution Calc'!C:C,MATCH(A:A,'Non-State Redistribution Calc'!A:A,0)))</f>
        <v>Harris</v>
      </c>
      <c r="D173" s="15" t="s">
        <v>137</v>
      </c>
      <c r="E173" s="84">
        <f>IFERROR(INDEX('State Redistribution Calc'!S:S,MATCH(A:A,'State Redistribution Calc'!A:A,0)),INDEX('Non-State Redistribution Calc'!AD:AD,MATCH(A:A,'Non-State Redistribution Calc'!A:A,0)))</f>
        <v>2024688.72</v>
      </c>
      <c r="F173" s="84">
        <f>IFERROR(INDEX('State Redistribution Calc'!T:T,MATCH(A:A,'State Redistribution Calc'!A:A,0)),INDEX('Non-State Redistribution Calc'!AI:AI,MATCH(A:A,'Non-State Redistribution Calc'!A:A,0)))</f>
        <v>0</v>
      </c>
    </row>
    <row r="174" spans="1:6" x14ac:dyDescent="0.2">
      <c r="A174" s="45" t="s">
        <v>181</v>
      </c>
      <c r="B174" s="43" t="s">
        <v>324</v>
      </c>
      <c r="C174" s="15" t="str">
        <f>IFERROR(INDEX('State Redistribution Calc'!C:C,MATCH(A:A,'State Redistribution Calc'!A:A,0)),INDEX('Non-State Redistribution Calc'!C:C,MATCH(A:A,'Non-State Redistribution Calc'!A:A,0)))</f>
        <v>Bexar</v>
      </c>
      <c r="D174" s="15" t="s">
        <v>137</v>
      </c>
      <c r="E174" s="84">
        <f>IFERROR(INDEX('State Redistribution Calc'!S:S,MATCH(A:A,'State Redistribution Calc'!A:A,0)),INDEX('Non-State Redistribution Calc'!AD:AD,MATCH(A:A,'Non-State Redistribution Calc'!A:A,0)))</f>
        <v>1387811.48</v>
      </c>
      <c r="F174" s="84">
        <f>IFERROR(INDEX('State Redistribution Calc'!T:T,MATCH(A:A,'State Redistribution Calc'!A:A,0)),INDEX('Non-State Redistribution Calc'!AI:AI,MATCH(A:A,'Non-State Redistribution Calc'!A:A,0)))</f>
        <v>0</v>
      </c>
    </row>
    <row r="175" spans="1:6" x14ac:dyDescent="0.2">
      <c r="A175" s="45" t="s">
        <v>200</v>
      </c>
      <c r="B175" s="43" t="s">
        <v>201</v>
      </c>
      <c r="C175" s="15" t="str">
        <f>IFERROR(INDEX('State Redistribution Calc'!C:C,MATCH(A:A,'State Redistribution Calc'!A:A,0)),INDEX('Non-State Redistribution Calc'!C:C,MATCH(A:A,'Non-State Redistribution Calc'!A:A,0)))</f>
        <v>Navarro</v>
      </c>
      <c r="D175" s="15" t="s">
        <v>137</v>
      </c>
      <c r="E175" s="84">
        <f>IFERROR(INDEX('State Redistribution Calc'!S:S,MATCH(A:A,'State Redistribution Calc'!A:A,0)),INDEX('Non-State Redistribution Calc'!AD:AD,MATCH(A:A,'Non-State Redistribution Calc'!A:A,0)))</f>
        <v>14822.38</v>
      </c>
      <c r="F175" s="84">
        <f>IFERROR(INDEX('State Redistribution Calc'!T:T,MATCH(A:A,'State Redistribution Calc'!A:A,0)),INDEX('Non-State Redistribution Calc'!AI:AI,MATCH(A:A,'Non-State Redistribution Calc'!A:A,0)))</f>
        <v>0</v>
      </c>
    </row>
    <row r="176" spans="1:6" x14ac:dyDescent="0.2">
      <c r="A176" s="45" t="s">
        <v>156</v>
      </c>
      <c r="B176" s="43" t="s">
        <v>365</v>
      </c>
      <c r="C176" s="15" t="str">
        <f>IFERROR(INDEX('State Redistribution Calc'!C:C,MATCH(A:A,'State Redistribution Calc'!A:A,0)),INDEX('Non-State Redistribution Calc'!C:C,MATCH(A:A,'Non-State Redistribution Calc'!A:A,0)))</f>
        <v>Cameron</v>
      </c>
      <c r="D176" s="15" t="s">
        <v>145</v>
      </c>
      <c r="E176" s="84">
        <f>IFERROR(INDEX('State Redistribution Calc'!S:S,MATCH(A:A,'State Redistribution Calc'!A:A,0)),INDEX('Non-State Redistribution Calc'!AD:AD,MATCH(A:A,'Non-State Redistribution Calc'!A:A,0)))</f>
        <v>290.87</v>
      </c>
      <c r="F176" s="84">
        <f>IFERROR(INDEX('State Redistribution Calc'!T:T,MATCH(A:A,'State Redistribution Calc'!A:A,0)),INDEX('Non-State Redistribution Calc'!AI:AI,MATCH(A:A,'Non-State Redistribution Calc'!A:A,0)))</f>
        <v>0</v>
      </c>
    </row>
  </sheetData>
  <autoFilter ref="A4:F176" xr:uid="{2CFF2EE8-BB11-4FB5-BA26-2D9E0AA1B26A}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08C43D-5852-4101-A096-DA1A10EDA895}">
  <dimension ref="A1:T19"/>
  <sheetViews>
    <sheetView tabSelected="1" workbookViewId="0">
      <selection activeCell="S6" sqref="S6"/>
    </sheetView>
  </sheetViews>
  <sheetFormatPr defaultColWidth="8.796875" defaultRowHeight="15" x14ac:dyDescent="0.2"/>
  <cols>
    <col min="1" max="1" width="8.796875" style="52"/>
    <col min="2" max="2" width="16.09765625" style="7" customWidth="1"/>
    <col min="3" max="4" width="8.796875" style="52"/>
    <col min="5" max="5" width="8.796875" style="52" customWidth="1"/>
    <col min="6" max="6" width="11.59765625" style="52" customWidth="1"/>
    <col min="7" max="7" width="10.796875" style="52" customWidth="1"/>
    <col min="8" max="9" width="10.5" style="52" customWidth="1"/>
    <col min="10" max="10" width="11.296875" style="52" customWidth="1"/>
    <col min="11" max="11" width="12.19921875" style="52" customWidth="1"/>
    <col min="12" max="14" width="11.796875" style="52" customWidth="1"/>
    <col min="15" max="15" width="14.09765625" style="52" customWidth="1"/>
    <col min="16" max="17" width="11.796875" style="52" customWidth="1"/>
    <col min="18" max="18" width="11.09765625" style="52" bestFit="1" customWidth="1"/>
    <col min="19" max="19" width="13" style="52" customWidth="1"/>
    <col min="20" max="20" width="10.09765625" style="52" customWidth="1"/>
    <col min="21" max="16384" width="8.796875" style="52"/>
  </cols>
  <sheetData>
    <row r="1" spans="1:20" x14ac:dyDescent="0.2">
      <c r="A1" s="49" t="s">
        <v>35</v>
      </c>
      <c r="B1" s="12"/>
      <c r="C1" s="50"/>
      <c r="D1" s="50"/>
      <c r="E1" s="50"/>
      <c r="F1" s="51">
        <f t="shared" ref="F1:K1" si="0">SUMIF($E:$E,1,F:F)</f>
        <v>268518435.63223308</v>
      </c>
      <c r="G1" s="51">
        <f t="shared" si="0"/>
        <v>20902994.490000002</v>
      </c>
      <c r="H1" s="51">
        <f t="shared" si="0"/>
        <v>20859219.817805991</v>
      </c>
      <c r="I1" s="51">
        <f t="shared" si="0"/>
        <v>2092614.8421940091</v>
      </c>
      <c r="J1" s="51">
        <f t="shared" si="0"/>
        <v>266425820.79003909</v>
      </c>
      <c r="K1" s="51">
        <f t="shared" si="0"/>
        <v>253104529.75999999</v>
      </c>
      <c r="L1" s="51">
        <f t="shared" ref="L1:S1" si="1">SUMIF($E:$E,1,L:L)</f>
        <v>48562001.25</v>
      </c>
      <c r="M1" s="51">
        <f t="shared" si="1"/>
        <v>48538712.769999996</v>
      </c>
      <c r="N1" s="51">
        <f t="shared" si="1"/>
        <v>50453450.230000004</v>
      </c>
      <c r="O1" s="51">
        <f t="shared" si="1"/>
        <v>153521785.31</v>
      </c>
      <c r="P1" s="51">
        <f t="shared" si="1"/>
        <v>59409356.559999995</v>
      </c>
      <c r="Q1" s="51">
        <f t="shared" si="1"/>
        <v>0</v>
      </c>
      <c r="R1" s="51">
        <f t="shared" si="1"/>
        <v>241666593</v>
      </c>
      <c r="S1" s="51">
        <f t="shared" si="1"/>
        <v>11914072.450000001</v>
      </c>
      <c r="T1" s="51">
        <f>SUMIF($E:$E,1,T:T)</f>
        <v>3922112.65</v>
      </c>
    </row>
    <row r="2" spans="1:20" x14ac:dyDescent="0.2">
      <c r="A2" s="49" t="s">
        <v>36</v>
      </c>
      <c r="B2" s="12"/>
      <c r="C2" s="50"/>
      <c r="D2" s="50"/>
      <c r="E2" s="50"/>
      <c r="F2" s="53">
        <f t="shared" ref="F2:K2" si="2">SUMIF($E:$E,2,F:F)</f>
        <v>89765136.058244362</v>
      </c>
      <c r="G2" s="53">
        <f t="shared" si="2"/>
        <v>36678891.079999998</v>
      </c>
      <c r="H2" s="53">
        <f t="shared" si="2"/>
        <v>22938928.120136011</v>
      </c>
      <c r="I2" s="53">
        <f t="shared" si="2"/>
        <v>15411946.074758152</v>
      </c>
      <c r="J2" s="53">
        <f t="shared" si="2"/>
        <v>89202694.785209358</v>
      </c>
      <c r="K2" s="53">
        <f t="shared" si="2"/>
        <v>84742560.049999997</v>
      </c>
      <c r="L2" s="53">
        <f t="shared" ref="L2:S2" si="3">SUMIF($E:$E,2,L:L)</f>
        <v>26945695.800000004</v>
      </c>
      <c r="M2" s="53">
        <f t="shared" si="3"/>
        <v>26945695.800000004</v>
      </c>
      <c r="N2" s="53">
        <f t="shared" si="3"/>
        <v>15548800.4</v>
      </c>
      <c r="O2" s="53">
        <f t="shared" si="3"/>
        <v>31228183.799999997</v>
      </c>
      <c r="P2" s="53">
        <f t="shared" si="3"/>
        <v>19879753.800000001</v>
      </c>
      <c r="Q2" s="53">
        <f t="shared" si="3"/>
        <v>0</v>
      </c>
      <c r="R2" s="53">
        <f t="shared" si="3"/>
        <v>80788622</v>
      </c>
      <c r="S2" s="53">
        <f t="shared" si="3"/>
        <v>4273216.05</v>
      </c>
      <c r="T2" s="53">
        <f>SUMIF($E:$E,2,T:T)</f>
        <v>1406742.72</v>
      </c>
    </row>
    <row r="3" spans="1:20" s="56" customFormat="1" x14ac:dyDescent="0.2">
      <c r="A3" s="54" t="s">
        <v>577</v>
      </c>
      <c r="B3" s="13"/>
      <c r="C3" s="54"/>
      <c r="D3" s="54"/>
      <c r="E3" s="54"/>
      <c r="F3" s="55">
        <f t="shared" ref="F3:G3" si="4">SUM(F6:F21)</f>
        <v>358283571.69047743</v>
      </c>
      <c r="G3" s="55">
        <f t="shared" si="4"/>
        <v>57581885.57</v>
      </c>
      <c r="H3" s="55">
        <f t="shared" ref="H3:J3" si="5">SUM(H6:H21)</f>
        <v>43798147.937941998</v>
      </c>
      <c r="I3" s="55">
        <f t="shared" si="5"/>
        <v>17504560.916952159</v>
      </c>
      <c r="J3" s="55">
        <f t="shared" si="5"/>
        <v>355628515.57524842</v>
      </c>
      <c r="K3" s="55">
        <f t="shared" ref="K3:R3" si="6">SUM(K6:K21)</f>
        <v>337847089.81</v>
      </c>
      <c r="L3" s="55">
        <f t="shared" si="6"/>
        <v>75507697.050000012</v>
      </c>
      <c r="M3" s="55">
        <f t="shared" si="6"/>
        <v>75484408.570000008</v>
      </c>
      <c r="N3" s="55">
        <f t="shared" si="6"/>
        <v>66002250.63000001</v>
      </c>
      <c r="O3" s="55">
        <f>SUM(O6:O21)</f>
        <v>184749969.11000001</v>
      </c>
      <c r="P3" s="55">
        <f t="shared" si="6"/>
        <v>79289110.359999999</v>
      </c>
      <c r="Q3" s="55">
        <f t="shared" si="6"/>
        <v>0</v>
      </c>
      <c r="R3" s="55">
        <f t="shared" si="6"/>
        <v>322455215</v>
      </c>
      <c r="S3" s="55">
        <f t="shared" ref="S3" si="7">SUM(S6:S21)</f>
        <v>16187288.5</v>
      </c>
      <c r="T3" s="55">
        <f t="shared" ref="T3" si="8">SUM(T6:T21)</f>
        <v>5328855.37</v>
      </c>
    </row>
    <row r="4" spans="1:20" ht="51.75" customHeight="1" thickBot="1" x14ac:dyDescent="0.3">
      <c r="A4" s="106" t="s">
        <v>592</v>
      </c>
      <c r="B4" s="106" t="s">
        <v>592</v>
      </c>
      <c r="C4" s="106" t="s">
        <v>592</v>
      </c>
      <c r="D4" s="106" t="s">
        <v>592</v>
      </c>
      <c r="E4" s="106" t="s">
        <v>592</v>
      </c>
      <c r="F4" s="106" t="s">
        <v>592</v>
      </c>
      <c r="G4" s="4" t="s">
        <v>322</v>
      </c>
      <c r="H4" s="4" t="s">
        <v>447</v>
      </c>
      <c r="K4" s="4" t="s">
        <v>589</v>
      </c>
      <c r="L4" s="4" t="s">
        <v>590</v>
      </c>
      <c r="M4" s="4" t="s">
        <v>590</v>
      </c>
      <c r="N4" s="4" t="s">
        <v>590</v>
      </c>
      <c r="O4" s="4" t="s">
        <v>590</v>
      </c>
      <c r="P4" s="4" t="s">
        <v>591</v>
      </c>
      <c r="Q4" s="4" t="s">
        <v>591</v>
      </c>
      <c r="S4" s="4" t="s">
        <v>589</v>
      </c>
      <c r="T4" s="4" t="s">
        <v>589</v>
      </c>
    </row>
    <row r="5" spans="1:20" ht="89.25" x14ac:dyDescent="0.2">
      <c r="A5" s="25" t="s">
        <v>0</v>
      </c>
      <c r="B5" s="26" t="s">
        <v>1</v>
      </c>
      <c r="C5" s="26" t="s">
        <v>2</v>
      </c>
      <c r="D5" s="26" t="s">
        <v>3</v>
      </c>
      <c r="E5" s="26" t="s">
        <v>4</v>
      </c>
      <c r="F5" s="117" t="s">
        <v>5</v>
      </c>
      <c r="G5" s="118" t="s">
        <v>446</v>
      </c>
      <c r="H5" s="117" t="s">
        <v>6</v>
      </c>
      <c r="I5" s="119" t="s">
        <v>7</v>
      </c>
      <c r="J5" s="119" t="s">
        <v>8</v>
      </c>
      <c r="K5" s="120" t="s">
        <v>448</v>
      </c>
      <c r="L5" s="122" t="s">
        <v>40</v>
      </c>
      <c r="M5" s="33" t="s">
        <v>41</v>
      </c>
      <c r="N5" s="33" t="s">
        <v>42</v>
      </c>
      <c r="O5" s="123" t="s">
        <v>453</v>
      </c>
      <c r="P5" s="33" t="s">
        <v>450</v>
      </c>
      <c r="Q5" s="34" t="s">
        <v>303</v>
      </c>
      <c r="R5" s="35" t="s">
        <v>580</v>
      </c>
      <c r="S5" s="127" t="s">
        <v>579</v>
      </c>
      <c r="T5" s="128" t="s">
        <v>449</v>
      </c>
    </row>
    <row r="6" spans="1:20" ht="25.5" x14ac:dyDescent="0.2">
      <c r="A6" s="37" t="s">
        <v>32</v>
      </c>
      <c r="B6" s="5" t="s">
        <v>44</v>
      </c>
      <c r="C6" s="5" t="s">
        <v>34</v>
      </c>
      <c r="D6" s="6">
        <v>3</v>
      </c>
      <c r="E6" s="5">
        <v>2</v>
      </c>
      <c r="F6" s="57">
        <v>29208646.071201801</v>
      </c>
      <c r="G6" s="57">
        <v>702107.92</v>
      </c>
      <c r="H6" s="57">
        <v>494420.17572104628</v>
      </c>
      <c r="I6" s="57">
        <f>IF(G6-H6&gt;0,G6-H6,0)</f>
        <v>207687.74427895376</v>
      </c>
      <c r="J6" s="57">
        <f>MAX(F6-I6,0)</f>
        <v>29000958.326922849</v>
      </c>
      <c r="K6" s="62">
        <f>ROUND(J6*0.95,2)</f>
        <v>27550910.41</v>
      </c>
      <c r="L6" s="124">
        <v>4484988.4000000004</v>
      </c>
      <c r="M6" s="57">
        <v>4484988.4000000004</v>
      </c>
      <c r="N6" s="57">
        <v>3734892.8</v>
      </c>
      <c r="O6" s="58">
        <v>13582911.4</v>
      </c>
      <c r="P6" s="57">
        <v>0</v>
      </c>
      <c r="Q6" s="59">
        <v>0</v>
      </c>
      <c r="R6" s="62">
        <f>SUM(L6:O6)-P6</f>
        <v>26287781</v>
      </c>
      <c r="S6" s="124">
        <f>ROUND(MAX(K6-R6,0),2)</f>
        <v>1263129.4099999999</v>
      </c>
      <c r="T6" s="62">
        <f t="shared" ref="T6:T19" si="9">ROUND(S6*StateShr_Enhanced,2)</f>
        <v>415822.2</v>
      </c>
    </row>
    <row r="7" spans="1:20" ht="38.25" x14ac:dyDescent="0.2">
      <c r="A7" s="37" t="s">
        <v>27</v>
      </c>
      <c r="B7" s="5" t="s">
        <v>45</v>
      </c>
      <c r="C7" s="5" t="s">
        <v>29</v>
      </c>
      <c r="D7" s="6">
        <v>3</v>
      </c>
      <c r="E7" s="5">
        <v>2</v>
      </c>
      <c r="F7" s="57">
        <v>60201736.458286501</v>
      </c>
      <c r="G7" s="57">
        <v>15047846.16</v>
      </c>
      <c r="H7" s="57">
        <v>16719829.274894163</v>
      </c>
      <c r="I7" s="57">
        <f t="shared" ref="I7:I19" si="10">IF(G7-H7&gt;0,G7-H7,0)</f>
        <v>0</v>
      </c>
      <c r="J7" s="57">
        <f t="shared" ref="J7:J19" si="11">MAX(F7-I7,0)</f>
        <v>60201736.458286501</v>
      </c>
      <c r="K7" s="62">
        <f t="shared" ref="K7:K19" si="12">ROUND(J7*0.95,2)</f>
        <v>57191649.640000001</v>
      </c>
      <c r="L7" s="124">
        <v>13657487.800000001</v>
      </c>
      <c r="M7" s="57">
        <v>13657487.800000001</v>
      </c>
      <c r="N7" s="57">
        <v>9221315</v>
      </c>
      <c r="O7" s="58">
        <v>17645272.399999999</v>
      </c>
      <c r="P7" s="57">
        <v>0</v>
      </c>
      <c r="Q7" s="59">
        <v>0</v>
      </c>
      <c r="R7" s="62">
        <f t="shared" ref="R7:R19" si="13">SUM(L7:O7)-P7</f>
        <v>54181563</v>
      </c>
      <c r="S7" s="124">
        <f t="shared" ref="S7:S19" si="14">ROUND(MAX(K7-R7,0),2)</f>
        <v>3010086.64</v>
      </c>
      <c r="T7" s="62">
        <f t="shared" si="9"/>
        <v>990920.52</v>
      </c>
    </row>
    <row r="8" spans="1:20" ht="25.5" x14ac:dyDescent="0.2">
      <c r="A8" s="37" t="s">
        <v>30</v>
      </c>
      <c r="B8" s="40" t="s">
        <v>46</v>
      </c>
      <c r="C8" s="5" t="s">
        <v>11</v>
      </c>
      <c r="D8" s="6">
        <v>3</v>
      </c>
      <c r="E8" s="5">
        <v>2</v>
      </c>
      <c r="F8" s="57">
        <v>354753.52875606902</v>
      </c>
      <c r="G8" s="57">
        <v>20928937</v>
      </c>
      <c r="H8" s="57">
        <v>5724678.6695208028</v>
      </c>
      <c r="I8" s="57">
        <f t="shared" si="10"/>
        <v>15204258.330479197</v>
      </c>
      <c r="J8" s="57">
        <f t="shared" si="11"/>
        <v>0</v>
      </c>
      <c r="K8" s="62">
        <f t="shared" si="12"/>
        <v>0</v>
      </c>
      <c r="L8" s="124">
        <v>8803219.5999999996</v>
      </c>
      <c r="M8" s="57">
        <v>8803219.5999999996</v>
      </c>
      <c r="N8" s="57">
        <v>2592592.6</v>
      </c>
      <c r="O8" s="58">
        <v>0</v>
      </c>
      <c r="P8" s="57">
        <v>19879753.800000001</v>
      </c>
      <c r="Q8" s="59" t="s">
        <v>301</v>
      </c>
      <c r="R8" s="62">
        <f t="shared" si="13"/>
        <v>319278</v>
      </c>
      <c r="S8" s="124">
        <f t="shared" si="14"/>
        <v>0</v>
      </c>
      <c r="T8" s="62">
        <f t="shared" si="9"/>
        <v>0</v>
      </c>
    </row>
    <row r="9" spans="1:20" ht="38.25" x14ac:dyDescent="0.2">
      <c r="A9" s="37" t="s">
        <v>47</v>
      </c>
      <c r="B9" s="22" t="s">
        <v>48</v>
      </c>
      <c r="C9" s="5" t="s">
        <v>49</v>
      </c>
      <c r="D9" s="6">
        <v>3</v>
      </c>
      <c r="E9" s="5">
        <v>1</v>
      </c>
      <c r="F9" s="57">
        <v>0</v>
      </c>
      <c r="G9" s="57">
        <v>2051550.9</v>
      </c>
      <c r="H9" s="57">
        <v>2279501</v>
      </c>
      <c r="I9" s="57">
        <f t="shared" si="10"/>
        <v>0</v>
      </c>
      <c r="J9" s="57">
        <f t="shared" si="11"/>
        <v>0</v>
      </c>
      <c r="K9" s="62">
        <f t="shared" si="12"/>
        <v>0</v>
      </c>
      <c r="L9" s="124">
        <v>1637969.88</v>
      </c>
      <c r="M9" s="57">
        <v>1637184.38</v>
      </c>
      <c r="N9" s="57">
        <v>1706207.05</v>
      </c>
      <c r="O9" s="58">
        <v>0</v>
      </c>
      <c r="P9" s="57">
        <v>4981361.3099999996</v>
      </c>
      <c r="Q9" s="59" t="s">
        <v>300</v>
      </c>
      <c r="R9" s="62">
        <f t="shared" si="13"/>
        <v>0</v>
      </c>
      <c r="S9" s="124">
        <f t="shared" si="14"/>
        <v>0</v>
      </c>
      <c r="T9" s="62">
        <f t="shared" si="9"/>
        <v>0</v>
      </c>
    </row>
    <row r="10" spans="1:20" ht="25.5" x14ac:dyDescent="0.2">
      <c r="A10" s="37" t="s">
        <v>9</v>
      </c>
      <c r="B10" s="5" t="s">
        <v>50</v>
      </c>
      <c r="C10" s="5" t="s">
        <v>11</v>
      </c>
      <c r="D10" s="6">
        <v>3</v>
      </c>
      <c r="E10" s="5">
        <v>1</v>
      </c>
      <c r="F10" s="57">
        <v>30236959.3748748</v>
      </c>
      <c r="G10" s="57">
        <v>2463446.66</v>
      </c>
      <c r="H10" s="57">
        <v>370831.81780599104</v>
      </c>
      <c r="I10" s="57">
        <f t="shared" si="10"/>
        <v>2092614.8421940091</v>
      </c>
      <c r="J10" s="57">
        <f t="shared" si="11"/>
        <v>28144344.532680791</v>
      </c>
      <c r="K10" s="62">
        <f t="shared" si="12"/>
        <v>26737127.309999999</v>
      </c>
      <c r="L10" s="124">
        <v>3250199.29</v>
      </c>
      <c r="M10" s="57">
        <v>3248640.62</v>
      </c>
      <c r="N10" s="57">
        <v>3368292.1</v>
      </c>
      <c r="O10" s="58">
        <v>17346130.989999998</v>
      </c>
      <c r="P10" s="57">
        <v>0</v>
      </c>
      <c r="Q10" s="59">
        <v>0</v>
      </c>
      <c r="R10" s="62">
        <f>SUM(L10:O10)-P10</f>
        <v>27213263</v>
      </c>
      <c r="S10" s="124">
        <f t="shared" si="14"/>
        <v>0</v>
      </c>
      <c r="T10" s="62">
        <f t="shared" si="9"/>
        <v>0</v>
      </c>
    </row>
    <row r="11" spans="1:20" ht="25.5" x14ac:dyDescent="0.2">
      <c r="A11" s="37" t="s">
        <v>12</v>
      </c>
      <c r="B11" s="5" t="s">
        <v>51</v>
      </c>
      <c r="C11" s="5" t="s">
        <v>14</v>
      </c>
      <c r="D11" s="6">
        <v>3</v>
      </c>
      <c r="E11" s="5">
        <v>1</v>
      </c>
      <c r="F11" s="57">
        <v>49799625.260847002</v>
      </c>
      <c r="G11" s="57">
        <v>1692647.73</v>
      </c>
      <c r="H11" s="57">
        <v>1880720</v>
      </c>
      <c r="I11" s="57">
        <f t="shared" si="10"/>
        <v>0</v>
      </c>
      <c r="J11" s="57">
        <f t="shared" si="11"/>
        <v>49799625.260847002</v>
      </c>
      <c r="K11" s="62">
        <f t="shared" si="12"/>
        <v>47309644</v>
      </c>
      <c r="L11" s="124">
        <v>5892532.2300000004</v>
      </c>
      <c r="M11" s="57">
        <v>5889706.4000000004</v>
      </c>
      <c r="N11" s="57">
        <v>6067568.4400000004</v>
      </c>
      <c r="O11" s="58">
        <v>26969855.93</v>
      </c>
      <c r="P11" s="57">
        <v>0</v>
      </c>
      <c r="Q11" s="59">
        <v>0</v>
      </c>
      <c r="R11" s="62">
        <f t="shared" si="13"/>
        <v>44819663</v>
      </c>
      <c r="S11" s="124">
        <f t="shared" si="14"/>
        <v>2489981</v>
      </c>
      <c r="T11" s="62">
        <f t="shared" si="9"/>
        <v>819701.75</v>
      </c>
    </row>
    <row r="12" spans="1:20" ht="38.25" x14ac:dyDescent="0.2">
      <c r="A12" s="37" t="s">
        <v>52</v>
      </c>
      <c r="B12" s="22" t="s">
        <v>53</v>
      </c>
      <c r="C12" s="5" t="s">
        <v>54</v>
      </c>
      <c r="D12" s="6">
        <v>3</v>
      </c>
      <c r="E12" s="5">
        <v>1</v>
      </c>
      <c r="F12" s="57">
        <v>0</v>
      </c>
      <c r="G12" s="57">
        <v>1936973.7</v>
      </c>
      <c r="H12" s="57">
        <v>2152193</v>
      </c>
      <c r="I12" s="57">
        <f t="shared" si="10"/>
        <v>0</v>
      </c>
      <c r="J12" s="57">
        <f t="shared" si="11"/>
        <v>0</v>
      </c>
      <c r="K12" s="62">
        <f t="shared" si="12"/>
        <v>0</v>
      </c>
      <c r="L12" s="124">
        <v>5778636.5499999998</v>
      </c>
      <c r="M12" s="57">
        <v>5775865.3300000001</v>
      </c>
      <c r="N12" s="57">
        <v>6019245.4400000004</v>
      </c>
      <c r="O12" s="58">
        <v>0</v>
      </c>
      <c r="P12" s="57">
        <v>17573747.32</v>
      </c>
      <c r="Q12" s="59" t="s">
        <v>300</v>
      </c>
      <c r="R12" s="62">
        <f t="shared" si="13"/>
        <v>0</v>
      </c>
      <c r="S12" s="124">
        <f t="shared" si="14"/>
        <v>0</v>
      </c>
      <c r="T12" s="62">
        <f t="shared" si="9"/>
        <v>0</v>
      </c>
    </row>
    <row r="13" spans="1:20" ht="25.5" x14ac:dyDescent="0.2">
      <c r="A13" s="37" t="s">
        <v>15</v>
      </c>
      <c r="B13" s="5" t="s">
        <v>55</v>
      </c>
      <c r="C13" s="5" t="s">
        <v>17</v>
      </c>
      <c r="D13" s="6">
        <v>3</v>
      </c>
      <c r="E13" s="5">
        <v>1</v>
      </c>
      <c r="F13" s="57">
        <v>59094975.241743401</v>
      </c>
      <c r="G13" s="57">
        <v>1876845.32</v>
      </c>
      <c r="H13" s="57">
        <v>2085384</v>
      </c>
      <c r="I13" s="57">
        <f t="shared" si="10"/>
        <v>0</v>
      </c>
      <c r="J13" s="57">
        <f t="shared" si="11"/>
        <v>59094975.241743401</v>
      </c>
      <c r="K13" s="62">
        <f t="shared" si="12"/>
        <v>56140226.479999997</v>
      </c>
      <c r="L13" s="124">
        <v>6980734.8700000001</v>
      </c>
      <c r="M13" s="57">
        <v>6977387.1699999999</v>
      </c>
      <c r="N13" s="57">
        <v>7268721.8399999999</v>
      </c>
      <c r="O13" s="58">
        <v>31958634.120000001</v>
      </c>
      <c r="P13" s="57">
        <v>0</v>
      </c>
      <c r="Q13" s="59">
        <v>0</v>
      </c>
      <c r="R13" s="62">
        <f t="shared" si="13"/>
        <v>53185478</v>
      </c>
      <c r="S13" s="124">
        <f t="shared" si="14"/>
        <v>2954748.48</v>
      </c>
      <c r="T13" s="62">
        <f t="shared" si="9"/>
        <v>972703.2</v>
      </c>
    </row>
    <row r="14" spans="1:20" ht="38.25" x14ac:dyDescent="0.2">
      <c r="A14" s="37" t="s">
        <v>56</v>
      </c>
      <c r="B14" s="22" t="s">
        <v>57</v>
      </c>
      <c r="C14" s="5" t="s">
        <v>49</v>
      </c>
      <c r="D14" s="6">
        <v>3</v>
      </c>
      <c r="E14" s="5">
        <v>1</v>
      </c>
      <c r="F14" s="57">
        <v>0</v>
      </c>
      <c r="G14" s="57">
        <v>391521.6</v>
      </c>
      <c r="H14" s="57">
        <v>435024</v>
      </c>
      <c r="I14" s="57">
        <f t="shared" si="10"/>
        <v>0</v>
      </c>
      <c r="J14" s="57">
        <f t="shared" si="11"/>
        <v>0</v>
      </c>
      <c r="K14" s="62">
        <f t="shared" si="12"/>
        <v>0</v>
      </c>
      <c r="L14" s="124">
        <v>1338993</v>
      </c>
      <c r="M14" s="57">
        <v>1338350.8700000001</v>
      </c>
      <c r="N14" s="57">
        <v>1394416.56</v>
      </c>
      <c r="O14" s="58">
        <v>0</v>
      </c>
      <c r="P14" s="57">
        <v>4071760.43</v>
      </c>
      <c r="Q14" s="59" t="s">
        <v>300</v>
      </c>
      <c r="R14" s="62">
        <f t="shared" si="13"/>
        <v>0</v>
      </c>
      <c r="S14" s="124">
        <f t="shared" si="14"/>
        <v>0</v>
      </c>
      <c r="T14" s="62">
        <f t="shared" si="9"/>
        <v>0</v>
      </c>
    </row>
    <row r="15" spans="1:20" ht="38.25" x14ac:dyDescent="0.2">
      <c r="A15" s="37" t="s">
        <v>58</v>
      </c>
      <c r="B15" s="22" t="s">
        <v>59</v>
      </c>
      <c r="C15" s="5" t="s">
        <v>60</v>
      </c>
      <c r="D15" s="6">
        <v>3</v>
      </c>
      <c r="E15" s="5">
        <v>1</v>
      </c>
      <c r="F15" s="57">
        <v>0</v>
      </c>
      <c r="G15" s="57">
        <v>2408841</v>
      </c>
      <c r="H15" s="57">
        <v>2676490</v>
      </c>
      <c r="I15" s="57">
        <f t="shared" si="10"/>
        <v>0</v>
      </c>
      <c r="J15" s="57">
        <f t="shared" si="11"/>
        <v>0</v>
      </c>
      <c r="K15" s="62">
        <f t="shared" si="12"/>
        <v>0</v>
      </c>
      <c r="L15" s="124">
        <v>6667838.0999999996</v>
      </c>
      <c r="M15" s="57">
        <v>6664640.46</v>
      </c>
      <c r="N15" s="57">
        <v>6945480</v>
      </c>
      <c r="O15" s="58">
        <v>0</v>
      </c>
      <c r="P15" s="57">
        <v>20277958.559999999</v>
      </c>
      <c r="Q15" s="59" t="s">
        <v>300</v>
      </c>
      <c r="R15" s="62">
        <f t="shared" si="13"/>
        <v>0</v>
      </c>
      <c r="S15" s="124">
        <f t="shared" si="14"/>
        <v>0</v>
      </c>
      <c r="T15" s="62">
        <f t="shared" si="9"/>
        <v>0</v>
      </c>
    </row>
    <row r="16" spans="1:20" ht="25.5" x14ac:dyDescent="0.2">
      <c r="A16" s="37" t="s">
        <v>18</v>
      </c>
      <c r="B16" s="5" t="s">
        <v>61</v>
      </c>
      <c r="C16" s="5" t="s">
        <v>20</v>
      </c>
      <c r="D16" s="6">
        <v>3</v>
      </c>
      <c r="E16" s="5">
        <v>1</v>
      </c>
      <c r="F16" s="57">
        <v>14401052.873065799</v>
      </c>
      <c r="G16" s="57">
        <v>1259870.8900000001</v>
      </c>
      <c r="H16" s="57">
        <v>1399857</v>
      </c>
      <c r="I16" s="57">
        <f t="shared" si="10"/>
        <v>0</v>
      </c>
      <c r="J16" s="57">
        <f t="shared" si="11"/>
        <v>14401052.873065799</v>
      </c>
      <c r="K16" s="62">
        <f t="shared" si="12"/>
        <v>13681000.23</v>
      </c>
      <c r="L16" s="124">
        <v>1591381.26</v>
      </c>
      <c r="M16" s="57">
        <v>1590618.09</v>
      </c>
      <c r="N16" s="57">
        <v>1639561.34</v>
      </c>
      <c r="O16" s="58">
        <v>8139387.3099999996</v>
      </c>
      <c r="P16" s="57">
        <v>0</v>
      </c>
      <c r="Q16" s="59">
        <v>0</v>
      </c>
      <c r="R16" s="62">
        <f t="shared" si="13"/>
        <v>12960948</v>
      </c>
      <c r="S16" s="124">
        <f t="shared" si="14"/>
        <v>720052.23</v>
      </c>
      <c r="T16" s="62">
        <f t="shared" si="9"/>
        <v>237041.19</v>
      </c>
    </row>
    <row r="17" spans="1:20" ht="38.25" x14ac:dyDescent="0.2">
      <c r="A17" s="37" t="s">
        <v>62</v>
      </c>
      <c r="B17" s="22" t="s">
        <v>63</v>
      </c>
      <c r="C17" s="5" t="s">
        <v>64</v>
      </c>
      <c r="D17" s="6">
        <v>3</v>
      </c>
      <c r="E17" s="5">
        <v>1</v>
      </c>
      <c r="F17" s="57">
        <v>0</v>
      </c>
      <c r="G17" s="57">
        <v>743800.5</v>
      </c>
      <c r="H17" s="57">
        <v>826445</v>
      </c>
      <c r="I17" s="57">
        <f t="shared" si="10"/>
        <v>0</v>
      </c>
      <c r="J17" s="57">
        <f t="shared" si="11"/>
        <v>0</v>
      </c>
      <c r="K17" s="62">
        <f t="shared" si="12"/>
        <v>0</v>
      </c>
      <c r="L17" s="124">
        <v>4111921.88</v>
      </c>
      <c r="M17" s="57">
        <v>4109949.96</v>
      </c>
      <c r="N17" s="57">
        <v>4282657.0999999996</v>
      </c>
      <c r="O17" s="58">
        <v>0</v>
      </c>
      <c r="P17" s="57">
        <v>12504528.939999999</v>
      </c>
      <c r="Q17" s="59" t="s">
        <v>300</v>
      </c>
      <c r="R17" s="62">
        <f t="shared" si="13"/>
        <v>0</v>
      </c>
      <c r="S17" s="124">
        <f t="shared" si="14"/>
        <v>0</v>
      </c>
      <c r="T17" s="62">
        <f t="shared" si="9"/>
        <v>0</v>
      </c>
    </row>
    <row r="18" spans="1:20" ht="25.5" x14ac:dyDescent="0.2">
      <c r="A18" s="37" t="s">
        <v>21</v>
      </c>
      <c r="B18" s="5" t="s">
        <v>65</v>
      </c>
      <c r="C18" s="5" t="s">
        <v>23</v>
      </c>
      <c r="D18" s="6">
        <v>3</v>
      </c>
      <c r="E18" s="5">
        <v>1</v>
      </c>
      <c r="F18" s="57">
        <v>55300847.548714899</v>
      </c>
      <c r="G18" s="57">
        <v>2774186.79</v>
      </c>
      <c r="H18" s="57">
        <v>3082430</v>
      </c>
      <c r="I18" s="57">
        <f t="shared" si="10"/>
        <v>0</v>
      </c>
      <c r="J18" s="57">
        <f t="shared" si="11"/>
        <v>55300847.548714899</v>
      </c>
      <c r="K18" s="62">
        <f t="shared" si="12"/>
        <v>52535805.170000002</v>
      </c>
      <c r="L18" s="124">
        <v>5460411.54</v>
      </c>
      <c r="M18" s="57">
        <v>5457792.9400000004</v>
      </c>
      <c r="N18" s="57">
        <v>5678714.8700000001</v>
      </c>
      <c r="O18" s="58">
        <v>33173843.649999999</v>
      </c>
      <c r="P18" s="57">
        <v>0</v>
      </c>
      <c r="Q18" s="59">
        <v>0</v>
      </c>
      <c r="R18" s="62">
        <f t="shared" si="13"/>
        <v>49770763</v>
      </c>
      <c r="S18" s="124">
        <f t="shared" si="14"/>
        <v>2765042.17</v>
      </c>
      <c r="T18" s="62">
        <f t="shared" si="9"/>
        <v>910251.88</v>
      </c>
    </row>
    <row r="19" spans="1:20" ht="26.25" thickBot="1" x14ac:dyDescent="0.25">
      <c r="A19" s="38" t="s">
        <v>24</v>
      </c>
      <c r="B19" s="121" t="s">
        <v>66</v>
      </c>
      <c r="C19" s="121" t="s">
        <v>26</v>
      </c>
      <c r="D19" s="32">
        <v>3</v>
      </c>
      <c r="E19" s="121">
        <v>1</v>
      </c>
      <c r="F19" s="67">
        <v>59684975.332987197</v>
      </c>
      <c r="G19" s="67">
        <v>3303309.4000000004</v>
      </c>
      <c r="H19" s="67">
        <v>3670344</v>
      </c>
      <c r="I19" s="67">
        <f t="shared" si="10"/>
        <v>0</v>
      </c>
      <c r="J19" s="67">
        <f t="shared" si="11"/>
        <v>59684975.332987197</v>
      </c>
      <c r="K19" s="113">
        <f t="shared" si="12"/>
        <v>56700726.57</v>
      </c>
      <c r="L19" s="125">
        <v>5851382.6500000004</v>
      </c>
      <c r="M19" s="67">
        <v>5848576.5499999998</v>
      </c>
      <c r="N19" s="67">
        <v>6082585.4900000002</v>
      </c>
      <c r="O19" s="65">
        <v>35933933.310000002</v>
      </c>
      <c r="P19" s="67">
        <v>0</v>
      </c>
      <c r="Q19" s="126">
        <v>0</v>
      </c>
      <c r="R19" s="113">
        <f t="shared" si="13"/>
        <v>53716478</v>
      </c>
      <c r="S19" s="125">
        <f t="shared" si="14"/>
        <v>2984248.57</v>
      </c>
      <c r="T19" s="113">
        <f t="shared" si="9"/>
        <v>982414.63</v>
      </c>
    </row>
  </sheetData>
  <autoFilter ref="A5:T19" xr:uid="{FF57490B-496E-4C9F-8969-00C5FADD7272}"/>
  <conditionalFormatting sqref="A6">
    <cfRule type="duplicateValues" dxfId="21" priority="4"/>
  </conditionalFormatting>
  <conditionalFormatting sqref="A6">
    <cfRule type="duplicateValues" dxfId="20" priority="5"/>
  </conditionalFormatting>
  <conditionalFormatting sqref="A7:A19">
    <cfRule type="duplicateValues" dxfId="19" priority="2"/>
  </conditionalFormatting>
  <conditionalFormatting sqref="A7:A19">
    <cfRule type="duplicateValues" dxfId="18" priority="3"/>
  </conditionalFormatting>
  <conditionalFormatting sqref="A5">
    <cfRule type="duplicateValues" dxfId="17" priority="6"/>
  </conditionalFormatting>
  <conditionalFormatting sqref="A4:F4">
    <cfRule type="duplicateValues" dxfId="16" priority="12"/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737068-B1D4-4D90-897E-1A78020DD405}">
  <sheetPr>
    <pageSetUpPr fitToPage="1"/>
  </sheetPr>
  <dimension ref="A1:AI189"/>
  <sheetViews>
    <sheetView workbookViewId="0">
      <selection activeCell="U5" sqref="U5"/>
    </sheetView>
  </sheetViews>
  <sheetFormatPr defaultRowHeight="15" x14ac:dyDescent="0.2"/>
  <cols>
    <col min="1" max="1" width="17.5" bestFit="1" customWidth="1"/>
    <col min="3" max="3" width="8.59765625" bestFit="1" customWidth="1"/>
    <col min="4" max="5" width="10" bestFit="1" customWidth="1"/>
    <col min="6" max="6" width="8.59765625" bestFit="1" customWidth="1"/>
    <col min="8" max="8" width="8.69921875" bestFit="1" customWidth="1"/>
    <col min="9" max="10" width="8.59765625" bestFit="1" customWidth="1"/>
    <col min="11" max="12" width="11.3984375" bestFit="1" customWidth="1"/>
    <col min="13" max="13" width="12.3984375" bestFit="1" customWidth="1"/>
    <col min="14" max="14" width="11" bestFit="1" customWidth="1"/>
    <col min="15" max="15" width="12.5" bestFit="1" customWidth="1"/>
    <col min="16" max="18" width="10.5" bestFit="1" customWidth="1"/>
    <col min="19" max="19" width="13.796875" bestFit="1" customWidth="1"/>
    <col min="20" max="20" width="12.5" bestFit="1" customWidth="1"/>
    <col min="21" max="21" width="10.5" bestFit="1" customWidth="1"/>
    <col min="22" max="22" width="11.3984375" bestFit="1" customWidth="1"/>
    <col min="23" max="23" width="13.3984375" bestFit="1" customWidth="1"/>
    <col min="24" max="24" width="11.5" bestFit="1" customWidth="1"/>
    <col min="25" max="25" width="13.5" bestFit="1" customWidth="1"/>
    <col min="26" max="26" width="11.5" bestFit="1" customWidth="1"/>
    <col min="27" max="27" width="9.19921875" bestFit="1" customWidth="1"/>
    <col min="28" max="28" width="12.3984375" bestFit="1" customWidth="1"/>
    <col min="29" max="29" width="12.19921875" bestFit="1" customWidth="1"/>
    <col min="30" max="30" width="10.69921875" bestFit="1" customWidth="1"/>
    <col min="31" max="31" width="12.19921875" bestFit="1" customWidth="1"/>
    <col min="32" max="32" width="10.59765625" bestFit="1" customWidth="1"/>
    <col min="33" max="33" width="10.3984375" bestFit="1" customWidth="1"/>
    <col min="34" max="34" width="13.09765625" bestFit="1" customWidth="1"/>
    <col min="35" max="35" width="13.3984375" bestFit="1" customWidth="1"/>
  </cols>
  <sheetData>
    <row r="1" spans="1:35" x14ac:dyDescent="0.2">
      <c r="A1" s="16" t="s">
        <v>69</v>
      </c>
      <c r="B1" s="17"/>
      <c r="C1" s="17"/>
      <c r="D1" s="17"/>
      <c r="E1" s="17"/>
      <c r="F1" s="17"/>
      <c r="G1" s="17"/>
      <c r="H1" s="17"/>
      <c r="I1" s="17"/>
      <c r="J1" s="17"/>
      <c r="K1" s="16">
        <f t="shared" ref="K1:S1" si="0">SUMIF($D:$D,1,K:K)</f>
        <v>1949836570.4829757</v>
      </c>
      <c r="L1" s="16">
        <f t="shared" si="0"/>
        <v>1385727908.8</v>
      </c>
      <c r="M1" s="16">
        <f t="shared" si="0"/>
        <v>1213336125.6309893</v>
      </c>
      <c r="N1" s="16">
        <f t="shared" si="0"/>
        <v>300351319.13591349</v>
      </c>
      <c r="O1" s="16">
        <f t="shared" si="0"/>
        <v>1649485251.3470623</v>
      </c>
      <c r="P1" s="16">
        <f t="shared" si="0"/>
        <v>85765160.319999993</v>
      </c>
      <c r="Q1" s="16">
        <f t="shared" si="0"/>
        <v>85910737.580000013</v>
      </c>
      <c r="R1" s="16">
        <f t="shared" si="0"/>
        <v>94373771.950000003</v>
      </c>
      <c r="S1" s="16">
        <f t="shared" si="0"/>
        <v>417601303.12</v>
      </c>
      <c r="T1" s="16">
        <f t="shared" ref="T1:Z1" si="1">SUMIF($D:$D,1,T:T)</f>
        <v>0</v>
      </c>
      <c r="U1" s="16">
        <f t="shared" si="1"/>
        <v>0</v>
      </c>
      <c r="V1" s="16">
        <f t="shared" si="1"/>
        <v>683650972.97000003</v>
      </c>
      <c r="W1" s="16">
        <f t="shared" si="1"/>
        <v>965834278.37706232</v>
      </c>
      <c r="X1" s="24">
        <f t="shared" si="1"/>
        <v>1.0000000000000002</v>
      </c>
      <c r="Y1" s="16">
        <f t="shared" si="1"/>
        <v>11189514.408967586</v>
      </c>
      <c r="Z1" s="16">
        <f t="shared" si="1"/>
        <v>16680850.341335103</v>
      </c>
      <c r="AA1" s="16">
        <f t="shared" ref="AA1:AI1" si="2">SUMIF($D:$D,1,AA:AA)</f>
        <v>5491335.9323675158</v>
      </c>
      <c r="AB1" s="16">
        <f t="shared" si="2"/>
        <v>5491335.9323675158</v>
      </c>
      <c r="AC1" s="16">
        <f t="shared" si="2"/>
        <v>12894012.595948374</v>
      </c>
      <c r="AD1" s="16">
        <f t="shared" si="2"/>
        <v>29574862.93</v>
      </c>
      <c r="AE1" s="16">
        <f t="shared" si="2"/>
        <v>18385348.528315887</v>
      </c>
      <c r="AF1" s="16">
        <f t="shared" si="2"/>
        <v>14259570.960000003</v>
      </c>
      <c r="AG1" s="16">
        <f t="shared" si="2"/>
        <v>4125777.568315885</v>
      </c>
      <c r="AH1" s="24">
        <f t="shared" si="2"/>
        <v>1</v>
      </c>
      <c r="AI1" s="16">
        <f t="shared" si="2"/>
        <v>4125777.57</v>
      </c>
    </row>
    <row r="2" spans="1:35" x14ac:dyDescent="0.2">
      <c r="A2" s="16" t="s">
        <v>137</v>
      </c>
      <c r="B2" s="17"/>
      <c r="C2" s="17"/>
      <c r="D2" s="17"/>
      <c r="E2" s="17"/>
      <c r="F2" s="17"/>
      <c r="G2" s="17"/>
      <c r="H2" s="17"/>
      <c r="I2" s="17"/>
      <c r="J2" s="17"/>
      <c r="K2" s="16">
        <f t="shared" ref="K2:S2" si="3">SUMIF($F:$F,2,K:K)</f>
        <v>3075453689.7105727</v>
      </c>
      <c r="L2" s="16">
        <f t="shared" si="3"/>
        <v>1290795586.4300003</v>
      </c>
      <c r="M2" s="16">
        <f t="shared" si="3"/>
        <v>1257799309.6447856</v>
      </c>
      <c r="N2" s="16">
        <f t="shared" si="3"/>
        <v>213475913.02967179</v>
      </c>
      <c r="O2" s="16">
        <f t="shared" si="3"/>
        <v>2883991844.624527</v>
      </c>
      <c r="P2" s="16">
        <f t="shared" si="3"/>
        <v>74854368.25</v>
      </c>
      <c r="Q2" s="16">
        <f t="shared" si="3"/>
        <v>75445172.500000045</v>
      </c>
      <c r="R2" s="16">
        <f t="shared" si="3"/>
        <v>74097246.199999988</v>
      </c>
      <c r="S2" s="16">
        <f t="shared" si="3"/>
        <v>429828653.96999997</v>
      </c>
      <c r="T2" s="16">
        <f t="shared" ref="T2:Z2" si="4">SUMIF($F:$F,2,T:T)</f>
        <v>0</v>
      </c>
      <c r="U2" s="16">
        <f t="shared" si="4"/>
        <v>36460166.090000004</v>
      </c>
      <c r="V2" s="16">
        <f t="shared" si="4"/>
        <v>617765274.8299998</v>
      </c>
      <c r="W2" s="16">
        <f t="shared" si="4"/>
        <v>2267841469.6118212</v>
      </c>
      <c r="X2" s="24">
        <f t="shared" si="4"/>
        <v>0</v>
      </c>
      <c r="Y2" s="16">
        <f t="shared" si="4"/>
        <v>26273704.888706468</v>
      </c>
      <c r="Z2" s="16">
        <f t="shared" si="4"/>
        <v>39167717.484654844</v>
      </c>
      <c r="AA2" s="16">
        <f t="shared" ref="AA2:AI2" si="5">SUMIF($F:$F,2,AA:AA)</f>
        <v>12894012.595948372</v>
      </c>
      <c r="AB2" s="16">
        <f t="shared" si="5"/>
        <v>0</v>
      </c>
      <c r="AC2" s="16">
        <f t="shared" si="5"/>
        <v>0</v>
      </c>
      <c r="AD2" s="16">
        <f t="shared" si="5"/>
        <v>26273704.849999994</v>
      </c>
      <c r="AE2" s="16">
        <f t="shared" si="5"/>
        <v>0</v>
      </c>
      <c r="AF2" s="16">
        <f t="shared" si="5"/>
        <v>0</v>
      </c>
      <c r="AG2" s="16">
        <f t="shared" si="5"/>
        <v>0</v>
      </c>
      <c r="AH2" s="24">
        <f t="shared" si="5"/>
        <v>0</v>
      </c>
      <c r="AI2" s="16">
        <f t="shared" si="5"/>
        <v>0</v>
      </c>
    </row>
    <row r="3" spans="1:35" ht="15.75" thickBot="1" x14ac:dyDescent="0.25">
      <c r="A3" s="16" t="s">
        <v>459</v>
      </c>
      <c r="B3" s="17"/>
      <c r="C3" s="17"/>
      <c r="D3" s="17"/>
      <c r="E3" s="17"/>
      <c r="F3" s="17"/>
      <c r="G3" s="17"/>
      <c r="H3" s="17"/>
      <c r="I3" s="17"/>
      <c r="J3" s="17"/>
      <c r="K3" s="47">
        <f t="shared" ref="K3:S3" si="6">SUMIFS(K:K,$F:$F,1,$D:$D,2)+SUMIFS(K:K,$F:$F,1,$D:$D,3)+SUMIFS(K:K,$F:$F,3)</f>
        <v>462899071.56037694</v>
      </c>
      <c r="L3" s="47">
        <f t="shared" si="6"/>
        <v>237606946.94999999</v>
      </c>
      <c r="M3" s="47">
        <f t="shared" si="6"/>
        <v>214076310.23999488</v>
      </c>
      <c r="N3" s="47">
        <f t="shared" si="6"/>
        <v>36776152.987265855</v>
      </c>
      <c r="O3" s="47">
        <f t="shared" si="6"/>
        <v>426288757.12406188</v>
      </c>
      <c r="P3" s="47">
        <f t="shared" si="6"/>
        <v>14635861.210000001</v>
      </c>
      <c r="Q3" s="47">
        <f t="shared" si="6"/>
        <v>14753296.810000002</v>
      </c>
      <c r="R3" s="47">
        <f t="shared" si="6"/>
        <v>17120346.719999999</v>
      </c>
      <c r="S3" s="47">
        <f t="shared" si="6"/>
        <v>85378728.370000005</v>
      </c>
      <c r="T3" s="47">
        <f t="shared" ref="T3:Z3" si="7">SUMIFS(T:T,$F:$F,1,$D:$D,2)+SUMIFS(T:T,$F:$F,1,$D:$D,3)+SUMIFS(T:T,$F:$F,3)</f>
        <v>43485623.939999998</v>
      </c>
      <c r="U3" s="47">
        <f t="shared" si="7"/>
        <v>809736.62999999989</v>
      </c>
      <c r="V3" s="47">
        <f t="shared" si="7"/>
        <v>174564120.41999999</v>
      </c>
      <c r="W3" s="47">
        <f t="shared" si="7"/>
        <v>252535032.34682578</v>
      </c>
      <c r="X3" s="48">
        <f t="shared" si="7"/>
        <v>0</v>
      </c>
      <c r="Y3" s="47">
        <f t="shared" si="7"/>
        <v>2925703.1423259648</v>
      </c>
      <c r="Z3" s="47">
        <f t="shared" si="7"/>
        <v>4361513.3308377536</v>
      </c>
      <c r="AA3" s="47">
        <f t="shared" ref="AA3:AI3" si="8">SUMIFS(AA:AA,$F:$F,1,$D:$D,2)+SUMIFS(AA:AA,$F:$F,1,$D:$D,3)+SUMIFS(AA:AA,$F:$F,3)</f>
        <v>1435810.1885117888</v>
      </c>
      <c r="AB3" s="47">
        <f t="shared" si="8"/>
        <v>1435810.1885117888</v>
      </c>
      <c r="AC3" s="47">
        <f t="shared" si="8"/>
        <v>0</v>
      </c>
      <c r="AD3" s="47">
        <f t="shared" si="8"/>
        <v>4361513.32</v>
      </c>
      <c r="AE3" s="47">
        <f t="shared" si="8"/>
        <v>1435810.1885117888</v>
      </c>
      <c r="AF3" s="47">
        <f t="shared" si="8"/>
        <v>0</v>
      </c>
      <c r="AG3" s="47">
        <f t="shared" si="8"/>
        <v>1435810.1885117888</v>
      </c>
      <c r="AH3" s="48">
        <f t="shared" si="8"/>
        <v>0</v>
      </c>
      <c r="AI3" s="47">
        <f t="shared" si="8"/>
        <v>1435810.1800000002</v>
      </c>
    </row>
    <row r="4" spans="1:35" ht="15.75" thickBot="1" x14ac:dyDescent="0.25">
      <c r="A4" s="17" t="s">
        <v>577</v>
      </c>
      <c r="B4" s="17"/>
      <c r="C4" s="17"/>
      <c r="D4" s="17"/>
      <c r="E4" s="17"/>
      <c r="F4" s="17"/>
      <c r="G4" s="17"/>
      <c r="H4" s="17"/>
      <c r="I4" s="17"/>
      <c r="J4" s="17"/>
      <c r="K4" s="16">
        <f t="shared" ref="K4:V4" si="9">SUM(K7:K191)</f>
        <v>5488189331.7539282</v>
      </c>
      <c r="L4" s="16">
        <f t="shared" si="9"/>
        <v>2914130442.1799994</v>
      </c>
      <c r="M4" s="16">
        <f t="shared" si="9"/>
        <v>2685211745.5157709</v>
      </c>
      <c r="N4" s="16">
        <f t="shared" si="9"/>
        <v>550603385.15285099</v>
      </c>
      <c r="O4" s="16">
        <f t="shared" si="9"/>
        <v>4959765853.0956526</v>
      </c>
      <c r="P4" s="16">
        <f t="shared" si="9"/>
        <v>175255389.78000012</v>
      </c>
      <c r="Q4" s="16">
        <f t="shared" si="9"/>
        <v>176109206.89000008</v>
      </c>
      <c r="R4" s="16">
        <f t="shared" si="9"/>
        <v>185591364.86999992</v>
      </c>
      <c r="S4" s="16">
        <f>SUM(S7:S191)</f>
        <v>932808685.46000004</v>
      </c>
      <c r="T4" s="16">
        <f t="shared" si="9"/>
        <v>43485623.940000005</v>
      </c>
      <c r="U4" s="16">
        <f>SUM(U7:U191)</f>
        <v>37269902.719999999</v>
      </c>
      <c r="V4" s="16">
        <f t="shared" si="9"/>
        <v>1475980368.2200005</v>
      </c>
      <c r="W4" s="16">
        <f>SUM(W7:W191)</f>
        <v>3486210780.3357086</v>
      </c>
      <c r="X4" s="24">
        <f t="shared" ref="X4" si="10">SUM(X7:X191)</f>
        <v>1.0000000000000002</v>
      </c>
      <c r="Y4" s="129">
        <f>FF_NonState</f>
        <v>40388922.439999998</v>
      </c>
      <c r="Z4" s="16">
        <f t="shared" ref="Z4:AA4" si="11">SUM(Z7:Z191)</f>
        <v>60210081.156827658</v>
      </c>
      <c r="AA4" s="16">
        <f t="shared" si="11"/>
        <v>19821158.716827668</v>
      </c>
      <c r="AB4" s="16">
        <f t="shared" ref="AB4:AC4" si="12">SUM(AB7:AB191)</f>
        <v>6927146.1208793027</v>
      </c>
      <c r="AC4" s="16">
        <f t="shared" si="12"/>
        <v>12894012.595948374</v>
      </c>
      <c r="AD4" s="16">
        <f t="shared" ref="AD4:AE4" si="13">SUM(AD7:AD191)</f>
        <v>60210081.099999994</v>
      </c>
      <c r="AE4" s="16">
        <f t="shared" si="13"/>
        <v>19821158.716827676</v>
      </c>
      <c r="AF4" s="130">
        <f>LP_Refunds</f>
        <v>14259570.960000001</v>
      </c>
      <c r="AG4" s="16">
        <f t="shared" ref="AG4" si="14">SUM(AG7:AG191)</f>
        <v>5561587.756827672</v>
      </c>
      <c r="AH4" s="24">
        <f t="shared" ref="AH4:AI4" si="15">SUM(AH7:AH191)</f>
        <v>1</v>
      </c>
      <c r="AI4" s="16">
        <f t="shared" si="15"/>
        <v>5561587.7499999972</v>
      </c>
    </row>
    <row r="5" spans="1:35" ht="39.75" thickBot="1" x14ac:dyDescent="0.3">
      <c r="A5" s="106" t="s">
        <v>592</v>
      </c>
      <c r="B5" s="106" t="s">
        <v>592</v>
      </c>
      <c r="C5" s="106" t="s">
        <v>592</v>
      </c>
      <c r="D5" s="106" t="s">
        <v>592</v>
      </c>
      <c r="E5" s="3"/>
      <c r="F5" s="106" t="s">
        <v>592</v>
      </c>
      <c r="G5" s="3"/>
      <c r="H5" s="106" t="s">
        <v>592</v>
      </c>
      <c r="I5" s="106" t="s">
        <v>592</v>
      </c>
      <c r="J5" s="106" t="s">
        <v>592</v>
      </c>
      <c r="K5" s="106" t="s">
        <v>592</v>
      </c>
      <c r="L5" s="4" t="s">
        <v>322</v>
      </c>
      <c r="M5" s="4" t="s">
        <v>447</v>
      </c>
      <c r="N5" s="4"/>
      <c r="O5" s="4"/>
      <c r="P5" s="4" t="s">
        <v>590</v>
      </c>
      <c r="Q5" s="4" t="s">
        <v>590</v>
      </c>
      <c r="R5" s="4" t="s">
        <v>590</v>
      </c>
      <c r="S5" s="4" t="s">
        <v>590</v>
      </c>
      <c r="T5" s="4" t="s">
        <v>590</v>
      </c>
      <c r="U5" s="4" t="s">
        <v>593</v>
      </c>
      <c r="V5" s="4"/>
      <c r="W5" s="4"/>
      <c r="X5" s="4" t="s">
        <v>578</v>
      </c>
      <c r="Y5" s="69">
        <f>SUM(Y1:Y3)</f>
        <v>40388922.44000002</v>
      </c>
      <c r="AB5" s="138" t="s">
        <v>562</v>
      </c>
      <c r="AC5" s="138"/>
      <c r="AD5" s="138"/>
      <c r="AE5" s="138"/>
      <c r="AF5" s="138"/>
      <c r="AG5" s="138"/>
      <c r="AH5" s="137" t="s">
        <v>573</v>
      </c>
      <c r="AI5" s="137"/>
    </row>
    <row r="6" spans="1:35" ht="76.5" x14ac:dyDescent="0.2">
      <c r="A6" s="25" t="s">
        <v>0</v>
      </c>
      <c r="B6" s="26" t="s">
        <v>1</v>
      </c>
      <c r="C6" s="26" t="s">
        <v>2</v>
      </c>
      <c r="D6" s="26" t="s">
        <v>564</v>
      </c>
      <c r="E6" s="27" t="s">
        <v>565</v>
      </c>
      <c r="F6" s="26" t="s">
        <v>566</v>
      </c>
      <c r="G6" s="27" t="s">
        <v>567</v>
      </c>
      <c r="H6" s="26" t="s">
        <v>37</v>
      </c>
      <c r="I6" s="26" t="s">
        <v>38</v>
      </c>
      <c r="J6" s="26" t="s">
        <v>4</v>
      </c>
      <c r="K6" s="26" t="s">
        <v>5</v>
      </c>
      <c r="L6" s="28" t="s">
        <v>446</v>
      </c>
      <c r="M6" s="26" t="s">
        <v>6</v>
      </c>
      <c r="N6" s="29" t="s">
        <v>546</v>
      </c>
      <c r="O6" s="30" t="s">
        <v>547</v>
      </c>
      <c r="P6" s="33" t="s">
        <v>40</v>
      </c>
      <c r="Q6" s="33" t="s">
        <v>41</v>
      </c>
      <c r="R6" s="33" t="s">
        <v>42</v>
      </c>
      <c r="S6" s="36" t="s">
        <v>39</v>
      </c>
      <c r="T6" s="34" t="s">
        <v>460</v>
      </c>
      <c r="U6" s="33" t="s">
        <v>43</v>
      </c>
      <c r="V6" s="35" t="s">
        <v>580</v>
      </c>
      <c r="W6" s="107" t="s">
        <v>548</v>
      </c>
      <c r="X6" s="108" t="s">
        <v>553</v>
      </c>
      <c r="Y6" s="108" t="s">
        <v>568</v>
      </c>
      <c r="Z6" s="108" t="s">
        <v>581</v>
      </c>
      <c r="AA6" s="108" t="s">
        <v>569</v>
      </c>
      <c r="AB6" s="108" t="s">
        <v>570</v>
      </c>
      <c r="AC6" s="108" t="s">
        <v>571</v>
      </c>
      <c r="AD6" s="109" t="s">
        <v>572</v>
      </c>
      <c r="AE6" s="108" t="s">
        <v>575</v>
      </c>
      <c r="AF6" s="110" t="s">
        <v>561</v>
      </c>
      <c r="AG6" s="110" t="s">
        <v>574</v>
      </c>
      <c r="AH6" s="110" t="s">
        <v>563</v>
      </c>
      <c r="AI6" s="111" t="s">
        <v>576</v>
      </c>
    </row>
    <row r="7" spans="1:35" ht="51" x14ac:dyDescent="0.2">
      <c r="A7" s="37" t="s">
        <v>75</v>
      </c>
      <c r="B7" s="10" t="s">
        <v>342</v>
      </c>
      <c r="C7" s="8" t="s">
        <v>20</v>
      </c>
      <c r="D7" s="6">
        <v>1</v>
      </c>
      <c r="E7" s="6">
        <v>1</v>
      </c>
      <c r="F7" s="6">
        <v>1</v>
      </c>
      <c r="G7" s="6">
        <v>1</v>
      </c>
      <c r="H7" s="6">
        <v>3</v>
      </c>
      <c r="I7" s="6">
        <v>2</v>
      </c>
      <c r="J7" s="6">
        <v>2</v>
      </c>
      <c r="K7" s="58">
        <v>120036138.319161</v>
      </c>
      <c r="L7" s="58">
        <v>65185578.890000001</v>
      </c>
      <c r="M7" s="58">
        <v>28429459.776703972</v>
      </c>
      <c r="N7" s="58">
        <f>IF(L7-M7&gt;0,L7-M7,0)</f>
        <v>36756119.113296032</v>
      </c>
      <c r="O7" s="60">
        <f t="shared" ref="O7:O38" si="16">MAX(K7-N7,0)</f>
        <v>83280019.205864966</v>
      </c>
      <c r="P7" s="57">
        <v>5192594.09</v>
      </c>
      <c r="Q7" s="57">
        <v>5199881.38</v>
      </c>
      <c r="R7" s="57">
        <v>5616370.2800000003</v>
      </c>
      <c r="S7" s="61">
        <v>24473527.039999999</v>
      </c>
      <c r="T7" s="57">
        <v>0</v>
      </c>
      <c r="U7" s="57">
        <v>0</v>
      </c>
      <c r="V7" s="62">
        <f>SUM(P7:T7)-U7</f>
        <v>40482372.789999999</v>
      </c>
      <c r="W7" s="63">
        <f t="shared" ref="W7:W38" si="17">MAX(O7-V7,0)</f>
        <v>42797646.415864967</v>
      </c>
      <c r="X7" s="132">
        <f t="shared" ref="X7:X38" si="18">IF(D7=1,W7,0)/SUMIF(D:D,1,W:W)</f>
        <v>4.4311583647434739E-2</v>
      </c>
      <c r="Y7" s="57">
        <f>W7/$W$4*$Y$4</f>
        <v>495825.1037071434</v>
      </c>
      <c r="Z7" s="57">
        <f>Y7/FedShr_Enhanced</f>
        <v>739154.89521041058</v>
      </c>
      <c r="AA7" s="57">
        <f t="shared" ref="AA7:AA38" si="19">Z7-Y7</f>
        <v>243329.79150326719</v>
      </c>
      <c r="AB7" s="57">
        <f t="shared" ref="AB7:AB38" si="20">IF(F7=2,0,AA7)</f>
        <v>243329.79150326719</v>
      </c>
      <c r="AC7" s="57">
        <f t="shared" ref="AC7:AC38" si="21">$AA$2*X7</f>
        <v>571354.11769644346</v>
      </c>
      <c r="AD7" s="57">
        <f t="shared" ref="AD7:AD38" si="22">ROUND(IF(F7=2,Y7,Y7+AB7+AC7),2)</f>
        <v>1310509.01</v>
      </c>
      <c r="AE7" s="57">
        <f>AB7+AC7</f>
        <v>814683.9091997107</v>
      </c>
      <c r="AF7" s="57">
        <f t="shared" ref="AF7:AF38" si="23">$AF$4*X7</f>
        <v>631864.17137057136</v>
      </c>
      <c r="AG7" s="57">
        <f t="shared" ref="AG7:AG38" si="24">AE7-AF7</f>
        <v>182819.73782913934</v>
      </c>
      <c r="AH7" s="132">
        <f t="shared" ref="AH7:AH38" si="25">IF(E7=1,W7,0)/(SUMIF(E:E,1,W:W))</f>
        <v>4.6503658213067615E-2</v>
      </c>
      <c r="AI7" s="112">
        <f>ROUND(AG7+($AG$8*AH7),2)</f>
        <v>191863.75</v>
      </c>
    </row>
    <row r="8" spans="1:35" ht="25.5" x14ac:dyDescent="0.2">
      <c r="A8" s="71" t="s">
        <v>74</v>
      </c>
      <c r="B8" s="72" t="s">
        <v>280</v>
      </c>
      <c r="C8" s="73" t="s">
        <v>14</v>
      </c>
      <c r="D8" s="74">
        <v>1</v>
      </c>
      <c r="E8" s="74">
        <v>3</v>
      </c>
      <c r="F8" s="74">
        <v>1</v>
      </c>
      <c r="G8" s="6">
        <v>2</v>
      </c>
      <c r="H8" s="74">
        <v>3</v>
      </c>
      <c r="I8" s="74">
        <v>2</v>
      </c>
      <c r="J8" s="74">
        <v>2</v>
      </c>
      <c r="K8" s="75">
        <v>121770616.244257</v>
      </c>
      <c r="L8" s="75">
        <v>77597542.980000004</v>
      </c>
      <c r="M8" s="75">
        <v>31506976.956610516</v>
      </c>
      <c r="N8" s="75">
        <f t="shared" ref="N8:N38" si="26">IF(L8-M8&gt;0,L8-M8,0)</f>
        <v>46090566.023389488</v>
      </c>
      <c r="O8" s="76">
        <f t="shared" si="16"/>
        <v>75680050.220867515</v>
      </c>
      <c r="P8" s="77">
        <v>4280598.6500000004</v>
      </c>
      <c r="Q8" s="77">
        <v>4278165.6500000004</v>
      </c>
      <c r="R8" s="77">
        <v>4677991.07</v>
      </c>
      <c r="S8" s="78">
        <v>16916107.579999998</v>
      </c>
      <c r="T8" s="77">
        <v>0</v>
      </c>
      <c r="U8" s="77">
        <v>0</v>
      </c>
      <c r="V8" s="77">
        <f t="shared" ref="V8:V71" si="27">SUM(P8:T8)-U8</f>
        <v>30152862.949999999</v>
      </c>
      <c r="W8" s="79">
        <f t="shared" si="17"/>
        <v>45527187.270867512</v>
      </c>
      <c r="X8" s="80">
        <f t="shared" si="18"/>
        <v>4.7137680128074386E-2</v>
      </c>
      <c r="Y8" s="77">
        <f t="shared" ref="Y8:Y38" si="28">W8/$W$4*$Y$4</f>
        <v>527447.75099839328</v>
      </c>
      <c r="Z8" s="77">
        <f t="shared" ref="Z8:Z38" si="29">Y8/FedShr_Enhanced</f>
        <v>786296.58765413438</v>
      </c>
      <c r="AA8" s="81">
        <f t="shared" si="19"/>
        <v>258848.83665574109</v>
      </c>
      <c r="AB8" s="77">
        <f t="shared" si="20"/>
        <v>258848.83665574109</v>
      </c>
      <c r="AC8" s="77">
        <f t="shared" si="21"/>
        <v>607793.84131517645</v>
      </c>
      <c r="AD8" s="57">
        <f t="shared" si="22"/>
        <v>1394090.43</v>
      </c>
      <c r="AE8" s="77">
        <f t="shared" ref="AE8:AE38" si="30">AB8+AC8</f>
        <v>866642.67797091755</v>
      </c>
      <c r="AF8" s="77">
        <f t="shared" si="23"/>
        <v>672163.09467605862</v>
      </c>
      <c r="AG8" s="77">
        <f t="shared" si="24"/>
        <v>194479.58329485892</v>
      </c>
      <c r="AH8" s="80">
        <f t="shared" si="25"/>
        <v>0</v>
      </c>
      <c r="AI8" s="133">
        <v>0</v>
      </c>
    </row>
    <row r="9" spans="1:35" ht="38.25" x14ac:dyDescent="0.2">
      <c r="A9" s="37" t="s">
        <v>73</v>
      </c>
      <c r="B9" s="5" t="s">
        <v>326</v>
      </c>
      <c r="C9" s="8" t="s">
        <v>26</v>
      </c>
      <c r="D9" s="6">
        <v>1</v>
      </c>
      <c r="E9" s="6">
        <v>1</v>
      </c>
      <c r="F9" s="6">
        <v>1</v>
      </c>
      <c r="G9" s="6">
        <v>1</v>
      </c>
      <c r="H9" s="6">
        <v>3</v>
      </c>
      <c r="I9" s="6">
        <v>2</v>
      </c>
      <c r="J9" s="6">
        <v>2</v>
      </c>
      <c r="K9" s="58">
        <v>232309517.452485</v>
      </c>
      <c r="L9" s="58">
        <v>146180792.25</v>
      </c>
      <c r="M9" s="58">
        <v>89041967.376135468</v>
      </c>
      <c r="N9" s="58">
        <f t="shared" si="26"/>
        <v>57138824.873864532</v>
      </c>
      <c r="O9" s="60">
        <f t="shared" si="16"/>
        <v>175170692.57862046</v>
      </c>
      <c r="P9" s="57">
        <v>12300371.890000001</v>
      </c>
      <c r="Q9" s="57">
        <v>12327927.800000001</v>
      </c>
      <c r="R9" s="57">
        <v>13159774.41</v>
      </c>
      <c r="S9" s="61">
        <v>66020971.43</v>
      </c>
      <c r="T9" s="57">
        <v>0</v>
      </c>
      <c r="U9" s="57">
        <v>0</v>
      </c>
      <c r="V9" s="62">
        <f t="shared" si="27"/>
        <v>103809045.53</v>
      </c>
      <c r="W9" s="63">
        <f t="shared" si="17"/>
        <v>71361647.048620462</v>
      </c>
      <c r="X9" s="132">
        <f t="shared" si="18"/>
        <v>7.3886016106751634E-2</v>
      </c>
      <c r="Y9" s="57">
        <f t="shared" si="28"/>
        <v>826748.64184770838</v>
      </c>
      <c r="Z9" s="57">
        <f t="shared" si="29"/>
        <v>1232481.5769941986</v>
      </c>
      <c r="AA9" s="57">
        <f t="shared" si="19"/>
        <v>405732.93514649023</v>
      </c>
      <c r="AB9" s="57">
        <f t="shared" si="20"/>
        <v>405732.93514649023</v>
      </c>
      <c r="AC9" s="57">
        <f t="shared" si="21"/>
        <v>952687.2223448999</v>
      </c>
      <c r="AD9" s="57">
        <f t="shared" si="22"/>
        <v>2185168.7999999998</v>
      </c>
      <c r="AE9" s="57">
        <f t="shared" si="30"/>
        <v>1358420.1574913901</v>
      </c>
      <c r="AF9" s="57">
        <f t="shared" si="23"/>
        <v>1053582.8896259279</v>
      </c>
      <c r="AG9" s="57">
        <f t="shared" si="24"/>
        <v>304837.26786546223</v>
      </c>
      <c r="AH9" s="132">
        <f t="shared" si="25"/>
        <v>7.7541124846538856E-2</v>
      </c>
      <c r="AI9" s="112">
        <f>ROUND(AG9+$AG$8*AH9,2)</f>
        <v>319917.43</v>
      </c>
    </row>
    <row r="10" spans="1:35" ht="51" x14ac:dyDescent="0.2">
      <c r="A10" s="37" t="s">
        <v>67</v>
      </c>
      <c r="B10" s="5" t="s">
        <v>441</v>
      </c>
      <c r="C10" s="8" t="s">
        <v>321</v>
      </c>
      <c r="D10" s="6">
        <v>1</v>
      </c>
      <c r="E10" s="6">
        <v>1</v>
      </c>
      <c r="F10" s="6">
        <v>1</v>
      </c>
      <c r="G10" s="6">
        <v>1</v>
      </c>
      <c r="H10" s="6">
        <v>3</v>
      </c>
      <c r="I10" s="6">
        <v>2</v>
      </c>
      <c r="J10" s="6">
        <v>2</v>
      </c>
      <c r="K10" s="58">
        <v>333837357.701253</v>
      </c>
      <c r="L10" s="58">
        <v>215059830.83000001</v>
      </c>
      <c r="M10" s="58">
        <v>134767281.6304141</v>
      </c>
      <c r="N10" s="58">
        <f t="shared" si="26"/>
        <v>80292549.199585915</v>
      </c>
      <c r="O10" s="60">
        <f t="shared" si="16"/>
        <v>253544808.50166708</v>
      </c>
      <c r="P10" s="57">
        <v>13644377.23</v>
      </c>
      <c r="Q10" s="57">
        <v>13658473.460000001</v>
      </c>
      <c r="R10" s="57">
        <v>15003349.859999999</v>
      </c>
      <c r="S10" s="61">
        <v>69976398.620000005</v>
      </c>
      <c r="T10" s="57">
        <v>0</v>
      </c>
      <c r="U10" s="57">
        <v>0</v>
      </c>
      <c r="V10" s="62">
        <f t="shared" si="27"/>
        <v>112282599.17</v>
      </c>
      <c r="W10" s="63">
        <f t="shared" si="17"/>
        <v>141262209.33166707</v>
      </c>
      <c r="X10" s="132">
        <f t="shared" si="18"/>
        <v>0.14625926258181346</v>
      </c>
      <c r="Y10" s="57">
        <f t="shared" si="28"/>
        <v>1636570.1261041751</v>
      </c>
      <c r="Z10" s="57">
        <f t="shared" si="29"/>
        <v>2439728.8701612628</v>
      </c>
      <c r="AA10" s="57">
        <f t="shared" si="19"/>
        <v>803158.74405708769</v>
      </c>
      <c r="AB10" s="57">
        <f t="shared" si="20"/>
        <v>803158.74405708769</v>
      </c>
      <c r="AC10" s="57">
        <f t="shared" si="21"/>
        <v>1885868.7740040231</v>
      </c>
      <c r="AD10" s="57">
        <f t="shared" si="22"/>
        <v>4325597.6399999997</v>
      </c>
      <c r="AE10" s="57">
        <f t="shared" si="30"/>
        <v>2689027.5180611107</v>
      </c>
      <c r="AF10" s="57">
        <f t="shared" si="23"/>
        <v>2085594.3333426421</v>
      </c>
      <c r="AG10" s="57">
        <f t="shared" si="24"/>
        <v>603433.18471846869</v>
      </c>
      <c r="AH10" s="132">
        <f t="shared" si="25"/>
        <v>0.15349464401265461</v>
      </c>
      <c r="AI10" s="112">
        <f>ROUND(AG10+$AG$8*AH10,2)</f>
        <v>633284.76</v>
      </c>
    </row>
    <row r="11" spans="1:35" ht="38.25" x14ac:dyDescent="0.2">
      <c r="A11" s="37" t="s">
        <v>70</v>
      </c>
      <c r="B11" s="10" t="s">
        <v>332</v>
      </c>
      <c r="C11" s="8" t="s">
        <v>304</v>
      </c>
      <c r="D11" s="6">
        <v>1</v>
      </c>
      <c r="E11" s="6">
        <v>1</v>
      </c>
      <c r="F11" s="6">
        <v>1</v>
      </c>
      <c r="G11" s="6">
        <v>1</v>
      </c>
      <c r="H11" s="6">
        <v>3</v>
      </c>
      <c r="I11" s="6">
        <v>2</v>
      </c>
      <c r="J11" s="6">
        <v>2</v>
      </c>
      <c r="K11" s="58">
        <v>626731957.64672196</v>
      </c>
      <c r="L11" s="58">
        <v>422041175.40999997</v>
      </c>
      <c r="M11" s="58">
        <v>341967915.48422247</v>
      </c>
      <c r="N11" s="58">
        <f t="shared" si="26"/>
        <v>80073259.925777495</v>
      </c>
      <c r="O11" s="60">
        <f t="shared" si="16"/>
        <v>546658697.7209444</v>
      </c>
      <c r="P11" s="57">
        <v>27764854.609999999</v>
      </c>
      <c r="Q11" s="57">
        <v>27824046.93</v>
      </c>
      <c r="R11" s="57">
        <v>30443162.859999999</v>
      </c>
      <c r="S11" s="61">
        <v>139007063.09999999</v>
      </c>
      <c r="T11" s="57">
        <v>0</v>
      </c>
      <c r="U11" s="57">
        <v>0</v>
      </c>
      <c r="V11" s="62">
        <f t="shared" si="27"/>
        <v>225039127.5</v>
      </c>
      <c r="W11" s="63">
        <f t="shared" si="17"/>
        <v>321619570.2209444</v>
      </c>
      <c r="X11" s="132">
        <f t="shared" si="18"/>
        <v>0.33299664075018875</v>
      </c>
      <c r="Y11" s="57">
        <f t="shared" si="28"/>
        <v>3726070.709812039</v>
      </c>
      <c r="Z11" s="57">
        <f t="shared" si="29"/>
        <v>5554667.1285212273</v>
      </c>
      <c r="AA11" s="57">
        <f t="shared" si="19"/>
        <v>1828596.4187091882</v>
      </c>
      <c r="AB11" s="57">
        <f t="shared" si="20"/>
        <v>1828596.4187091882</v>
      </c>
      <c r="AC11" s="57">
        <f t="shared" si="21"/>
        <v>4293662.8802414285</v>
      </c>
      <c r="AD11" s="57">
        <f t="shared" si="22"/>
        <v>9848330.0099999998</v>
      </c>
      <c r="AE11" s="57">
        <f t="shared" si="30"/>
        <v>6122259.2989506163</v>
      </c>
      <c r="AF11" s="57">
        <f t="shared" si="23"/>
        <v>4748389.2282189447</v>
      </c>
      <c r="AG11" s="57">
        <f t="shared" si="24"/>
        <v>1373870.0707316715</v>
      </c>
      <c r="AH11" s="132">
        <f t="shared" si="25"/>
        <v>0.349469838197555</v>
      </c>
      <c r="AI11" s="112">
        <f t="shared" ref="AI11:AI38" si="31">ROUND(AG11+$AG$8*AH11,2)</f>
        <v>1441834.82</v>
      </c>
    </row>
    <row r="12" spans="1:35" ht="38.25" x14ac:dyDescent="0.2">
      <c r="A12" s="37" t="s">
        <v>71</v>
      </c>
      <c r="B12" s="5" t="s">
        <v>72</v>
      </c>
      <c r="C12" s="8" t="s">
        <v>11</v>
      </c>
      <c r="D12" s="6">
        <v>1</v>
      </c>
      <c r="E12" s="6">
        <v>1</v>
      </c>
      <c r="F12" s="6">
        <v>1</v>
      </c>
      <c r="G12" s="6">
        <v>1</v>
      </c>
      <c r="H12" s="6">
        <v>3</v>
      </c>
      <c r="I12" s="6">
        <v>2</v>
      </c>
      <c r="J12" s="6">
        <v>2</v>
      </c>
      <c r="K12" s="58">
        <v>515150983.11909801</v>
      </c>
      <c r="L12" s="58">
        <v>459662988.44</v>
      </c>
      <c r="M12" s="58">
        <v>587622524.40690279</v>
      </c>
      <c r="N12" s="58">
        <f t="shared" si="26"/>
        <v>0</v>
      </c>
      <c r="O12" s="60">
        <f t="shared" si="16"/>
        <v>515150983.11909801</v>
      </c>
      <c r="P12" s="57">
        <v>22582363.850000001</v>
      </c>
      <c r="Q12" s="57">
        <v>22622242.359999999</v>
      </c>
      <c r="R12" s="57">
        <v>25473123.469999999</v>
      </c>
      <c r="S12" s="61">
        <v>101207235.34999999</v>
      </c>
      <c r="T12" s="57">
        <v>0</v>
      </c>
      <c r="U12" s="57">
        <v>0</v>
      </c>
      <c r="V12" s="62">
        <f t="shared" si="27"/>
        <v>171884965.03</v>
      </c>
      <c r="W12" s="63">
        <f t="shared" si="17"/>
        <v>343266018.08909798</v>
      </c>
      <c r="X12" s="132">
        <f t="shared" si="18"/>
        <v>0.35540881678573716</v>
      </c>
      <c r="Y12" s="57">
        <f t="shared" si="28"/>
        <v>3976852.0764981261</v>
      </c>
      <c r="Z12" s="57">
        <f t="shared" si="29"/>
        <v>5928521.2827938674</v>
      </c>
      <c r="AA12" s="57">
        <f t="shared" si="19"/>
        <v>1951669.2062957413</v>
      </c>
      <c r="AB12" s="57">
        <f t="shared" si="20"/>
        <v>1951669.2062957413</v>
      </c>
      <c r="AC12" s="57">
        <f t="shared" si="21"/>
        <v>4582645.7603464024</v>
      </c>
      <c r="AD12" s="57">
        <f t="shared" si="22"/>
        <v>10511167.039999999</v>
      </c>
      <c r="AE12" s="57">
        <f t="shared" si="30"/>
        <v>6534314.9666421432</v>
      </c>
      <c r="AF12" s="57">
        <f t="shared" si="23"/>
        <v>5067977.2427658588</v>
      </c>
      <c r="AG12" s="57">
        <f t="shared" si="24"/>
        <v>1466337.7238762844</v>
      </c>
      <c r="AH12" s="132">
        <f t="shared" si="25"/>
        <v>0.37299073473018396</v>
      </c>
      <c r="AI12" s="112">
        <f t="shared" si="31"/>
        <v>1538876.81</v>
      </c>
    </row>
    <row r="13" spans="1:35" ht="38.25" x14ac:dyDescent="0.2">
      <c r="A13" s="37" t="s">
        <v>76</v>
      </c>
      <c r="B13" s="5" t="s">
        <v>422</v>
      </c>
      <c r="C13" s="8" t="s">
        <v>461</v>
      </c>
      <c r="D13" s="6">
        <v>2</v>
      </c>
      <c r="E13" s="6">
        <v>2</v>
      </c>
      <c r="F13" s="6">
        <v>1</v>
      </c>
      <c r="G13" s="6">
        <v>1</v>
      </c>
      <c r="H13" s="6">
        <v>1</v>
      </c>
      <c r="I13" s="6">
        <v>2</v>
      </c>
      <c r="J13" s="6">
        <v>2</v>
      </c>
      <c r="K13" s="58">
        <v>45753865.711457402</v>
      </c>
      <c r="L13" s="58">
        <v>18420536.509999998</v>
      </c>
      <c r="M13" s="58">
        <v>12621196.995492605</v>
      </c>
      <c r="N13" s="58">
        <f t="shared" si="26"/>
        <v>5799339.5145073924</v>
      </c>
      <c r="O13" s="60">
        <f t="shared" si="16"/>
        <v>39954526.196950011</v>
      </c>
      <c r="P13" s="57">
        <v>1441260.88</v>
      </c>
      <c r="Q13" s="57">
        <v>1452837.25</v>
      </c>
      <c r="R13" s="57">
        <v>1709047.21</v>
      </c>
      <c r="S13" s="61">
        <v>12386382.18</v>
      </c>
      <c r="T13" s="57">
        <v>4422633.3899999997</v>
      </c>
      <c r="U13" s="57">
        <v>0</v>
      </c>
      <c r="V13" s="62">
        <f t="shared" si="27"/>
        <v>21412160.91</v>
      </c>
      <c r="W13" s="63">
        <f t="shared" si="17"/>
        <v>18542365.286950011</v>
      </c>
      <c r="X13" s="64">
        <f t="shared" si="18"/>
        <v>0</v>
      </c>
      <c r="Y13" s="57">
        <f t="shared" si="28"/>
        <v>214819.52773855388</v>
      </c>
      <c r="Z13" s="57">
        <f t="shared" si="29"/>
        <v>320243.78017077205</v>
      </c>
      <c r="AA13" s="57">
        <f t="shared" si="19"/>
        <v>105424.25243221817</v>
      </c>
      <c r="AB13" s="57">
        <f t="shared" si="20"/>
        <v>105424.25243221817</v>
      </c>
      <c r="AC13" s="57">
        <f t="shared" si="21"/>
        <v>0</v>
      </c>
      <c r="AD13" s="57">
        <f t="shared" si="22"/>
        <v>320243.78000000003</v>
      </c>
      <c r="AE13" s="57">
        <f t="shared" si="30"/>
        <v>105424.25243221817</v>
      </c>
      <c r="AF13" s="57">
        <f t="shared" si="23"/>
        <v>0</v>
      </c>
      <c r="AG13" s="57">
        <f t="shared" si="24"/>
        <v>105424.25243221817</v>
      </c>
      <c r="AH13" s="86">
        <f t="shared" si="25"/>
        <v>0</v>
      </c>
      <c r="AI13" s="112">
        <f>ROUND(AG13+$AG$8*AH13,2)</f>
        <v>105424.25</v>
      </c>
    </row>
    <row r="14" spans="1:35" ht="63.75" x14ac:dyDescent="0.2">
      <c r="A14" s="37" t="s">
        <v>79</v>
      </c>
      <c r="B14" s="5" t="s">
        <v>434</v>
      </c>
      <c r="C14" s="8" t="s">
        <v>319</v>
      </c>
      <c r="D14" s="6">
        <v>2</v>
      </c>
      <c r="E14" s="6">
        <v>2</v>
      </c>
      <c r="F14" s="6">
        <v>1</v>
      </c>
      <c r="G14" s="6">
        <v>1</v>
      </c>
      <c r="H14" s="6">
        <v>1</v>
      </c>
      <c r="I14" s="6">
        <v>2</v>
      </c>
      <c r="J14" s="6">
        <v>2</v>
      </c>
      <c r="K14" s="58">
        <v>104520462.512538</v>
      </c>
      <c r="L14" s="58">
        <v>48277708.689999998</v>
      </c>
      <c r="M14" s="58">
        <v>42484020.952749059</v>
      </c>
      <c r="N14" s="58">
        <f t="shared" si="26"/>
        <v>5793687.737250939</v>
      </c>
      <c r="O14" s="60">
        <f t="shared" si="16"/>
        <v>98726774.775287062</v>
      </c>
      <c r="P14" s="57">
        <v>2144032.77</v>
      </c>
      <c r="Q14" s="57">
        <v>2161378.14</v>
      </c>
      <c r="R14" s="57">
        <v>2706923.09</v>
      </c>
      <c r="S14" s="61">
        <v>15245934.49</v>
      </c>
      <c r="T14" s="57">
        <v>12774258.58</v>
      </c>
      <c r="U14" s="57">
        <v>0</v>
      </c>
      <c r="V14" s="62">
        <f t="shared" si="27"/>
        <v>35032527.07</v>
      </c>
      <c r="W14" s="63">
        <f t="shared" si="17"/>
        <v>63694247.705287062</v>
      </c>
      <c r="X14" s="64">
        <f t="shared" si="18"/>
        <v>0</v>
      </c>
      <c r="Y14" s="57">
        <f t="shared" si="28"/>
        <v>737919.24600590591</v>
      </c>
      <c r="Z14" s="57">
        <f t="shared" si="29"/>
        <v>1100058.5062699851</v>
      </c>
      <c r="AA14" s="57">
        <f t="shared" si="19"/>
        <v>362139.2602640792</v>
      </c>
      <c r="AB14" s="57">
        <f t="shared" si="20"/>
        <v>362139.2602640792</v>
      </c>
      <c r="AC14" s="57">
        <f t="shared" si="21"/>
        <v>0</v>
      </c>
      <c r="AD14" s="57">
        <f t="shared" si="22"/>
        <v>1100058.51</v>
      </c>
      <c r="AE14" s="57">
        <f t="shared" si="30"/>
        <v>362139.2602640792</v>
      </c>
      <c r="AF14" s="57">
        <f t="shared" si="23"/>
        <v>0</v>
      </c>
      <c r="AG14" s="57">
        <f t="shared" si="24"/>
        <v>362139.2602640792</v>
      </c>
      <c r="AH14" s="64">
        <f t="shared" si="25"/>
        <v>0</v>
      </c>
      <c r="AI14" s="112">
        <f>ROUND(AG14+$AG$8*AH14,2)</f>
        <v>362139.26</v>
      </c>
    </row>
    <row r="15" spans="1:35" ht="51" x14ac:dyDescent="0.2">
      <c r="A15" s="37" t="s">
        <v>78</v>
      </c>
      <c r="B15" s="5" t="s">
        <v>377</v>
      </c>
      <c r="C15" s="8" t="s">
        <v>308</v>
      </c>
      <c r="D15" s="6">
        <v>2</v>
      </c>
      <c r="E15" s="6">
        <v>2</v>
      </c>
      <c r="F15" s="6">
        <v>1</v>
      </c>
      <c r="G15" s="6">
        <v>1</v>
      </c>
      <c r="H15" s="6">
        <v>1</v>
      </c>
      <c r="I15" s="6">
        <v>2</v>
      </c>
      <c r="J15" s="6">
        <v>2</v>
      </c>
      <c r="K15" s="58">
        <v>93043221.767258793</v>
      </c>
      <c r="L15" s="58">
        <v>49981144.82</v>
      </c>
      <c r="M15" s="58">
        <v>51719910.31904418</v>
      </c>
      <c r="N15" s="58">
        <f t="shared" si="26"/>
        <v>0</v>
      </c>
      <c r="O15" s="60">
        <f t="shared" si="16"/>
        <v>93043221.767258793</v>
      </c>
      <c r="P15" s="57">
        <v>2833961.67</v>
      </c>
      <c r="Q15" s="57">
        <v>2856723.24</v>
      </c>
      <c r="R15" s="57">
        <v>3316124.72</v>
      </c>
      <c r="S15" s="61">
        <v>17858465.699999999</v>
      </c>
      <c r="T15" s="57">
        <v>10241640.960000001</v>
      </c>
      <c r="U15" s="57">
        <v>0</v>
      </c>
      <c r="V15" s="62">
        <f t="shared" si="27"/>
        <v>37106916.289999999</v>
      </c>
      <c r="W15" s="63">
        <f t="shared" si="17"/>
        <v>55936305.477258794</v>
      </c>
      <c r="X15" s="64">
        <f t="shared" si="18"/>
        <v>0</v>
      </c>
      <c r="Y15" s="57">
        <f t="shared" si="28"/>
        <v>648040.88044372329</v>
      </c>
      <c r="Z15" s="57">
        <f t="shared" si="29"/>
        <v>966071.67627269425</v>
      </c>
      <c r="AA15" s="57">
        <f t="shared" si="19"/>
        <v>318030.79582897096</v>
      </c>
      <c r="AB15" s="57">
        <f t="shared" si="20"/>
        <v>318030.79582897096</v>
      </c>
      <c r="AC15" s="57">
        <f t="shared" si="21"/>
        <v>0</v>
      </c>
      <c r="AD15" s="57">
        <f t="shared" si="22"/>
        <v>966071.68</v>
      </c>
      <c r="AE15" s="57">
        <f t="shared" si="30"/>
        <v>318030.79582897096</v>
      </c>
      <c r="AF15" s="57">
        <f t="shared" si="23"/>
        <v>0</v>
      </c>
      <c r="AG15" s="57">
        <f t="shared" si="24"/>
        <v>318030.79582897096</v>
      </c>
      <c r="AH15" s="64">
        <f t="shared" si="25"/>
        <v>0</v>
      </c>
      <c r="AI15" s="112">
        <f>ROUND(AG15+$AG$8*AH15,2)</f>
        <v>318030.8</v>
      </c>
    </row>
    <row r="16" spans="1:35" ht="51" x14ac:dyDescent="0.2">
      <c r="A16" s="37" t="s">
        <v>172</v>
      </c>
      <c r="B16" s="5" t="s">
        <v>345</v>
      </c>
      <c r="C16" s="8" t="s">
        <v>11</v>
      </c>
      <c r="D16" s="6">
        <v>3</v>
      </c>
      <c r="E16" s="6">
        <v>3</v>
      </c>
      <c r="F16" s="6">
        <v>2</v>
      </c>
      <c r="G16" s="6">
        <v>2</v>
      </c>
      <c r="H16" s="6">
        <v>3</v>
      </c>
      <c r="I16" s="6">
        <v>1</v>
      </c>
      <c r="J16" s="6">
        <v>2</v>
      </c>
      <c r="K16" s="58">
        <v>1467922.4003248301</v>
      </c>
      <c r="L16" s="58">
        <v>0</v>
      </c>
      <c r="M16" s="58">
        <v>0</v>
      </c>
      <c r="N16" s="58">
        <f t="shared" si="26"/>
        <v>0</v>
      </c>
      <c r="O16" s="60">
        <f t="shared" si="16"/>
        <v>1467922.4003248301</v>
      </c>
      <c r="P16" s="57">
        <v>153474.1</v>
      </c>
      <c r="Q16" s="57">
        <v>154692.37</v>
      </c>
      <c r="R16" s="57">
        <v>169209.13</v>
      </c>
      <c r="S16" s="61">
        <v>661277.87</v>
      </c>
      <c r="T16" s="57">
        <v>0</v>
      </c>
      <c r="U16" s="57">
        <v>0</v>
      </c>
      <c r="V16" s="62">
        <f t="shared" si="27"/>
        <v>1138653.47</v>
      </c>
      <c r="W16" s="63">
        <f t="shared" si="17"/>
        <v>329268.93032483011</v>
      </c>
      <c r="X16" s="64">
        <f t="shared" si="18"/>
        <v>0</v>
      </c>
      <c r="Y16" s="57">
        <f t="shared" si="28"/>
        <v>3814.6911150078831</v>
      </c>
      <c r="Z16" s="57">
        <f t="shared" si="29"/>
        <v>5686.7786449133619</v>
      </c>
      <c r="AA16" s="57">
        <f t="shared" si="19"/>
        <v>1872.0875299054787</v>
      </c>
      <c r="AB16" s="57">
        <f t="shared" si="20"/>
        <v>0</v>
      </c>
      <c r="AC16" s="57">
        <f t="shared" si="21"/>
        <v>0</v>
      </c>
      <c r="AD16" s="57">
        <f t="shared" si="22"/>
        <v>3814.69</v>
      </c>
      <c r="AE16" s="57">
        <f t="shared" si="30"/>
        <v>0</v>
      </c>
      <c r="AF16" s="57">
        <f t="shared" si="23"/>
        <v>0</v>
      </c>
      <c r="AG16" s="57">
        <f t="shared" si="24"/>
        <v>0</v>
      </c>
      <c r="AH16" s="64">
        <f t="shared" si="25"/>
        <v>0</v>
      </c>
      <c r="AI16" s="112">
        <f t="shared" si="31"/>
        <v>0</v>
      </c>
    </row>
    <row r="17" spans="1:35" ht="25.5" x14ac:dyDescent="0.2">
      <c r="A17" s="37" t="s">
        <v>152</v>
      </c>
      <c r="B17" s="5" t="s">
        <v>413</v>
      </c>
      <c r="C17" s="8" t="s">
        <v>462</v>
      </c>
      <c r="D17" s="6">
        <v>3</v>
      </c>
      <c r="E17" s="6">
        <v>3</v>
      </c>
      <c r="F17" s="6">
        <v>2</v>
      </c>
      <c r="G17" s="6">
        <v>2</v>
      </c>
      <c r="H17" s="6">
        <v>1</v>
      </c>
      <c r="I17" s="6">
        <v>2</v>
      </c>
      <c r="J17" s="6">
        <v>1</v>
      </c>
      <c r="K17" s="58">
        <v>4096868.2268329398</v>
      </c>
      <c r="L17" s="58">
        <v>27534.949999999997</v>
      </c>
      <c r="M17" s="58">
        <v>0</v>
      </c>
      <c r="N17" s="58">
        <f t="shared" si="26"/>
        <v>27534.949999999997</v>
      </c>
      <c r="O17" s="60">
        <f t="shared" si="16"/>
        <v>4069333.2768329396</v>
      </c>
      <c r="P17" s="57">
        <v>241985.58</v>
      </c>
      <c r="Q17" s="57">
        <v>243907.59</v>
      </c>
      <c r="R17" s="57">
        <v>265370.36</v>
      </c>
      <c r="S17" s="61">
        <v>1509645.7</v>
      </c>
      <c r="T17" s="57">
        <v>0</v>
      </c>
      <c r="U17" s="57">
        <v>0</v>
      </c>
      <c r="V17" s="62">
        <f t="shared" si="27"/>
        <v>2260909.23</v>
      </c>
      <c r="W17" s="63">
        <f t="shared" si="17"/>
        <v>1808424.0468329396</v>
      </c>
      <c r="X17" s="64">
        <f t="shared" si="18"/>
        <v>0</v>
      </c>
      <c r="Y17" s="57">
        <f t="shared" si="28"/>
        <v>20951.199789225888</v>
      </c>
      <c r="Z17" s="57">
        <f t="shared" si="29"/>
        <v>31233.154128243721</v>
      </c>
      <c r="AA17" s="57">
        <f t="shared" si="19"/>
        <v>10281.954339017833</v>
      </c>
      <c r="AB17" s="57">
        <f t="shared" si="20"/>
        <v>0</v>
      </c>
      <c r="AC17" s="57">
        <f t="shared" si="21"/>
        <v>0</v>
      </c>
      <c r="AD17" s="57">
        <f t="shared" si="22"/>
        <v>20951.2</v>
      </c>
      <c r="AE17" s="57">
        <f t="shared" si="30"/>
        <v>0</v>
      </c>
      <c r="AF17" s="57">
        <f t="shared" si="23"/>
        <v>0</v>
      </c>
      <c r="AG17" s="57">
        <f t="shared" si="24"/>
        <v>0</v>
      </c>
      <c r="AH17" s="64">
        <f t="shared" si="25"/>
        <v>0</v>
      </c>
      <c r="AI17" s="112">
        <f t="shared" si="31"/>
        <v>0</v>
      </c>
    </row>
    <row r="18" spans="1:35" ht="25.5" x14ac:dyDescent="0.2">
      <c r="A18" s="37" t="s">
        <v>153</v>
      </c>
      <c r="B18" s="5" t="s">
        <v>350</v>
      </c>
      <c r="C18" s="8" t="s">
        <v>11</v>
      </c>
      <c r="D18" s="6">
        <v>3</v>
      </c>
      <c r="E18" s="6">
        <v>3</v>
      </c>
      <c r="F18" s="6">
        <v>2</v>
      </c>
      <c r="G18" s="6">
        <v>2</v>
      </c>
      <c r="H18" s="6">
        <v>3</v>
      </c>
      <c r="I18" s="6">
        <v>2</v>
      </c>
      <c r="J18" s="6">
        <v>1</v>
      </c>
      <c r="K18" s="58">
        <v>2071030.16181599</v>
      </c>
      <c r="L18" s="58">
        <v>29591.800000000003</v>
      </c>
      <c r="M18" s="58">
        <v>0</v>
      </c>
      <c r="N18" s="58">
        <f t="shared" si="26"/>
        <v>29591.800000000003</v>
      </c>
      <c r="O18" s="60">
        <f t="shared" si="16"/>
        <v>2041438.3618159899</v>
      </c>
      <c r="P18" s="57">
        <v>497651.63</v>
      </c>
      <c r="Q18" s="57">
        <v>501595.12</v>
      </c>
      <c r="R18" s="57">
        <v>0</v>
      </c>
      <c r="S18" s="61">
        <v>978565.74</v>
      </c>
      <c r="T18" s="57">
        <v>0</v>
      </c>
      <c r="U18" s="57">
        <v>0</v>
      </c>
      <c r="V18" s="62">
        <f t="shared" si="27"/>
        <v>1977812.49</v>
      </c>
      <c r="W18" s="63">
        <f t="shared" si="17"/>
        <v>63625.871815989958</v>
      </c>
      <c r="X18" s="64">
        <f t="shared" si="18"/>
        <v>0</v>
      </c>
      <c r="Y18" s="57">
        <f t="shared" si="28"/>
        <v>737.1270883701244</v>
      </c>
      <c r="Z18" s="57">
        <f t="shared" si="29"/>
        <v>1098.8775914879614</v>
      </c>
      <c r="AA18" s="57">
        <f t="shared" si="19"/>
        <v>361.75050311783696</v>
      </c>
      <c r="AB18" s="57">
        <f t="shared" si="20"/>
        <v>0</v>
      </c>
      <c r="AC18" s="57">
        <f t="shared" si="21"/>
        <v>0</v>
      </c>
      <c r="AD18" s="57">
        <f t="shared" si="22"/>
        <v>737.13</v>
      </c>
      <c r="AE18" s="57">
        <f t="shared" si="30"/>
        <v>0</v>
      </c>
      <c r="AF18" s="57">
        <f t="shared" si="23"/>
        <v>0</v>
      </c>
      <c r="AG18" s="57">
        <f t="shared" si="24"/>
        <v>0</v>
      </c>
      <c r="AH18" s="64">
        <f t="shared" si="25"/>
        <v>0</v>
      </c>
      <c r="AI18" s="112">
        <f t="shared" si="31"/>
        <v>0</v>
      </c>
    </row>
    <row r="19" spans="1:35" ht="51" x14ac:dyDescent="0.2">
      <c r="A19" s="37" t="s">
        <v>130</v>
      </c>
      <c r="B19" s="5" t="s">
        <v>427</v>
      </c>
      <c r="C19" s="8" t="s">
        <v>463</v>
      </c>
      <c r="D19" s="6">
        <v>3</v>
      </c>
      <c r="E19" s="6">
        <v>3</v>
      </c>
      <c r="F19" s="6">
        <v>1</v>
      </c>
      <c r="G19" s="6">
        <v>1</v>
      </c>
      <c r="H19" s="6">
        <v>2</v>
      </c>
      <c r="I19" s="6">
        <v>2</v>
      </c>
      <c r="J19" s="6">
        <v>2</v>
      </c>
      <c r="K19" s="58">
        <v>1816197.2273921401</v>
      </c>
      <c r="L19" s="58">
        <v>201302.99</v>
      </c>
      <c r="M19" s="58">
        <v>202005</v>
      </c>
      <c r="N19" s="58">
        <f t="shared" si="26"/>
        <v>0</v>
      </c>
      <c r="O19" s="60">
        <f t="shared" si="16"/>
        <v>1816197.2273921401</v>
      </c>
      <c r="P19" s="57">
        <v>252772.61</v>
      </c>
      <c r="Q19" s="57">
        <v>254790.72</v>
      </c>
      <c r="R19" s="57">
        <v>286495.13</v>
      </c>
      <c r="S19" s="61">
        <v>982892.25</v>
      </c>
      <c r="T19" s="57">
        <v>0</v>
      </c>
      <c r="U19" s="57">
        <v>0</v>
      </c>
      <c r="V19" s="62">
        <f t="shared" si="27"/>
        <v>1776950.71</v>
      </c>
      <c r="W19" s="63">
        <f t="shared" si="17"/>
        <v>39246.517392140115</v>
      </c>
      <c r="X19" s="64">
        <f t="shared" si="18"/>
        <v>0</v>
      </c>
      <c r="Y19" s="57">
        <f t="shared" si="28"/>
        <v>454.68408162016431</v>
      </c>
      <c r="Z19" s="57">
        <f t="shared" si="29"/>
        <v>677.82361601097841</v>
      </c>
      <c r="AA19" s="57">
        <f t="shared" si="19"/>
        <v>223.13953439081411</v>
      </c>
      <c r="AB19" s="57">
        <f t="shared" si="20"/>
        <v>223.13953439081411</v>
      </c>
      <c r="AC19" s="57">
        <f t="shared" si="21"/>
        <v>0</v>
      </c>
      <c r="AD19" s="57">
        <f t="shared" si="22"/>
        <v>677.82</v>
      </c>
      <c r="AE19" s="57">
        <f t="shared" si="30"/>
        <v>223.13953439081411</v>
      </c>
      <c r="AF19" s="57">
        <f t="shared" si="23"/>
        <v>0</v>
      </c>
      <c r="AG19" s="57">
        <f t="shared" si="24"/>
        <v>223.13953439081411</v>
      </c>
      <c r="AH19" s="64">
        <f t="shared" si="25"/>
        <v>0</v>
      </c>
      <c r="AI19" s="112">
        <f t="shared" si="31"/>
        <v>223.14</v>
      </c>
    </row>
    <row r="20" spans="1:35" ht="51" x14ac:dyDescent="0.2">
      <c r="A20" s="37" t="s">
        <v>131</v>
      </c>
      <c r="B20" s="5" t="s">
        <v>388</v>
      </c>
      <c r="C20" s="8" t="s">
        <v>464</v>
      </c>
      <c r="D20" s="6">
        <v>3</v>
      </c>
      <c r="E20" s="6">
        <v>3</v>
      </c>
      <c r="F20" s="6">
        <v>1</v>
      </c>
      <c r="G20" s="6">
        <v>1</v>
      </c>
      <c r="H20" s="6">
        <v>2</v>
      </c>
      <c r="I20" s="6">
        <v>2</v>
      </c>
      <c r="J20" s="6">
        <v>2</v>
      </c>
      <c r="K20" s="58">
        <v>694224.66054292698</v>
      </c>
      <c r="L20" s="58">
        <v>112116</v>
      </c>
      <c r="M20" s="58">
        <v>9863</v>
      </c>
      <c r="N20" s="58">
        <f t="shared" si="26"/>
        <v>102253</v>
      </c>
      <c r="O20" s="60">
        <f t="shared" si="16"/>
        <v>591971.66054292698</v>
      </c>
      <c r="P20" s="57">
        <v>38224.83</v>
      </c>
      <c r="Q20" s="57">
        <v>38532.65</v>
      </c>
      <c r="R20" s="57">
        <v>0</v>
      </c>
      <c r="S20" s="61">
        <v>169065.18</v>
      </c>
      <c r="T20" s="57">
        <v>60077.67</v>
      </c>
      <c r="U20" s="57">
        <v>0</v>
      </c>
      <c r="V20" s="62">
        <f t="shared" si="27"/>
        <v>305900.33</v>
      </c>
      <c r="W20" s="63">
        <f t="shared" si="17"/>
        <v>286071.33054292697</v>
      </c>
      <c r="X20" s="64">
        <f t="shared" si="18"/>
        <v>0</v>
      </c>
      <c r="Y20" s="57">
        <f t="shared" si="28"/>
        <v>3314.2324172645876</v>
      </c>
      <c r="Z20" s="57">
        <f t="shared" si="29"/>
        <v>4940.7161855464938</v>
      </c>
      <c r="AA20" s="57">
        <f t="shared" si="19"/>
        <v>1626.4837682819061</v>
      </c>
      <c r="AB20" s="57">
        <f t="shared" si="20"/>
        <v>1626.4837682819061</v>
      </c>
      <c r="AC20" s="57">
        <f t="shared" si="21"/>
        <v>0</v>
      </c>
      <c r="AD20" s="57">
        <f t="shared" si="22"/>
        <v>4940.72</v>
      </c>
      <c r="AE20" s="57">
        <f t="shared" si="30"/>
        <v>1626.4837682819061</v>
      </c>
      <c r="AF20" s="57">
        <f t="shared" si="23"/>
        <v>0</v>
      </c>
      <c r="AG20" s="57">
        <f t="shared" si="24"/>
        <v>1626.4837682819061</v>
      </c>
      <c r="AH20" s="64">
        <f t="shared" si="25"/>
        <v>0</v>
      </c>
      <c r="AI20" s="112">
        <f t="shared" si="31"/>
        <v>1626.48</v>
      </c>
    </row>
    <row r="21" spans="1:35" x14ac:dyDescent="0.2">
      <c r="A21" s="37" t="s">
        <v>154</v>
      </c>
      <c r="B21" s="5" t="s">
        <v>354</v>
      </c>
      <c r="C21" s="8" t="s">
        <v>11</v>
      </c>
      <c r="D21" s="6">
        <v>3</v>
      </c>
      <c r="E21" s="6">
        <v>3</v>
      </c>
      <c r="F21" s="6">
        <v>2</v>
      </c>
      <c r="G21" s="6">
        <v>2</v>
      </c>
      <c r="H21" s="6">
        <v>3</v>
      </c>
      <c r="I21" s="6">
        <v>2</v>
      </c>
      <c r="J21" s="6">
        <v>1</v>
      </c>
      <c r="K21" s="58">
        <v>2986950.3782009198</v>
      </c>
      <c r="L21" s="58">
        <v>6121.6900000000005</v>
      </c>
      <c r="M21" s="58">
        <v>0</v>
      </c>
      <c r="N21" s="58">
        <f t="shared" si="26"/>
        <v>6121.6900000000005</v>
      </c>
      <c r="O21" s="60">
        <f t="shared" si="16"/>
        <v>2980828.6882009199</v>
      </c>
      <c r="P21" s="57">
        <v>517646.6</v>
      </c>
      <c r="Q21" s="57">
        <v>521745.31</v>
      </c>
      <c r="R21" s="57">
        <v>549916.91</v>
      </c>
      <c r="S21" s="61">
        <v>1337504.3</v>
      </c>
      <c r="T21" s="57">
        <v>0</v>
      </c>
      <c r="U21" s="57">
        <v>0</v>
      </c>
      <c r="V21" s="62">
        <f t="shared" si="27"/>
        <v>2926813.12</v>
      </c>
      <c r="W21" s="63">
        <f t="shared" si="17"/>
        <v>54015.568200919777</v>
      </c>
      <c r="X21" s="64">
        <f t="shared" si="18"/>
        <v>0</v>
      </c>
      <c r="Y21" s="57">
        <f t="shared" si="28"/>
        <v>625.78849417974561</v>
      </c>
      <c r="Z21" s="57">
        <f t="shared" si="29"/>
        <v>932.89876890242351</v>
      </c>
      <c r="AA21" s="57">
        <f t="shared" si="19"/>
        <v>307.1102747226779</v>
      </c>
      <c r="AB21" s="57">
        <f t="shared" si="20"/>
        <v>0</v>
      </c>
      <c r="AC21" s="57">
        <f t="shared" si="21"/>
        <v>0</v>
      </c>
      <c r="AD21" s="57">
        <f t="shared" si="22"/>
        <v>625.79</v>
      </c>
      <c r="AE21" s="57">
        <f t="shared" si="30"/>
        <v>0</v>
      </c>
      <c r="AF21" s="57">
        <f t="shared" si="23"/>
        <v>0</v>
      </c>
      <c r="AG21" s="57">
        <f t="shared" si="24"/>
        <v>0</v>
      </c>
      <c r="AH21" s="64">
        <f t="shared" si="25"/>
        <v>0</v>
      </c>
      <c r="AI21" s="112">
        <f t="shared" si="31"/>
        <v>0</v>
      </c>
    </row>
    <row r="22" spans="1:35" ht="38.25" x14ac:dyDescent="0.2">
      <c r="A22" s="37" t="s">
        <v>110</v>
      </c>
      <c r="B22" s="5" t="s">
        <v>111</v>
      </c>
      <c r="C22" s="8" t="s">
        <v>465</v>
      </c>
      <c r="D22" s="6">
        <v>3</v>
      </c>
      <c r="E22" s="6">
        <v>3</v>
      </c>
      <c r="F22" s="6">
        <v>1</v>
      </c>
      <c r="G22" s="6">
        <v>1</v>
      </c>
      <c r="H22" s="6">
        <v>2</v>
      </c>
      <c r="I22" s="6">
        <v>2</v>
      </c>
      <c r="J22" s="6">
        <v>2</v>
      </c>
      <c r="K22" s="58">
        <v>4091624.07340371</v>
      </c>
      <c r="L22" s="58">
        <v>1943227.02</v>
      </c>
      <c r="M22" s="58">
        <v>208.41493104654364</v>
      </c>
      <c r="N22" s="58">
        <f t="shared" si="26"/>
        <v>1943018.6050689535</v>
      </c>
      <c r="O22" s="60">
        <f t="shared" si="16"/>
        <v>2148605.4683347568</v>
      </c>
      <c r="P22" s="57">
        <v>127002.97</v>
      </c>
      <c r="Q22" s="57">
        <v>128022.91</v>
      </c>
      <c r="R22" s="57">
        <v>150459.65</v>
      </c>
      <c r="S22" s="61">
        <v>643271.79</v>
      </c>
      <c r="T22" s="57">
        <v>375097.14</v>
      </c>
      <c r="U22" s="57">
        <v>0</v>
      </c>
      <c r="V22" s="62">
        <f t="shared" si="27"/>
        <v>1423854.46</v>
      </c>
      <c r="W22" s="63">
        <f t="shared" si="17"/>
        <v>724751.00833475683</v>
      </c>
      <c r="X22" s="64">
        <f t="shared" si="18"/>
        <v>0</v>
      </c>
      <c r="Y22" s="57">
        <f t="shared" si="28"/>
        <v>8396.4837780478429</v>
      </c>
      <c r="Z22" s="57">
        <f t="shared" si="29"/>
        <v>12517.1195260105</v>
      </c>
      <c r="AA22" s="57">
        <f t="shared" si="19"/>
        <v>4120.6357479626568</v>
      </c>
      <c r="AB22" s="57">
        <f t="shared" si="20"/>
        <v>4120.6357479626568</v>
      </c>
      <c r="AC22" s="57">
        <f t="shared" si="21"/>
        <v>0</v>
      </c>
      <c r="AD22" s="57">
        <f t="shared" si="22"/>
        <v>12517.12</v>
      </c>
      <c r="AE22" s="57">
        <f t="shared" si="30"/>
        <v>4120.6357479626568</v>
      </c>
      <c r="AF22" s="57">
        <f t="shared" si="23"/>
        <v>0</v>
      </c>
      <c r="AG22" s="57">
        <f t="shared" si="24"/>
        <v>4120.6357479626568</v>
      </c>
      <c r="AH22" s="64">
        <f t="shared" si="25"/>
        <v>0</v>
      </c>
      <c r="AI22" s="112">
        <f t="shared" si="31"/>
        <v>4120.6400000000003</v>
      </c>
    </row>
    <row r="23" spans="1:35" ht="51" x14ac:dyDescent="0.2">
      <c r="A23" s="37" t="s">
        <v>268</v>
      </c>
      <c r="B23" s="5" t="s">
        <v>336</v>
      </c>
      <c r="C23" s="8" t="s">
        <v>304</v>
      </c>
      <c r="D23" s="6">
        <v>3</v>
      </c>
      <c r="E23" s="6">
        <v>3</v>
      </c>
      <c r="F23" s="6">
        <v>2</v>
      </c>
      <c r="G23" s="6">
        <v>2</v>
      </c>
      <c r="H23" s="6">
        <v>3</v>
      </c>
      <c r="I23" s="6">
        <v>1</v>
      </c>
      <c r="J23" s="6">
        <v>2</v>
      </c>
      <c r="K23" s="58">
        <v>34305946.508830801</v>
      </c>
      <c r="L23" s="58">
        <v>4596543.5600000005</v>
      </c>
      <c r="M23" s="58">
        <v>727967</v>
      </c>
      <c r="N23" s="58">
        <f t="shared" si="26"/>
        <v>3868576.5600000005</v>
      </c>
      <c r="O23" s="60">
        <f t="shared" si="16"/>
        <v>30437369.948830798</v>
      </c>
      <c r="P23" s="57">
        <v>50381.47</v>
      </c>
      <c r="Q23" s="57">
        <v>50846.879999999997</v>
      </c>
      <c r="R23" s="57">
        <v>144727.16</v>
      </c>
      <c r="S23" s="61">
        <v>573518.49</v>
      </c>
      <c r="T23" s="57">
        <v>0</v>
      </c>
      <c r="U23" s="57">
        <v>0</v>
      </c>
      <c r="V23" s="62">
        <f t="shared" si="27"/>
        <v>819474</v>
      </c>
      <c r="W23" s="63">
        <f t="shared" si="17"/>
        <v>29617895.948830798</v>
      </c>
      <c r="X23" s="64">
        <f t="shared" si="18"/>
        <v>0</v>
      </c>
      <c r="Y23" s="57">
        <f t="shared" si="28"/>
        <v>343133.26923913771</v>
      </c>
      <c r="Z23" s="57">
        <f t="shared" si="29"/>
        <v>511528.42760753987</v>
      </c>
      <c r="AA23" s="57">
        <f t="shared" si="19"/>
        <v>168395.15836840216</v>
      </c>
      <c r="AB23" s="57">
        <f t="shared" si="20"/>
        <v>0</v>
      </c>
      <c r="AC23" s="57">
        <f t="shared" si="21"/>
        <v>0</v>
      </c>
      <c r="AD23" s="57">
        <f t="shared" si="22"/>
        <v>343133.27</v>
      </c>
      <c r="AE23" s="57">
        <f t="shared" si="30"/>
        <v>0</v>
      </c>
      <c r="AF23" s="57">
        <f t="shared" si="23"/>
        <v>0</v>
      </c>
      <c r="AG23" s="57">
        <f t="shared" si="24"/>
        <v>0</v>
      </c>
      <c r="AH23" s="64">
        <f t="shared" si="25"/>
        <v>0</v>
      </c>
      <c r="AI23" s="112">
        <f t="shared" si="31"/>
        <v>0</v>
      </c>
    </row>
    <row r="24" spans="1:35" ht="25.5" x14ac:dyDescent="0.2">
      <c r="A24" s="37" t="s">
        <v>271</v>
      </c>
      <c r="B24" s="5" t="s">
        <v>339</v>
      </c>
      <c r="C24" s="8" t="s">
        <v>304</v>
      </c>
      <c r="D24" s="6">
        <v>3</v>
      </c>
      <c r="E24" s="6">
        <v>3</v>
      </c>
      <c r="F24" s="6">
        <v>2</v>
      </c>
      <c r="G24" s="6">
        <v>2</v>
      </c>
      <c r="H24" s="6">
        <v>3</v>
      </c>
      <c r="I24" s="6">
        <v>2</v>
      </c>
      <c r="J24" s="6">
        <v>2</v>
      </c>
      <c r="K24" s="58">
        <v>1498065.9094737601</v>
      </c>
      <c r="L24" s="58">
        <v>66016.559999999983</v>
      </c>
      <c r="M24" s="58">
        <v>109507.64511342006</v>
      </c>
      <c r="N24" s="58">
        <f t="shared" si="26"/>
        <v>0</v>
      </c>
      <c r="O24" s="60">
        <f t="shared" si="16"/>
        <v>1498065.9094737601</v>
      </c>
      <c r="P24" s="57">
        <v>127949.1</v>
      </c>
      <c r="Q24" s="57">
        <v>128997.36</v>
      </c>
      <c r="R24" s="57">
        <v>171201.83</v>
      </c>
      <c r="S24" s="61">
        <v>981576.9</v>
      </c>
      <c r="T24" s="57">
        <v>0</v>
      </c>
      <c r="U24" s="57">
        <v>0</v>
      </c>
      <c r="V24" s="62">
        <f t="shared" si="27"/>
        <v>1409725.19</v>
      </c>
      <c r="W24" s="63">
        <f t="shared" si="17"/>
        <v>88340.719473760109</v>
      </c>
      <c r="X24" s="64">
        <f t="shared" si="18"/>
        <v>0</v>
      </c>
      <c r="Y24" s="57">
        <f t="shared" si="28"/>
        <v>1023.4568968821534</v>
      </c>
      <c r="Z24" s="57">
        <f t="shared" si="29"/>
        <v>1525.7258450837112</v>
      </c>
      <c r="AA24" s="57">
        <f t="shared" si="19"/>
        <v>502.26894820155781</v>
      </c>
      <c r="AB24" s="57">
        <f t="shared" si="20"/>
        <v>0</v>
      </c>
      <c r="AC24" s="57">
        <f t="shared" si="21"/>
        <v>0</v>
      </c>
      <c r="AD24" s="57">
        <f t="shared" si="22"/>
        <v>1023.46</v>
      </c>
      <c r="AE24" s="57">
        <f t="shared" si="30"/>
        <v>0</v>
      </c>
      <c r="AF24" s="57">
        <f t="shared" si="23"/>
        <v>0</v>
      </c>
      <c r="AG24" s="57">
        <f t="shared" si="24"/>
        <v>0</v>
      </c>
      <c r="AH24" s="64">
        <f t="shared" si="25"/>
        <v>0</v>
      </c>
      <c r="AI24" s="112">
        <f t="shared" si="31"/>
        <v>0</v>
      </c>
    </row>
    <row r="25" spans="1:35" ht="38.25" x14ac:dyDescent="0.2">
      <c r="A25" s="37" t="s">
        <v>93</v>
      </c>
      <c r="B25" s="5" t="s">
        <v>94</v>
      </c>
      <c r="C25" s="8" t="s">
        <v>466</v>
      </c>
      <c r="D25" s="6">
        <v>3</v>
      </c>
      <c r="E25" s="6">
        <v>3</v>
      </c>
      <c r="F25" s="6">
        <v>1</v>
      </c>
      <c r="G25" s="6">
        <v>1</v>
      </c>
      <c r="H25" s="6">
        <v>2</v>
      </c>
      <c r="I25" s="6">
        <v>2</v>
      </c>
      <c r="J25" s="6">
        <v>2</v>
      </c>
      <c r="K25" s="58">
        <v>92316.826618760504</v>
      </c>
      <c r="L25" s="58">
        <v>131874.91</v>
      </c>
      <c r="M25" s="58">
        <v>132152.95575534605</v>
      </c>
      <c r="N25" s="58">
        <f t="shared" si="26"/>
        <v>0</v>
      </c>
      <c r="O25" s="60">
        <f t="shared" si="16"/>
        <v>92316.826618760504</v>
      </c>
      <c r="P25" s="57">
        <v>10659.83</v>
      </c>
      <c r="Q25" s="57">
        <v>10745.28</v>
      </c>
      <c r="R25" s="57">
        <v>12117.17</v>
      </c>
      <c r="S25" s="61">
        <v>56537.05</v>
      </c>
      <c r="T25" s="57">
        <v>0</v>
      </c>
      <c r="U25" s="57">
        <v>0</v>
      </c>
      <c r="V25" s="62">
        <f t="shared" si="27"/>
        <v>90059.33</v>
      </c>
      <c r="W25" s="63">
        <f t="shared" si="17"/>
        <v>2257.4966187605023</v>
      </c>
      <c r="X25" s="64">
        <f t="shared" si="18"/>
        <v>0</v>
      </c>
      <c r="Y25" s="57">
        <f t="shared" si="28"/>
        <v>26.15385631814841</v>
      </c>
      <c r="Z25" s="57">
        <f t="shared" si="29"/>
        <v>38.989052352636271</v>
      </c>
      <c r="AA25" s="57">
        <f t="shared" si="19"/>
        <v>12.835196034487861</v>
      </c>
      <c r="AB25" s="57">
        <f t="shared" si="20"/>
        <v>12.835196034487861</v>
      </c>
      <c r="AC25" s="57">
        <f t="shared" si="21"/>
        <v>0</v>
      </c>
      <c r="AD25" s="83">
        <f t="shared" si="22"/>
        <v>38.99</v>
      </c>
      <c r="AE25" s="57">
        <f t="shared" si="30"/>
        <v>12.835196034487861</v>
      </c>
      <c r="AF25" s="57">
        <f t="shared" si="23"/>
        <v>0</v>
      </c>
      <c r="AG25" s="82">
        <f t="shared" si="24"/>
        <v>12.835196034487861</v>
      </c>
      <c r="AH25" s="64">
        <f t="shared" si="25"/>
        <v>0</v>
      </c>
      <c r="AI25" s="112">
        <f t="shared" si="31"/>
        <v>12.84</v>
      </c>
    </row>
    <row r="26" spans="1:35" ht="76.5" x14ac:dyDescent="0.2">
      <c r="A26" s="37" t="s">
        <v>265</v>
      </c>
      <c r="B26" s="22" t="s">
        <v>455</v>
      </c>
      <c r="C26" s="5" t="s">
        <v>26</v>
      </c>
      <c r="D26" s="88">
        <v>3</v>
      </c>
      <c r="E26" s="88">
        <v>3</v>
      </c>
      <c r="F26" s="6">
        <v>2</v>
      </c>
      <c r="G26" s="6">
        <v>2</v>
      </c>
      <c r="H26" s="5" t="s">
        <v>545</v>
      </c>
      <c r="I26" s="5" t="s">
        <v>545</v>
      </c>
      <c r="J26" s="5" t="s">
        <v>545</v>
      </c>
      <c r="K26" s="58">
        <v>0</v>
      </c>
      <c r="L26" s="58">
        <v>0</v>
      </c>
      <c r="M26" s="58">
        <v>0</v>
      </c>
      <c r="N26" s="58">
        <f t="shared" si="26"/>
        <v>0</v>
      </c>
      <c r="O26" s="60">
        <f t="shared" si="16"/>
        <v>0</v>
      </c>
      <c r="P26" s="57">
        <v>596964.68999999994</v>
      </c>
      <c r="Q26" s="57">
        <v>601740</v>
      </c>
      <c r="R26" s="57">
        <v>674015.44</v>
      </c>
      <c r="S26" s="61">
        <v>0</v>
      </c>
      <c r="T26" s="57">
        <v>0</v>
      </c>
      <c r="U26" s="57">
        <v>1872720.13</v>
      </c>
      <c r="V26" s="62">
        <f t="shared" si="27"/>
        <v>0</v>
      </c>
      <c r="W26" s="63">
        <f t="shared" si="17"/>
        <v>0</v>
      </c>
      <c r="X26" s="64">
        <f t="shared" si="18"/>
        <v>0</v>
      </c>
      <c r="Y26" s="57">
        <f t="shared" si="28"/>
        <v>0</v>
      </c>
      <c r="Z26" s="57">
        <f t="shared" si="29"/>
        <v>0</v>
      </c>
      <c r="AA26" s="57">
        <f t="shared" si="19"/>
        <v>0</v>
      </c>
      <c r="AB26" s="57">
        <f t="shared" si="20"/>
        <v>0</v>
      </c>
      <c r="AC26" s="57">
        <f t="shared" si="21"/>
        <v>0</v>
      </c>
      <c r="AD26" s="57">
        <f t="shared" si="22"/>
        <v>0</v>
      </c>
      <c r="AE26" s="57">
        <f t="shared" si="30"/>
        <v>0</v>
      </c>
      <c r="AF26" s="57">
        <f t="shared" si="23"/>
        <v>0</v>
      </c>
      <c r="AG26" s="57">
        <f t="shared" si="24"/>
        <v>0</v>
      </c>
      <c r="AH26" s="64">
        <f t="shared" si="25"/>
        <v>0</v>
      </c>
      <c r="AI26" s="112">
        <f t="shared" si="31"/>
        <v>0</v>
      </c>
    </row>
    <row r="27" spans="1:35" ht="63.75" x14ac:dyDescent="0.2">
      <c r="A27" s="37" t="s">
        <v>98</v>
      </c>
      <c r="B27" s="5" t="s">
        <v>417</v>
      </c>
      <c r="C27" s="8" t="s">
        <v>468</v>
      </c>
      <c r="D27" s="6">
        <v>3</v>
      </c>
      <c r="E27" s="6">
        <v>3</v>
      </c>
      <c r="F27" s="6">
        <v>1</v>
      </c>
      <c r="G27" s="6">
        <v>1</v>
      </c>
      <c r="H27" s="6">
        <v>2</v>
      </c>
      <c r="I27" s="6">
        <v>2</v>
      </c>
      <c r="J27" s="6">
        <v>2</v>
      </c>
      <c r="K27" s="58">
        <v>362266.81168540299</v>
      </c>
      <c r="L27" s="58">
        <v>347939.86</v>
      </c>
      <c r="M27" s="58">
        <v>217214.34090534045</v>
      </c>
      <c r="N27" s="58">
        <f t="shared" si="26"/>
        <v>130725.51909465954</v>
      </c>
      <c r="O27" s="60">
        <f t="shared" si="16"/>
        <v>231541.29259074345</v>
      </c>
      <c r="P27" s="57">
        <v>16209.3</v>
      </c>
      <c r="Q27" s="57">
        <v>16338.69</v>
      </c>
      <c r="R27" s="57">
        <v>17981.599999999999</v>
      </c>
      <c r="S27" s="61">
        <v>70158.679999999993</v>
      </c>
      <c r="T27" s="57">
        <v>37355.449999999997</v>
      </c>
      <c r="U27" s="57">
        <v>0</v>
      </c>
      <c r="V27" s="62">
        <f t="shared" si="27"/>
        <v>158043.71999999997</v>
      </c>
      <c r="W27" s="63">
        <f t="shared" si="17"/>
        <v>73497.572590743483</v>
      </c>
      <c r="X27" s="64">
        <f t="shared" si="18"/>
        <v>0</v>
      </c>
      <c r="Y27" s="57">
        <f t="shared" si="28"/>
        <v>851.49405642362058</v>
      </c>
      <c r="Z27" s="57">
        <f t="shared" si="29"/>
        <v>1269.3709845313367</v>
      </c>
      <c r="AA27" s="57">
        <f t="shared" si="19"/>
        <v>417.87692810771614</v>
      </c>
      <c r="AB27" s="57">
        <f t="shared" si="20"/>
        <v>417.87692810771614</v>
      </c>
      <c r="AC27" s="57">
        <f t="shared" si="21"/>
        <v>0</v>
      </c>
      <c r="AD27" s="57">
        <f t="shared" si="22"/>
        <v>1269.3699999999999</v>
      </c>
      <c r="AE27" s="57">
        <f t="shared" si="30"/>
        <v>417.87692810771614</v>
      </c>
      <c r="AF27" s="57">
        <f t="shared" si="23"/>
        <v>0</v>
      </c>
      <c r="AG27" s="57">
        <f t="shared" si="24"/>
        <v>417.87692810771614</v>
      </c>
      <c r="AH27" s="64">
        <f t="shared" si="25"/>
        <v>0</v>
      </c>
      <c r="AI27" s="112">
        <f t="shared" si="31"/>
        <v>417.88</v>
      </c>
    </row>
    <row r="28" spans="1:35" ht="51" x14ac:dyDescent="0.2">
      <c r="A28" s="37" t="s">
        <v>102</v>
      </c>
      <c r="B28" s="23" t="s">
        <v>418</v>
      </c>
      <c r="C28" s="8" t="s">
        <v>457</v>
      </c>
      <c r="D28" s="6">
        <v>3</v>
      </c>
      <c r="E28" s="6">
        <v>3</v>
      </c>
      <c r="F28" s="6">
        <v>1</v>
      </c>
      <c r="G28" s="6">
        <v>1</v>
      </c>
      <c r="H28" s="6">
        <v>2</v>
      </c>
      <c r="I28" s="6">
        <v>2</v>
      </c>
      <c r="J28" s="6">
        <v>2</v>
      </c>
      <c r="K28" s="58">
        <v>75354.234354146494</v>
      </c>
      <c r="L28" s="58">
        <v>1638061.9100000001</v>
      </c>
      <c r="M28" s="58">
        <v>1550622.8110468818</v>
      </c>
      <c r="N28" s="58">
        <f t="shared" si="26"/>
        <v>87439.098953118315</v>
      </c>
      <c r="O28" s="60">
        <f t="shared" si="16"/>
        <v>0</v>
      </c>
      <c r="P28" s="57">
        <v>176028.32</v>
      </c>
      <c r="Q28" s="57">
        <v>177430.76</v>
      </c>
      <c r="R28" s="57">
        <v>198274.3</v>
      </c>
      <c r="S28" s="61">
        <v>0</v>
      </c>
      <c r="T28" s="57">
        <v>0</v>
      </c>
      <c r="U28" s="57">
        <v>476379.15</v>
      </c>
      <c r="V28" s="62">
        <f t="shared" si="27"/>
        <v>75354.229999999981</v>
      </c>
      <c r="W28" s="63">
        <f t="shared" si="17"/>
        <v>0</v>
      </c>
      <c r="X28" s="64">
        <f t="shared" si="18"/>
        <v>0</v>
      </c>
      <c r="Y28" s="57">
        <f t="shared" si="28"/>
        <v>0</v>
      </c>
      <c r="Z28" s="57">
        <f t="shared" si="29"/>
        <v>0</v>
      </c>
      <c r="AA28" s="57">
        <f t="shared" si="19"/>
        <v>0</v>
      </c>
      <c r="AB28" s="57">
        <f t="shared" si="20"/>
        <v>0</v>
      </c>
      <c r="AC28" s="57">
        <f t="shared" si="21"/>
        <v>0</v>
      </c>
      <c r="AD28" s="57">
        <f t="shared" si="22"/>
        <v>0</v>
      </c>
      <c r="AE28" s="57">
        <f t="shared" si="30"/>
        <v>0</v>
      </c>
      <c r="AF28" s="57">
        <f t="shared" si="23"/>
        <v>0</v>
      </c>
      <c r="AG28" s="57">
        <f t="shared" si="24"/>
        <v>0</v>
      </c>
      <c r="AH28" s="64">
        <f t="shared" si="25"/>
        <v>0</v>
      </c>
      <c r="AI28" s="112">
        <f t="shared" si="31"/>
        <v>0</v>
      </c>
    </row>
    <row r="29" spans="1:35" ht="51" x14ac:dyDescent="0.2">
      <c r="A29" s="37" t="s">
        <v>80</v>
      </c>
      <c r="B29" s="5" t="s">
        <v>320</v>
      </c>
      <c r="C29" s="8" t="s">
        <v>470</v>
      </c>
      <c r="D29" s="6">
        <v>3</v>
      </c>
      <c r="E29" s="6">
        <v>3</v>
      </c>
      <c r="F29" s="6">
        <v>1</v>
      </c>
      <c r="G29" s="6">
        <v>1</v>
      </c>
      <c r="H29" s="6">
        <v>2</v>
      </c>
      <c r="I29" s="6">
        <v>2</v>
      </c>
      <c r="J29" s="6">
        <v>2</v>
      </c>
      <c r="K29" s="58">
        <v>1371444.78583478</v>
      </c>
      <c r="L29" s="58">
        <v>673285.84</v>
      </c>
      <c r="M29" s="58">
        <v>249819.84014482424</v>
      </c>
      <c r="N29" s="58">
        <f t="shared" si="26"/>
        <v>423465.99985517573</v>
      </c>
      <c r="O29" s="60">
        <f t="shared" si="16"/>
        <v>947978.78597960423</v>
      </c>
      <c r="P29" s="57">
        <v>17050.68</v>
      </c>
      <c r="Q29" s="57">
        <v>17194.89</v>
      </c>
      <c r="R29" s="57">
        <v>24699.97</v>
      </c>
      <c r="S29" s="61">
        <v>14142.26</v>
      </c>
      <c r="T29" s="57">
        <v>199890.88</v>
      </c>
      <c r="U29" s="57">
        <v>0</v>
      </c>
      <c r="V29" s="62">
        <f t="shared" si="27"/>
        <v>272978.68</v>
      </c>
      <c r="W29" s="63">
        <f t="shared" si="17"/>
        <v>675000.10597960418</v>
      </c>
      <c r="X29" s="64">
        <f t="shared" si="18"/>
        <v>0</v>
      </c>
      <c r="Y29" s="57">
        <f t="shared" si="28"/>
        <v>7820.1028696195854</v>
      </c>
      <c r="Z29" s="57">
        <f t="shared" si="29"/>
        <v>11657.875476475232</v>
      </c>
      <c r="AA29" s="57">
        <f t="shared" si="19"/>
        <v>3837.7726068556467</v>
      </c>
      <c r="AB29" s="57">
        <f t="shared" si="20"/>
        <v>3837.7726068556467</v>
      </c>
      <c r="AC29" s="57">
        <f t="shared" si="21"/>
        <v>0</v>
      </c>
      <c r="AD29" s="57">
        <f t="shared" si="22"/>
        <v>11657.88</v>
      </c>
      <c r="AE29" s="57">
        <f t="shared" si="30"/>
        <v>3837.7726068556467</v>
      </c>
      <c r="AF29" s="57">
        <f t="shared" si="23"/>
        <v>0</v>
      </c>
      <c r="AG29" s="57">
        <f t="shared" si="24"/>
        <v>3837.7726068556467</v>
      </c>
      <c r="AH29" s="64">
        <f t="shared" si="25"/>
        <v>0</v>
      </c>
      <c r="AI29" s="112">
        <f t="shared" si="31"/>
        <v>3837.77</v>
      </c>
    </row>
    <row r="30" spans="1:35" ht="51" x14ac:dyDescent="0.2">
      <c r="A30" s="37" t="s">
        <v>89</v>
      </c>
      <c r="B30" s="5" t="s">
        <v>408</v>
      </c>
      <c r="C30" s="8" t="s">
        <v>471</v>
      </c>
      <c r="D30" s="6">
        <v>3</v>
      </c>
      <c r="E30" s="6">
        <v>3</v>
      </c>
      <c r="F30" s="6">
        <v>1</v>
      </c>
      <c r="G30" s="6">
        <v>1</v>
      </c>
      <c r="H30" s="6">
        <v>2</v>
      </c>
      <c r="I30" s="6">
        <v>2</v>
      </c>
      <c r="J30" s="6">
        <v>2</v>
      </c>
      <c r="K30" s="58">
        <v>3177731.53493331</v>
      </c>
      <c r="L30" s="58">
        <v>1694344.8399999999</v>
      </c>
      <c r="M30" s="58">
        <v>203522.50923635904</v>
      </c>
      <c r="N30" s="58">
        <f t="shared" si="26"/>
        <v>1490822.3307636408</v>
      </c>
      <c r="O30" s="60">
        <f t="shared" si="16"/>
        <v>1686909.2041696692</v>
      </c>
      <c r="P30" s="57">
        <v>170512.75</v>
      </c>
      <c r="Q30" s="57">
        <v>171871.87</v>
      </c>
      <c r="R30" s="57">
        <v>190388.88</v>
      </c>
      <c r="S30" s="61">
        <v>923438.95</v>
      </c>
      <c r="T30" s="57">
        <v>226327.58</v>
      </c>
      <c r="U30" s="57">
        <v>0</v>
      </c>
      <c r="V30" s="62">
        <f t="shared" si="27"/>
        <v>1682540.03</v>
      </c>
      <c r="W30" s="63">
        <f t="shared" si="17"/>
        <v>4369.1741696691606</v>
      </c>
      <c r="X30" s="64">
        <f t="shared" si="18"/>
        <v>0</v>
      </c>
      <c r="Y30" s="57">
        <f t="shared" si="28"/>
        <v>50.618349774199856</v>
      </c>
      <c r="Z30" s="57">
        <f t="shared" si="29"/>
        <v>75.459674678294363</v>
      </c>
      <c r="AA30" s="57">
        <f t="shared" si="19"/>
        <v>24.841324904094506</v>
      </c>
      <c r="AB30" s="57">
        <f t="shared" si="20"/>
        <v>24.841324904094506</v>
      </c>
      <c r="AC30" s="57">
        <f t="shared" si="21"/>
        <v>0</v>
      </c>
      <c r="AD30" s="57">
        <f t="shared" si="22"/>
        <v>75.459999999999994</v>
      </c>
      <c r="AE30" s="57">
        <f t="shared" si="30"/>
        <v>24.841324904094506</v>
      </c>
      <c r="AF30" s="57">
        <f t="shared" si="23"/>
        <v>0</v>
      </c>
      <c r="AG30" s="57">
        <f t="shared" si="24"/>
        <v>24.841324904094506</v>
      </c>
      <c r="AH30" s="64">
        <f t="shared" si="25"/>
        <v>0</v>
      </c>
      <c r="AI30" s="112">
        <f t="shared" si="31"/>
        <v>24.84</v>
      </c>
    </row>
    <row r="31" spans="1:35" ht="51" x14ac:dyDescent="0.2">
      <c r="A31" s="37" t="s">
        <v>135</v>
      </c>
      <c r="B31" s="5" t="s">
        <v>136</v>
      </c>
      <c r="C31" s="8" t="s">
        <v>472</v>
      </c>
      <c r="D31" s="6">
        <v>3</v>
      </c>
      <c r="E31" s="6">
        <v>3</v>
      </c>
      <c r="F31" s="6">
        <v>2</v>
      </c>
      <c r="G31" s="6">
        <v>2</v>
      </c>
      <c r="H31" s="6">
        <v>2</v>
      </c>
      <c r="I31" s="6">
        <v>2</v>
      </c>
      <c r="J31" s="6">
        <v>2</v>
      </c>
      <c r="K31" s="58">
        <v>625908.01447713701</v>
      </c>
      <c r="L31" s="58">
        <v>274167.58</v>
      </c>
      <c r="M31" s="58">
        <v>274697.75959599117</v>
      </c>
      <c r="N31" s="58">
        <f t="shared" si="26"/>
        <v>0</v>
      </c>
      <c r="O31" s="60">
        <f t="shared" si="16"/>
        <v>625908.01447713701</v>
      </c>
      <c r="P31" s="57">
        <v>0</v>
      </c>
      <c r="Q31" s="57">
        <v>0</v>
      </c>
      <c r="R31" s="57">
        <v>0</v>
      </c>
      <c r="S31" s="61">
        <v>7851.88</v>
      </c>
      <c r="T31" s="57">
        <v>0</v>
      </c>
      <c r="U31" s="57">
        <v>0</v>
      </c>
      <c r="V31" s="62">
        <f t="shared" si="27"/>
        <v>7851.88</v>
      </c>
      <c r="W31" s="63">
        <f t="shared" si="17"/>
        <v>618056.13447713701</v>
      </c>
      <c r="X31" s="64">
        <f t="shared" si="18"/>
        <v>0</v>
      </c>
      <c r="Y31" s="57">
        <f t="shared" si="28"/>
        <v>7160.3878399341911</v>
      </c>
      <c r="Z31" s="57">
        <f t="shared" si="29"/>
        <v>10674.400476944233</v>
      </c>
      <c r="AA31" s="57">
        <f t="shared" si="19"/>
        <v>3514.0126370100415</v>
      </c>
      <c r="AB31" s="57">
        <f t="shared" si="20"/>
        <v>0</v>
      </c>
      <c r="AC31" s="57">
        <f t="shared" si="21"/>
        <v>0</v>
      </c>
      <c r="AD31" s="57">
        <f t="shared" si="22"/>
        <v>7160.39</v>
      </c>
      <c r="AE31" s="57">
        <f t="shared" si="30"/>
        <v>0</v>
      </c>
      <c r="AF31" s="57">
        <f t="shared" si="23"/>
        <v>0</v>
      </c>
      <c r="AG31" s="57">
        <f t="shared" si="24"/>
        <v>0</v>
      </c>
      <c r="AH31" s="64">
        <f t="shared" si="25"/>
        <v>0</v>
      </c>
      <c r="AI31" s="112">
        <f t="shared" si="31"/>
        <v>0</v>
      </c>
    </row>
    <row r="32" spans="1:35" ht="51" x14ac:dyDescent="0.2">
      <c r="A32" s="37" t="s">
        <v>138</v>
      </c>
      <c r="B32" s="5" t="s">
        <v>430</v>
      </c>
      <c r="C32" s="8" t="s">
        <v>473</v>
      </c>
      <c r="D32" s="6">
        <v>3</v>
      </c>
      <c r="E32" s="6">
        <v>3</v>
      </c>
      <c r="F32" s="6">
        <v>1</v>
      </c>
      <c r="G32" s="6">
        <v>2</v>
      </c>
      <c r="H32" s="6">
        <v>2</v>
      </c>
      <c r="I32" s="6">
        <v>2</v>
      </c>
      <c r="J32" s="6">
        <v>2</v>
      </c>
      <c r="K32" s="58">
        <v>1117702.24651993</v>
      </c>
      <c r="L32" s="58">
        <v>891714.33</v>
      </c>
      <c r="M32" s="58">
        <v>298425.60207888426</v>
      </c>
      <c r="N32" s="58">
        <f t="shared" si="26"/>
        <v>593288.7279211157</v>
      </c>
      <c r="O32" s="60">
        <f t="shared" si="16"/>
        <v>524413.51859881426</v>
      </c>
      <c r="P32" s="57">
        <v>19475.759999999998</v>
      </c>
      <c r="Q32" s="57">
        <v>19635.39</v>
      </c>
      <c r="R32" s="57">
        <v>26354.5</v>
      </c>
      <c r="S32" s="61">
        <v>69302.8</v>
      </c>
      <c r="T32" s="57">
        <v>131060.8</v>
      </c>
      <c r="U32" s="57">
        <v>0</v>
      </c>
      <c r="V32" s="62">
        <f t="shared" si="27"/>
        <v>265829.25</v>
      </c>
      <c r="W32" s="63">
        <f t="shared" si="17"/>
        <v>258584.26859881426</v>
      </c>
      <c r="X32" s="64">
        <f t="shared" si="18"/>
        <v>0</v>
      </c>
      <c r="Y32" s="57">
        <f t="shared" si="28"/>
        <v>2995.7855754309626</v>
      </c>
      <c r="Z32" s="57">
        <f t="shared" si="29"/>
        <v>4465.9892299209341</v>
      </c>
      <c r="AA32" s="57">
        <f t="shared" si="19"/>
        <v>1470.2036544899715</v>
      </c>
      <c r="AB32" s="57">
        <f t="shared" si="20"/>
        <v>1470.2036544899715</v>
      </c>
      <c r="AC32" s="57">
        <f t="shared" si="21"/>
        <v>0</v>
      </c>
      <c r="AD32" s="57">
        <f t="shared" si="22"/>
        <v>4465.99</v>
      </c>
      <c r="AE32" s="57">
        <f t="shared" si="30"/>
        <v>1470.2036544899715</v>
      </c>
      <c r="AF32" s="57">
        <f t="shared" si="23"/>
        <v>0</v>
      </c>
      <c r="AG32" s="57">
        <f t="shared" si="24"/>
        <v>1470.2036544899715</v>
      </c>
      <c r="AH32" s="64">
        <f t="shared" si="25"/>
        <v>0</v>
      </c>
      <c r="AI32" s="112">
        <f t="shared" si="31"/>
        <v>1470.2</v>
      </c>
    </row>
    <row r="33" spans="1:35" ht="25.5" x14ac:dyDescent="0.2">
      <c r="A33" s="37" t="s">
        <v>261</v>
      </c>
      <c r="B33" s="5" t="s">
        <v>389</v>
      </c>
      <c r="C33" s="8" t="s">
        <v>474</v>
      </c>
      <c r="D33" s="6">
        <v>3</v>
      </c>
      <c r="E33" s="6">
        <v>3</v>
      </c>
      <c r="F33" s="6">
        <v>2</v>
      </c>
      <c r="G33" s="6">
        <v>2</v>
      </c>
      <c r="H33" s="6">
        <v>2</v>
      </c>
      <c r="I33" s="6">
        <v>2</v>
      </c>
      <c r="J33" s="6">
        <v>2</v>
      </c>
      <c r="K33" s="58">
        <v>1682716.6238086501</v>
      </c>
      <c r="L33" s="58">
        <v>998062.69000000006</v>
      </c>
      <c r="M33" s="58">
        <v>352698.19842429465</v>
      </c>
      <c r="N33" s="58">
        <f t="shared" si="26"/>
        <v>645364.49157570535</v>
      </c>
      <c r="O33" s="60">
        <f t="shared" si="16"/>
        <v>1037352.1322329447</v>
      </c>
      <c r="P33" s="57">
        <v>4600.2</v>
      </c>
      <c r="Q33" s="57">
        <v>4639.9799999999996</v>
      </c>
      <c r="R33" s="57">
        <v>7160.23</v>
      </c>
      <c r="S33" s="61">
        <v>23380.28</v>
      </c>
      <c r="T33" s="57">
        <v>0</v>
      </c>
      <c r="U33" s="57">
        <v>0</v>
      </c>
      <c r="V33" s="62">
        <f t="shared" si="27"/>
        <v>39780.69</v>
      </c>
      <c r="W33" s="63">
        <f t="shared" si="17"/>
        <v>997571.44223294477</v>
      </c>
      <c r="X33" s="64">
        <f t="shared" si="18"/>
        <v>0</v>
      </c>
      <c r="Y33" s="57">
        <f t="shared" si="28"/>
        <v>11557.200108487272</v>
      </c>
      <c r="Z33" s="57">
        <f t="shared" si="29"/>
        <v>17228.980483731772</v>
      </c>
      <c r="AA33" s="57">
        <f t="shared" si="19"/>
        <v>5671.7803752444997</v>
      </c>
      <c r="AB33" s="57">
        <f t="shared" si="20"/>
        <v>0</v>
      </c>
      <c r="AC33" s="57">
        <f t="shared" si="21"/>
        <v>0</v>
      </c>
      <c r="AD33" s="57">
        <f t="shared" si="22"/>
        <v>11557.2</v>
      </c>
      <c r="AE33" s="57">
        <f t="shared" si="30"/>
        <v>0</v>
      </c>
      <c r="AF33" s="57">
        <f t="shared" si="23"/>
        <v>0</v>
      </c>
      <c r="AG33" s="57">
        <f t="shared" si="24"/>
        <v>0</v>
      </c>
      <c r="AH33" s="64">
        <f t="shared" si="25"/>
        <v>0</v>
      </c>
      <c r="AI33" s="112">
        <f t="shared" si="31"/>
        <v>0</v>
      </c>
    </row>
    <row r="34" spans="1:35" ht="38.25" x14ac:dyDescent="0.2">
      <c r="A34" s="37" t="s">
        <v>82</v>
      </c>
      <c r="B34" s="5" t="s">
        <v>83</v>
      </c>
      <c r="C34" s="8" t="s">
        <v>475</v>
      </c>
      <c r="D34" s="6">
        <v>3</v>
      </c>
      <c r="E34" s="6">
        <v>3</v>
      </c>
      <c r="F34" s="6">
        <v>1</v>
      </c>
      <c r="G34" s="6">
        <v>1</v>
      </c>
      <c r="H34" s="6">
        <v>2</v>
      </c>
      <c r="I34" s="6">
        <v>2</v>
      </c>
      <c r="J34" s="6">
        <v>2</v>
      </c>
      <c r="K34" s="58">
        <v>847862.10097501101</v>
      </c>
      <c r="L34" s="58">
        <v>379311.77</v>
      </c>
      <c r="M34" s="58">
        <v>368932.93024055014</v>
      </c>
      <c r="N34" s="58">
        <f t="shared" si="26"/>
        <v>10378.839759449882</v>
      </c>
      <c r="O34" s="60">
        <f t="shared" si="16"/>
        <v>837483.26121556107</v>
      </c>
      <c r="P34" s="57">
        <v>8038.08</v>
      </c>
      <c r="Q34" s="57">
        <v>8105.8</v>
      </c>
      <c r="R34" s="57">
        <v>11928.32</v>
      </c>
      <c r="S34" s="61">
        <v>70816.45</v>
      </c>
      <c r="T34" s="57">
        <v>116730.66</v>
      </c>
      <c r="U34" s="57">
        <v>0</v>
      </c>
      <c r="V34" s="62">
        <f t="shared" si="27"/>
        <v>215619.31</v>
      </c>
      <c r="W34" s="63">
        <f t="shared" si="17"/>
        <v>621863.95121556101</v>
      </c>
      <c r="X34" s="64">
        <f t="shared" si="18"/>
        <v>0</v>
      </c>
      <c r="Y34" s="57">
        <f t="shared" si="28"/>
        <v>7204.5026753828761</v>
      </c>
      <c r="Z34" s="57">
        <f t="shared" si="29"/>
        <v>10740.164990135476</v>
      </c>
      <c r="AA34" s="57">
        <f t="shared" si="19"/>
        <v>3535.6623147525997</v>
      </c>
      <c r="AB34" s="57">
        <f t="shared" si="20"/>
        <v>3535.6623147525997</v>
      </c>
      <c r="AC34" s="57">
        <f t="shared" si="21"/>
        <v>0</v>
      </c>
      <c r="AD34" s="57">
        <f t="shared" si="22"/>
        <v>10740.16</v>
      </c>
      <c r="AE34" s="57">
        <f t="shared" si="30"/>
        <v>3535.6623147525997</v>
      </c>
      <c r="AF34" s="57">
        <f t="shared" si="23"/>
        <v>0</v>
      </c>
      <c r="AG34" s="57">
        <f t="shared" si="24"/>
        <v>3535.6623147525997</v>
      </c>
      <c r="AH34" s="64">
        <f t="shared" si="25"/>
        <v>0</v>
      </c>
      <c r="AI34" s="112">
        <f t="shared" si="31"/>
        <v>3535.66</v>
      </c>
    </row>
    <row r="35" spans="1:35" ht="38.25" x14ac:dyDescent="0.2">
      <c r="A35" s="37" t="s">
        <v>219</v>
      </c>
      <c r="B35" s="5" t="s">
        <v>374</v>
      </c>
      <c r="C35" s="8" t="s">
        <v>476</v>
      </c>
      <c r="D35" s="6">
        <v>3</v>
      </c>
      <c r="E35" s="6">
        <v>3</v>
      </c>
      <c r="F35" s="6">
        <v>2</v>
      </c>
      <c r="G35" s="6">
        <v>2</v>
      </c>
      <c r="H35" s="6">
        <v>2</v>
      </c>
      <c r="I35" s="6">
        <v>2</v>
      </c>
      <c r="J35" s="6">
        <v>2</v>
      </c>
      <c r="K35" s="58">
        <v>2062504.3351201499</v>
      </c>
      <c r="L35" s="58">
        <v>629833.71</v>
      </c>
      <c r="M35" s="58">
        <v>370538.97831561381</v>
      </c>
      <c r="N35" s="58">
        <f t="shared" si="26"/>
        <v>259294.73168438615</v>
      </c>
      <c r="O35" s="60">
        <f t="shared" si="16"/>
        <v>1803209.6034357636</v>
      </c>
      <c r="P35" s="57">
        <v>39638.71</v>
      </c>
      <c r="Q35" s="57">
        <v>39957.72</v>
      </c>
      <c r="R35" s="57">
        <v>47853.38</v>
      </c>
      <c r="S35" s="61">
        <v>245824.14</v>
      </c>
      <c r="T35" s="57">
        <v>0</v>
      </c>
      <c r="U35" s="57">
        <v>0</v>
      </c>
      <c r="V35" s="62">
        <f t="shared" si="27"/>
        <v>373273.95</v>
      </c>
      <c r="W35" s="63">
        <f t="shared" si="17"/>
        <v>1429935.6534357637</v>
      </c>
      <c r="X35" s="64">
        <f t="shared" si="18"/>
        <v>0</v>
      </c>
      <c r="Y35" s="57">
        <f t="shared" si="28"/>
        <v>16566.284668320121</v>
      </c>
      <c r="Z35" s="57">
        <f t="shared" si="29"/>
        <v>24696.309881216639</v>
      </c>
      <c r="AA35" s="57">
        <f t="shared" si="19"/>
        <v>8130.0252128965185</v>
      </c>
      <c r="AB35" s="57">
        <f t="shared" si="20"/>
        <v>0</v>
      </c>
      <c r="AC35" s="57">
        <f t="shared" si="21"/>
        <v>0</v>
      </c>
      <c r="AD35" s="57">
        <f t="shared" si="22"/>
        <v>16566.28</v>
      </c>
      <c r="AE35" s="57">
        <f t="shared" si="30"/>
        <v>0</v>
      </c>
      <c r="AF35" s="57">
        <f t="shared" si="23"/>
        <v>0</v>
      </c>
      <c r="AG35" s="57">
        <f t="shared" si="24"/>
        <v>0</v>
      </c>
      <c r="AH35" s="64">
        <f t="shared" si="25"/>
        <v>0</v>
      </c>
      <c r="AI35" s="112">
        <f t="shared" si="31"/>
        <v>0</v>
      </c>
    </row>
    <row r="36" spans="1:35" ht="51" x14ac:dyDescent="0.2">
      <c r="A36" s="37" t="s">
        <v>95</v>
      </c>
      <c r="B36" s="5" t="s">
        <v>315</v>
      </c>
      <c r="C36" s="8" t="s">
        <v>477</v>
      </c>
      <c r="D36" s="6">
        <v>3</v>
      </c>
      <c r="E36" s="6">
        <v>3</v>
      </c>
      <c r="F36" s="6">
        <v>1</v>
      </c>
      <c r="G36" s="6">
        <v>1</v>
      </c>
      <c r="H36" s="6">
        <v>2</v>
      </c>
      <c r="I36" s="6">
        <v>2</v>
      </c>
      <c r="J36" s="6">
        <v>2</v>
      </c>
      <c r="K36" s="58">
        <v>691532.12643239996</v>
      </c>
      <c r="L36" s="58">
        <v>512720.85</v>
      </c>
      <c r="M36" s="58">
        <v>383406.76075278048</v>
      </c>
      <c r="N36" s="58">
        <f t="shared" si="26"/>
        <v>129314.0892472195</v>
      </c>
      <c r="O36" s="60">
        <f t="shared" si="16"/>
        <v>562218.03718518047</v>
      </c>
      <c r="P36" s="57">
        <v>20084.23</v>
      </c>
      <c r="Q36" s="57">
        <v>20245.59</v>
      </c>
      <c r="R36" s="57">
        <v>22718.07</v>
      </c>
      <c r="S36" s="61">
        <v>108282.11</v>
      </c>
      <c r="T36" s="57">
        <v>80706.53</v>
      </c>
      <c r="U36" s="57">
        <v>0</v>
      </c>
      <c r="V36" s="62">
        <f t="shared" si="27"/>
        <v>252036.53</v>
      </c>
      <c r="W36" s="63">
        <f t="shared" si="17"/>
        <v>310181.50718518044</v>
      </c>
      <c r="X36" s="64">
        <f t="shared" si="18"/>
        <v>0</v>
      </c>
      <c r="Y36" s="57">
        <f t="shared" si="28"/>
        <v>3593.5569090341023</v>
      </c>
      <c r="Z36" s="57">
        <f t="shared" si="29"/>
        <v>5357.1212120365271</v>
      </c>
      <c r="AA36" s="57">
        <f t="shared" si="19"/>
        <v>1763.5643030024248</v>
      </c>
      <c r="AB36" s="57">
        <f t="shared" si="20"/>
        <v>1763.5643030024248</v>
      </c>
      <c r="AC36" s="57">
        <f t="shared" si="21"/>
        <v>0</v>
      </c>
      <c r="AD36" s="57">
        <f t="shared" si="22"/>
        <v>5357.12</v>
      </c>
      <c r="AE36" s="57">
        <f t="shared" si="30"/>
        <v>1763.5643030024248</v>
      </c>
      <c r="AF36" s="57">
        <f t="shared" si="23"/>
        <v>0</v>
      </c>
      <c r="AG36" s="57">
        <f t="shared" si="24"/>
        <v>1763.5643030024248</v>
      </c>
      <c r="AH36" s="64">
        <f t="shared" si="25"/>
        <v>0</v>
      </c>
      <c r="AI36" s="112">
        <f t="shared" si="31"/>
        <v>1763.56</v>
      </c>
    </row>
    <row r="37" spans="1:35" ht="63.75" x14ac:dyDescent="0.2">
      <c r="A37" s="37" t="s">
        <v>202</v>
      </c>
      <c r="B37" s="22" t="s">
        <v>203</v>
      </c>
      <c r="C37" s="5" t="s">
        <v>541</v>
      </c>
      <c r="D37" s="88">
        <v>3</v>
      </c>
      <c r="E37" s="88">
        <v>3</v>
      </c>
      <c r="F37" s="6">
        <v>2</v>
      </c>
      <c r="G37" s="6">
        <v>1</v>
      </c>
      <c r="H37" s="5" t="s">
        <v>545</v>
      </c>
      <c r="I37" s="5" t="s">
        <v>545</v>
      </c>
      <c r="J37" s="5" t="s">
        <v>545</v>
      </c>
      <c r="K37" s="58">
        <v>0</v>
      </c>
      <c r="L37" s="58">
        <v>1762063.6800000002</v>
      </c>
      <c r="M37" s="58">
        <v>1018483.5520952031</v>
      </c>
      <c r="N37" s="58">
        <f t="shared" si="26"/>
        <v>743580.12790479709</v>
      </c>
      <c r="O37" s="60">
        <f t="shared" si="16"/>
        <v>0</v>
      </c>
      <c r="P37" s="57">
        <v>233930.52</v>
      </c>
      <c r="Q37" s="57">
        <v>235800.67</v>
      </c>
      <c r="R37" s="57">
        <v>262634.25</v>
      </c>
      <c r="S37" s="61">
        <v>0</v>
      </c>
      <c r="T37" s="57">
        <v>0</v>
      </c>
      <c r="U37" s="57">
        <v>732365.44</v>
      </c>
      <c r="V37" s="62">
        <f t="shared" si="27"/>
        <v>0</v>
      </c>
      <c r="W37" s="63">
        <f t="shared" si="17"/>
        <v>0</v>
      </c>
      <c r="X37" s="64">
        <f t="shared" si="18"/>
        <v>0</v>
      </c>
      <c r="Y37" s="57">
        <f t="shared" si="28"/>
        <v>0</v>
      </c>
      <c r="Z37" s="57">
        <f t="shared" si="29"/>
        <v>0</v>
      </c>
      <c r="AA37" s="57">
        <f t="shared" si="19"/>
        <v>0</v>
      </c>
      <c r="AB37" s="57">
        <f t="shared" si="20"/>
        <v>0</v>
      </c>
      <c r="AC37" s="57">
        <f t="shared" si="21"/>
        <v>0</v>
      </c>
      <c r="AD37" s="57">
        <f t="shared" si="22"/>
        <v>0</v>
      </c>
      <c r="AE37" s="57">
        <f>AB37+AC37</f>
        <v>0</v>
      </c>
      <c r="AF37" s="57">
        <f t="shared" si="23"/>
        <v>0</v>
      </c>
      <c r="AG37" s="57">
        <f t="shared" si="24"/>
        <v>0</v>
      </c>
      <c r="AH37" s="64">
        <f t="shared" si="25"/>
        <v>0</v>
      </c>
      <c r="AI37" s="112">
        <f t="shared" si="31"/>
        <v>0</v>
      </c>
    </row>
    <row r="38" spans="1:35" ht="51" x14ac:dyDescent="0.2">
      <c r="A38" s="37" t="s">
        <v>91</v>
      </c>
      <c r="B38" s="5" t="s">
        <v>411</v>
      </c>
      <c r="C38" s="8" t="s">
        <v>478</v>
      </c>
      <c r="D38" s="6">
        <v>3</v>
      </c>
      <c r="E38" s="6">
        <v>3</v>
      </c>
      <c r="F38" s="6">
        <v>1</v>
      </c>
      <c r="G38" s="6">
        <v>1</v>
      </c>
      <c r="H38" s="6">
        <v>2</v>
      </c>
      <c r="I38" s="6">
        <v>2</v>
      </c>
      <c r="J38" s="6">
        <v>2</v>
      </c>
      <c r="K38" s="58">
        <v>824828.94569169497</v>
      </c>
      <c r="L38" s="58">
        <v>420119.44</v>
      </c>
      <c r="M38" s="58">
        <v>421036</v>
      </c>
      <c r="N38" s="58">
        <f t="shared" si="26"/>
        <v>0</v>
      </c>
      <c r="O38" s="60">
        <f t="shared" si="16"/>
        <v>824828.94569169497</v>
      </c>
      <c r="P38" s="57">
        <v>80885.69</v>
      </c>
      <c r="Q38" s="57">
        <v>81529.38</v>
      </c>
      <c r="R38" s="57">
        <v>89129.37</v>
      </c>
      <c r="S38" s="61">
        <v>543094.29</v>
      </c>
      <c r="T38" s="57">
        <v>1330.51</v>
      </c>
      <c r="U38" s="57">
        <v>0</v>
      </c>
      <c r="V38" s="62">
        <f t="shared" si="27"/>
        <v>795969.24</v>
      </c>
      <c r="W38" s="63">
        <f t="shared" si="17"/>
        <v>28859.70569169498</v>
      </c>
      <c r="X38" s="64">
        <f t="shared" si="18"/>
        <v>0</v>
      </c>
      <c r="Y38" s="57">
        <f t="shared" si="28"/>
        <v>334.34938053597864</v>
      </c>
      <c r="Z38" s="57">
        <f t="shared" si="29"/>
        <v>498.43378135953884</v>
      </c>
      <c r="AA38" s="57">
        <f t="shared" si="19"/>
        <v>164.0844008235602</v>
      </c>
      <c r="AB38" s="57">
        <f t="shared" si="20"/>
        <v>164.0844008235602</v>
      </c>
      <c r="AC38" s="57">
        <f t="shared" si="21"/>
        <v>0</v>
      </c>
      <c r="AD38" s="57">
        <f t="shared" si="22"/>
        <v>498.43</v>
      </c>
      <c r="AE38" s="57">
        <f t="shared" si="30"/>
        <v>164.0844008235602</v>
      </c>
      <c r="AF38" s="57">
        <f t="shared" si="23"/>
        <v>0</v>
      </c>
      <c r="AG38" s="57">
        <f t="shared" si="24"/>
        <v>164.0844008235602</v>
      </c>
      <c r="AH38" s="64">
        <f t="shared" si="25"/>
        <v>0</v>
      </c>
      <c r="AI38" s="112">
        <f t="shared" si="31"/>
        <v>164.08</v>
      </c>
    </row>
    <row r="39" spans="1:35" ht="38.25" x14ac:dyDescent="0.2">
      <c r="A39" s="37" t="s">
        <v>87</v>
      </c>
      <c r="B39" s="5" t="s">
        <v>88</v>
      </c>
      <c r="C39" s="8" t="s">
        <v>479</v>
      </c>
      <c r="D39" s="6">
        <v>3</v>
      </c>
      <c r="E39" s="6">
        <v>3</v>
      </c>
      <c r="F39" s="6">
        <v>1</v>
      </c>
      <c r="G39" s="6">
        <v>1</v>
      </c>
      <c r="H39" s="6">
        <v>2</v>
      </c>
      <c r="I39" s="6">
        <v>2</v>
      </c>
      <c r="J39" s="6">
        <v>2</v>
      </c>
      <c r="K39" s="58">
        <v>1726057.3853899599</v>
      </c>
      <c r="L39" s="58">
        <v>768507.09000000008</v>
      </c>
      <c r="M39" s="58">
        <v>468684.63629678031</v>
      </c>
      <c r="N39" s="58">
        <f t="shared" ref="N39:N70" si="32">IF(L39-M39&gt;0,L39-M39,0)</f>
        <v>299822.45370321977</v>
      </c>
      <c r="O39" s="60">
        <f t="shared" ref="O39:O70" si="33">MAX(K39-N39,0)</f>
        <v>1426234.9316867401</v>
      </c>
      <c r="P39" s="57">
        <v>41849.449999999997</v>
      </c>
      <c r="Q39" s="57">
        <v>42189.59</v>
      </c>
      <c r="R39" s="57">
        <v>53255.47</v>
      </c>
      <c r="S39" s="61">
        <v>170053.85</v>
      </c>
      <c r="T39" s="57">
        <v>220887.42</v>
      </c>
      <c r="U39" s="57">
        <v>0</v>
      </c>
      <c r="V39" s="62">
        <f t="shared" si="27"/>
        <v>528235.78</v>
      </c>
      <c r="W39" s="63">
        <f t="shared" ref="W39:W70" si="34">MAX(O39-V39,0)</f>
        <v>897999.15168674011</v>
      </c>
      <c r="X39" s="64">
        <f t="shared" ref="X39:X70" si="35">IF(D39=1,W39,0)/SUMIF(D:D,1,W:W)</f>
        <v>0</v>
      </c>
      <c r="Y39" s="57">
        <f t="shared" ref="Y39:Y70" si="36">W39/$W$4*$Y$4</f>
        <v>10403.621689555144</v>
      </c>
      <c r="Z39" s="57">
        <f t="shared" ref="Z39:Z70" si="37">Y39/FedShr_Enhanced</f>
        <v>15509.275029151975</v>
      </c>
      <c r="AA39" s="57">
        <f t="shared" ref="AA39:AA70" si="38">Z39-Y39</f>
        <v>5105.6533395968308</v>
      </c>
      <c r="AB39" s="57">
        <f t="shared" ref="AB39:AB70" si="39">IF(F39=2,0,AA39)</f>
        <v>5105.6533395968308</v>
      </c>
      <c r="AC39" s="57">
        <f t="shared" ref="AC39:AC70" si="40">$AA$2*X39</f>
        <v>0</v>
      </c>
      <c r="AD39" s="57">
        <f t="shared" ref="AD39:AD70" si="41">ROUND(IF(F39=2,Y39,Y39+AB39+AC39),2)</f>
        <v>15509.28</v>
      </c>
      <c r="AE39" s="57">
        <f t="shared" ref="AE39:AE70" si="42">AB39+AC39</f>
        <v>5105.6533395968308</v>
      </c>
      <c r="AF39" s="57">
        <f t="shared" ref="AF39:AF70" si="43">$AF$4*X39</f>
        <v>0</v>
      </c>
      <c r="AG39" s="57">
        <f t="shared" ref="AG39:AG70" si="44">AE39-AF39</f>
        <v>5105.6533395968308</v>
      </c>
      <c r="AH39" s="64">
        <f t="shared" ref="AH39:AH70" si="45">IF(E39=1,W39,0)/(SUMIF(E:E,1,W:W))</f>
        <v>0</v>
      </c>
      <c r="AI39" s="112">
        <f t="shared" ref="AI39:AI70" si="46">ROUND(AG39+$AG$8*AH39,2)</f>
        <v>5105.6499999999996</v>
      </c>
    </row>
    <row r="40" spans="1:35" ht="51" x14ac:dyDescent="0.2">
      <c r="A40" s="37" t="s">
        <v>127</v>
      </c>
      <c r="B40" s="5" t="s">
        <v>426</v>
      </c>
      <c r="C40" s="8" t="s">
        <v>480</v>
      </c>
      <c r="D40" s="6">
        <v>3</v>
      </c>
      <c r="E40" s="6">
        <v>3</v>
      </c>
      <c r="F40" s="6">
        <v>1</v>
      </c>
      <c r="G40" s="6">
        <v>1</v>
      </c>
      <c r="H40" s="6">
        <v>2</v>
      </c>
      <c r="I40" s="6">
        <v>2</v>
      </c>
      <c r="J40" s="6">
        <v>2</v>
      </c>
      <c r="K40" s="58">
        <v>873888.06218752998</v>
      </c>
      <c r="L40" s="58">
        <v>475854.18</v>
      </c>
      <c r="M40" s="58">
        <v>476690.58527333394</v>
      </c>
      <c r="N40" s="58">
        <f t="shared" si="32"/>
        <v>0</v>
      </c>
      <c r="O40" s="60">
        <f t="shared" si="33"/>
        <v>873888.06218752998</v>
      </c>
      <c r="P40" s="57">
        <v>32297.86</v>
      </c>
      <c r="Q40" s="57">
        <v>32558.35</v>
      </c>
      <c r="R40" s="57">
        <v>38598.160000000003</v>
      </c>
      <c r="S40" s="61">
        <v>134026.68</v>
      </c>
      <c r="T40" s="57">
        <v>98725.36</v>
      </c>
      <c r="U40" s="57">
        <v>0</v>
      </c>
      <c r="V40" s="62">
        <f t="shared" si="27"/>
        <v>336206.41</v>
      </c>
      <c r="W40" s="63">
        <f t="shared" si="34"/>
        <v>537681.65218752995</v>
      </c>
      <c r="X40" s="64">
        <f t="shared" si="35"/>
        <v>0</v>
      </c>
      <c r="Y40" s="57">
        <f t="shared" si="36"/>
        <v>6229.2224756192163</v>
      </c>
      <c r="Z40" s="57">
        <f t="shared" si="37"/>
        <v>9286.2589081979968</v>
      </c>
      <c r="AA40" s="57">
        <f t="shared" si="38"/>
        <v>3057.0364325787805</v>
      </c>
      <c r="AB40" s="57">
        <f t="shared" si="39"/>
        <v>3057.0364325787805</v>
      </c>
      <c r="AC40" s="57">
        <f t="shared" si="40"/>
        <v>0</v>
      </c>
      <c r="AD40" s="57">
        <f t="shared" si="41"/>
        <v>9286.26</v>
      </c>
      <c r="AE40" s="57">
        <f t="shared" si="42"/>
        <v>3057.0364325787805</v>
      </c>
      <c r="AF40" s="57">
        <f t="shared" si="43"/>
        <v>0</v>
      </c>
      <c r="AG40" s="57">
        <f t="shared" si="44"/>
        <v>3057.0364325787805</v>
      </c>
      <c r="AH40" s="64">
        <f t="shared" si="45"/>
        <v>0</v>
      </c>
      <c r="AI40" s="112">
        <f t="shared" si="46"/>
        <v>3057.04</v>
      </c>
    </row>
    <row r="41" spans="1:35" ht="51" x14ac:dyDescent="0.2">
      <c r="A41" s="37" t="s">
        <v>99</v>
      </c>
      <c r="B41" s="5" t="s">
        <v>384</v>
      </c>
      <c r="C41" s="8" t="s">
        <v>481</v>
      </c>
      <c r="D41" s="6">
        <v>3</v>
      </c>
      <c r="E41" s="6">
        <v>3</v>
      </c>
      <c r="F41" s="6">
        <v>1</v>
      </c>
      <c r="G41" s="6">
        <v>1</v>
      </c>
      <c r="H41" s="6">
        <v>2</v>
      </c>
      <c r="I41" s="6">
        <v>2</v>
      </c>
      <c r="J41" s="6">
        <v>2</v>
      </c>
      <c r="K41" s="58">
        <v>1504415.7736467</v>
      </c>
      <c r="L41" s="58">
        <v>1222994.3699999999</v>
      </c>
      <c r="M41" s="58">
        <v>518858.64830503904</v>
      </c>
      <c r="N41" s="58">
        <f t="shared" si="32"/>
        <v>704135.72169496084</v>
      </c>
      <c r="O41" s="60">
        <f t="shared" si="33"/>
        <v>800280.05195173912</v>
      </c>
      <c r="P41" s="57">
        <v>22127.87</v>
      </c>
      <c r="Q41" s="57">
        <v>22310.38</v>
      </c>
      <c r="R41" s="57">
        <v>29596.27</v>
      </c>
      <c r="S41" s="61">
        <v>187840.27</v>
      </c>
      <c r="T41" s="57">
        <v>193215.74</v>
      </c>
      <c r="U41" s="57">
        <v>0</v>
      </c>
      <c r="V41" s="62">
        <f t="shared" si="27"/>
        <v>455090.52999999997</v>
      </c>
      <c r="W41" s="63">
        <f t="shared" si="34"/>
        <v>345189.52195173915</v>
      </c>
      <c r="X41" s="64">
        <f t="shared" si="35"/>
        <v>0</v>
      </c>
      <c r="Y41" s="57">
        <f t="shared" si="36"/>
        <v>3999.1365145933387</v>
      </c>
      <c r="Z41" s="57">
        <f t="shared" si="37"/>
        <v>5961.7419716656814</v>
      </c>
      <c r="AA41" s="57">
        <f t="shared" si="38"/>
        <v>1962.6054570723427</v>
      </c>
      <c r="AB41" s="57">
        <f t="shared" si="39"/>
        <v>1962.6054570723427</v>
      </c>
      <c r="AC41" s="57">
        <f t="shared" si="40"/>
        <v>0</v>
      </c>
      <c r="AD41" s="57">
        <f t="shared" si="41"/>
        <v>5961.74</v>
      </c>
      <c r="AE41" s="57">
        <f t="shared" si="42"/>
        <v>1962.6054570723427</v>
      </c>
      <c r="AF41" s="57">
        <f t="shared" si="43"/>
        <v>0</v>
      </c>
      <c r="AG41" s="57">
        <f t="shared" si="44"/>
        <v>1962.6054570723427</v>
      </c>
      <c r="AH41" s="64">
        <f t="shared" si="45"/>
        <v>0</v>
      </c>
      <c r="AI41" s="112">
        <f t="shared" si="46"/>
        <v>1962.61</v>
      </c>
    </row>
    <row r="42" spans="1:35" ht="51" x14ac:dyDescent="0.2">
      <c r="A42" s="37" t="s">
        <v>132</v>
      </c>
      <c r="B42" s="5" t="s">
        <v>428</v>
      </c>
      <c r="C42" s="8" t="s">
        <v>482</v>
      </c>
      <c r="D42" s="6">
        <v>3</v>
      </c>
      <c r="E42" s="6">
        <v>3</v>
      </c>
      <c r="F42" s="6">
        <v>1</v>
      </c>
      <c r="G42" s="6">
        <v>1</v>
      </c>
      <c r="H42" s="6">
        <v>2</v>
      </c>
      <c r="I42" s="6">
        <v>2</v>
      </c>
      <c r="J42" s="6">
        <v>2</v>
      </c>
      <c r="K42" s="58">
        <v>870981.21356440405</v>
      </c>
      <c r="L42" s="58">
        <v>585917.66</v>
      </c>
      <c r="M42" s="58">
        <v>535248.8468159606</v>
      </c>
      <c r="N42" s="58">
        <f t="shared" si="32"/>
        <v>50668.813184039434</v>
      </c>
      <c r="O42" s="60">
        <f t="shared" si="33"/>
        <v>820312.40038036462</v>
      </c>
      <c r="P42" s="57">
        <v>107749.28</v>
      </c>
      <c r="Q42" s="57">
        <v>108605.7</v>
      </c>
      <c r="R42" s="57">
        <v>118322.13</v>
      </c>
      <c r="S42" s="61">
        <v>351382.99</v>
      </c>
      <c r="T42" s="57">
        <v>26734.94</v>
      </c>
      <c r="U42" s="57">
        <v>0</v>
      </c>
      <c r="V42" s="62">
        <f t="shared" si="27"/>
        <v>712795.03999999992</v>
      </c>
      <c r="W42" s="63">
        <f t="shared" si="34"/>
        <v>107517.3603803647</v>
      </c>
      <c r="X42" s="64">
        <f t="shared" si="35"/>
        <v>0</v>
      </c>
      <c r="Y42" s="57">
        <f t="shared" si="36"/>
        <v>1245.6247206423679</v>
      </c>
      <c r="Z42" s="57">
        <f t="shared" si="37"/>
        <v>1856.9241512259512</v>
      </c>
      <c r="AA42" s="57">
        <f t="shared" si="38"/>
        <v>611.29943058358322</v>
      </c>
      <c r="AB42" s="57">
        <f t="shared" si="39"/>
        <v>611.29943058358322</v>
      </c>
      <c r="AC42" s="57">
        <f t="shared" si="40"/>
        <v>0</v>
      </c>
      <c r="AD42" s="57">
        <f t="shared" si="41"/>
        <v>1856.92</v>
      </c>
      <c r="AE42" s="57">
        <f t="shared" si="42"/>
        <v>611.29943058358322</v>
      </c>
      <c r="AF42" s="57">
        <f t="shared" si="43"/>
        <v>0</v>
      </c>
      <c r="AG42" s="57">
        <f t="shared" si="44"/>
        <v>611.29943058358322</v>
      </c>
      <c r="AH42" s="64">
        <f t="shared" si="45"/>
        <v>0</v>
      </c>
      <c r="AI42" s="112">
        <f t="shared" si="46"/>
        <v>611.29999999999995</v>
      </c>
    </row>
    <row r="43" spans="1:35" ht="63.75" x14ac:dyDescent="0.2">
      <c r="A43" s="37" t="s">
        <v>215</v>
      </c>
      <c r="B43" s="22" t="s">
        <v>216</v>
      </c>
      <c r="C43" s="5" t="s">
        <v>64</v>
      </c>
      <c r="D43" s="88">
        <v>3</v>
      </c>
      <c r="E43" s="88">
        <v>3</v>
      </c>
      <c r="F43" s="6">
        <v>2</v>
      </c>
      <c r="G43" s="6">
        <v>2</v>
      </c>
      <c r="H43" s="5" t="s">
        <v>545</v>
      </c>
      <c r="I43" s="5" t="s">
        <v>545</v>
      </c>
      <c r="J43" s="5" t="s">
        <v>545</v>
      </c>
      <c r="K43" s="58">
        <v>0</v>
      </c>
      <c r="L43" s="58">
        <v>3686219.2</v>
      </c>
      <c r="M43" s="58">
        <v>3695342.2137337313</v>
      </c>
      <c r="N43" s="58">
        <f t="shared" si="32"/>
        <v>0</v>
      </c>
      <c r="O43" s="60">
        <f t="shared" si="33"/>
        <v>0</v>
      </c>
      <c r="P43" s="57">
        <v>57592.2</v>
      </c>
      <c r="Q43" s="57">
        <v>58057.7</v>
      </c>
      <c r="R43" s="57">
        <v>68807.34</v>
      </c>
      <c r="S43" s="61">
        <v>0</v>
      </c>
      <c r="T43" s="57">
        <v>0</v>
      </c>
      <c r="U43" s="57">
        <v>184457.24</v>
      </c>
      <c r="V43" s="62">
        <f t="shared" si="27"/>
        <v>0</v>
      </c>
      <c r="W43" s="63">
        <f t="shared" si="34"/>
        <v>0</v>
      </c>
      <c r="X43" s="64">
        <f t="shared" si="35"/>
        <v>0</v>
      </c>
      <c r="Y43" s="57">
        <f t="shared" si="36"/>
        <v>0</v>
      </c>
      <c r="Z43" s="57">
        <f t="shared" si="37"/>
        <v>0</v>
      </c>
      <c r="AA43" s="57">
        <f t="shared" si="38"/>
        <v>0</v>
      </c>
      <c r="AB43" s="57">
        <f t="shared" si="39"/>
        <v>0</v>
      </c>
      <c r="AC43" s="57">
        <f t="shared" si="40"/>
        <v>0</v>
      </c>
      <c r="AD43" s="57">
        <f t="shared" si="41"/>
        <v>0</v>
      </c>
      <c r="AE43" s="57">
        <f t="shared" si="42"/>
        <v>0</v>
      </c>
      <c r="AF43" s="57">
        <f t="shared" si="43"/>
        <v>0</v>
      </c>
      <c r="AG43" s="57">
        <f t="shared" si="44"/>
        <v>0</v>
      </c>
      <c r="AH43" s="64">
        <f t="shared" si="45"/>
        <v>0</v>
      </c>
      <c r="AI43" s="112">
        <f t="shared" si="46"/>
        <v>0</v>
      </c>
    </row>
    <row r="44" spans="1:35" ht="38.25" x14ac:dyDescent="0.2">
      <c r="A44" s="37" t="s">
        <v>228</v>
      </c>
      <c r="B44" s="5" t="s">
        <v>385</v>
      </c>
      <c r="C44" s="8" t="s">
        <v>483</v>
      </c>
      <c r="D44" s="6">
        <v>3</v>
      </c>
      <c r="E44" s="6">
        <v>3</v>
      </c>
      <c r="F44" s="6">
        <v>2</v>
      </c>
      <c r="G44" s="6">
        <v>2</v>
      </c>
      <c r="H44" s="6">
        <v>2</v>
      </c>
      <c r="I44" s="6">
        <v>2</v>
      </c>
      <c r="J44" s="6">
        <v>2</v>
      </c>
      <c r="K44" s="58">
        <v>2573903.77687361</v>
      </c>
      <c r="L44" s="58">
        <v>2377905.59</v>
      </c>
      <c r="M44" s="58">
        <v>538435.01512281969</v>
      </c>
      <c r="N44" s="58">
        <f t="shared" si="32"/>
        <v>1839470.5748771802</v>
      </c>
      <c r="O44" s="60">
        <f t="shared" si="33"/>
        <v>734433.20199642982</v>
      </c>
      <c r="P44" s="57">
        <v>71980.649999999994</v>
      </c>
      <c r="Q44" s="57">
        <v>72559.929999999993</v>
      </c>
      <c r="R44" s="57">
        <v>82016.289999999994</v>
      </c>
      <c r="S44" s="61">
        <v>502474.32</v>
      </c>
      <c r="T44" s="57">
        <v>0</v>
      </c>
      <c r="U44" s="57">
        <v>0</v>
      </c>
      <c r="V44" s="62">
        <f t="shared" si="27"/>
        <v>729031.19</v>
      </c>
      <c r="W44" s="63">
        <f t="shared" si="34"/>
        <v>5402.0119964298792</v>
      </c>
      <c r="X44" s="64">
        <f t="shared" si="35"/>
        <v>0</v>
      </c>
      <c r="Y44" s="57">
        <f t="shared" si="36"/>
        <v>62.584122788681725</v>
      </c>
      <c r="Z44" s="57">
        <f t="shared" si="37"/>
        <v>93.297738206144501</v>
      </c>
      <c r="AA44" s="57">
        <f t="shared" si="38"/>
        <v>30.713615417462776</v>
      </c>
      <c r="AB44" s="57">
        <f t="shared" si="39"/>
        <v>0</v>
      </c>
      <c r="AC44" s="57">
        <f t="shared" si="40"/>
        <v>0</v>
      </c>
      <c r="AD44" s="57">
        <f t="shared" si="41"/>
        <v>62.58</v>
      </c>
      <c r="AE44" s="57">
        <f t="shared" si="42"/>
        <v>0</v>
      </c>
      <c r="AF44" s="57">
        <f t="shared" si="43"/>
        <v>0</v>
      </c>
      <c r="AG44" s="57">
        <f t="shared" si="44"/>
        <v>0</v>
      </c>
      <c r="AH44" s="64">
        <f t="shared" si="45"/>
        <v>0</v>
      </c>
      <c r="AI44" s="112">
        <f t="shared" si="46"/>
        <v>0</v>
      </c>
    </row>
    <row r="45" spans="1:35" ht="25.5" x14ac:dyDescent="0.2">
      <c r="A45" s="37" t="s">
        <v>139</v>
      </c>
      <c r="B45" s="5" t="s">
        <v>412</v>
      </c>
      <c r="C45" s="8" t="s">
        <v>484</v>
      </c>
      <c r="D45" s="6">
        <v>3</v>
      </c>
      <c r="E45" s="6">
        <v>3</v>
      </c>
      <c r="F45" s="6">
        <v>1</v>
      </c>
      <c r="G45" s="6">
        <v>1</v>
      </c>
      <c r="H45" s="6">
        <v>2</v>
      </c>
      <c r="I45" s="6">
        <v>2</v>
      </c>
      <c r="J45" s="6">
        <v>2</v>
      </c>
      <c r="K45" s="58">
        <v>1139539.18379858</v>
      </c>
      <c r="L45" s="58">
        <v>763321.43</v>
      </c>
      <c r="M45" s="58">
        <v>541986.21966912877</v>
      </c>
      <c r="N45" s="58">
        <f t="shared" si="32"/>
        <v>221335.21033087128</v>
      </c>
      <c r="O45" s="60">
        <f t="shared" si="33"/>
        <v>918203.97346770868</v>
      </c>
      <c r="P45" s="57">
        <v>0</v>
      </c>
      <c r="Q45" s="57">
        <v>0</v>
      </c>
      <c r="R45" s="57">
        <v>0</v>
      </c>
      <c r="S45" s="61">
        <v>0</v>
      </c>
      <c r="T45" s="57">
        <v>169228.59</v>
      </c>
      <c r="U45" s="57">
        <v>0</v>
      </c>
      <c r="V45" s="62">
        <f t="shared" si="27"/>
        <v>169228.59</v>
      </c>
      <c r="W45" s="63">
        <f t="shared" si="34"/>
        <v>748975.38346770871</v>
      </c>
      <c r="X45" s="64">
        <f t="shared" si="35"/>
        <v>0</v>
      </c>
      <c r="Y45" s="57">
        <f t="shared" si="36"/>
        <v>8677.1312976760273</v>
      </c>
      <c r="Z45" s="57">
        <f t="shared" si="37"/>
        <v>12935.496865945182</v>
      </c>
      <c r="AA45" s="57">
        <f t="shared" si="38"/>
        <v>4258.3655682691551</v>
      </c>
      <c r="AB45" s="57">
        <f t="shared" si="39"/>
        <v>4258.3655682691551</v>
      </c>
      <c r="AC45" s="57">
        <f t="shared" si="40"/>
        <v>0</v>
      </c>
      <c r="AD45" s="57">
        <f t="shared" si="41"/>
        <v>12935.5</v>
      </c>
      <c r="AE45" s="57">
        <f t="shared" si="42"/>
        <v>4258.3655682691551</v>
      </c>
      <c r="AF45" s="57">
        <f t="shared" si="43"/>
        <v>0</v>
      </c>
      <c r="AG45" s="57">
        <f t="shared" si="44"/>
        <v>4258.3655682691551</v>
      </c>
      <c r="AH45" s="64">
        <f t="shared" si="45"/>
        <v>0</v>
      </c>
      <c r="AI45" s="112">
        <f t="shared" si="46"/>
        <v>4258.37</v>
      </c>
    </row>
    <row r="46" spans="1:35" ht="51" x14ac:dyDescent="0.2">
      <c r="A46" s="37" t="s">
        <v>112</v>
      </c>
      <c r="B46" s="5" t="s">
        <v>421</v>
      </c>
      <c r="C46" s="8" t="s">
        <v>485</v>
      </c>
      <c r="D46" s="6">
        <v>3</v>
      </c>
      <c r="E46" s="6">
        <v>3</v>
      </c>
      <c r="F46" s="6">
        <v>1</v>
      </c>
      <c r="G46" s="6">
        <v>1</v>
      </c>
      <c r="H46" s="6">
        <v>2</v>
      </c>
      <c r="I46" s="6">
        <v>2</v>
      </c>
      <c r="J46" s="6">
        <v>2</v>
      </c>
      <c r="K46" s="58">
        <v>634526.02208116802</v>
      </c>
      <c r="L46" s="58">
        <v>657658.60000000009</v>
      </c>
      <c r="M46" s="58">
        <v>556658.47833357833</v>
      </c>
      <c r="N46" s="58">
        <f t="shared" si="32"/>
        <v>101000.12166642176</v>
      </c>
      <c r="O46" s="60">
        <f t="shared" si="33"/>
        <v>533525.90041474625</v>
      </c>
      <c r="P46" s="57">
        <v>63359.54</v>
      </c>
      <c r="Q46" s="57">
        <v>63867.55</v>
      </c>
      <c r="R46" s="57">
        <v>73307.259999999995</v>
      </c>
      <c r="S46" s="61">
        <v>315455.58</v>
      </c>
      <c r="T46" s="57">
        <v>16573.78</v>
      </c>
      <c r="U46" s="57">
        <v>0</v>
      </c>
      <c r="V46" s="62">
        <f t="shared" si="27"/>
        <v>532563.71</v>
      </c>
      <c r="W46" s="63">
        <f t="shared" si="34"/>
        <v>962.19041474629194</v>
      </c>
      <c r="X46" s="64">
        <f t="shared" si="35"/>
        <v>0</v>
      </c>
      <c r="Y46" s="57">
        <f t="shared" si="36"/>
        <v>11.147299025320887</v>
      </c>
      <c r="Z46" s="57">
        <f t="shared" si="37"/>
        <v>16.617917449792618</v>
      </c>
      <c r="AA46" s="57">
        <f t="shared" si="38"/>
        <v>5.4706184244717306</v>
      </c>
      <c r="AB46" s="57">
        <f t="shared" si="39"/>
        <v>5.4706184244717306</v>
      </c>
      <c r="AC46" s="57">
        <f t="shared" si="40"/>
        <v>0</v>
      </c>
      <c r="AD46" s="83">
        <f t="shared" si="41"/>
        <v>16.62</v>
      </c>
      <c r="AE46" s="57">
        <f t="shared" si="42"/>
        <v>5.4706184244717306</v>
      </c>
      <c r="AF46" s="57">
        <f t="shared" si="43"/>
        <v>0</v>
      </c>
      <c r="AG46" s="82">
        <f t="shared" si="44"/>
        <v>5.4706184244717306</v>
      </c>
      <c r="AH46" s="64">
        <f t="shared" si="45"/>
        <v>0</v>
      </c>
      <c r="AI46" s="112">
        <f t="shared" si="46"/>
        <v>5.47</v>
      </c>
    </row>
    <row r="47" spans="1:35" ht="51" x14ac:dyDescent="0.2">
      <c r="A47" s="37" t="s">
        <v>96</v>
      </c>
      <c r="B47" s="5" t="s">
        <v>416</v>
      </c>
      <c r="C47" s="8" t="s">
        <v>486</v>
      </c>
      <c r="D47" s="6">
        <v>3</v>
      </c>
      <c r="E47" s="6">
        <v>3</v>
      </c>
      <c r="F47" s="6">
        <v>1</v>
      </c>
      <c r="G47" s="6">
        <v>1</v>
      </c>
      <c r="H47" s="6">
        <v>2</v>
      </c>
      <c r="I47" s="6">
        <v>2</v>
      </c>
      <c r="J47" s="6">
        <v>2</v>
      </c>
      <c r="K47" s="58">
        <v>759139.55337386695</v>
      </c>
      <c r="L47" s="58">
        <v>602521.80000000005</v>
      </c>
      <c r="M47" s="58">
        <v>604023.35222262563</v>
      </c>
      <c r="N47" s="58">
        <f t="shared" si="32"/>
        <v>0</v>
      </c>
      <c r="O47" s="60">
        <f t="shared" si="33"/>
        <v>759139.55337386695</v>
      </c>
      <c r="P47" s="57">
        <v>16707.68</v>
      </c>
      <c r="Q47" s="57">
        <v>16842.39</v>
      </c>
      <c r="R47" s="57">
        <v>20097.91</v>
      </c>
      <c r="S47" s="61">
        <v>26189.52</v>
      </c>
      <c r="T47" s="57">
        <v>106109.71</v>
      </c>
      <c r="U47" s="57">
        <v>0</v>
      </c>
      <c r="V47" s="62">
        <f t="shared" si="27"/>
        <v>185947.21000000002</v>
      </c>
      <c r="W47" s="63">
        <f t="shared" si="34"/>
        <v>573192.34337386698</v>
      </c>
      <c r="X47" s="64">
        <f t="shared" si="35"/>
        <v>0</v>
      </c>
      <c r="Y47" s="57">
        <f t="shared" si="36"/>
        <v>6640.625756283056</v>
      </c>
      <c r="Z47" s="57">
        <f t="shared" si="37"/>
        <v>9899.5613540296017</v>
      </c>
      <c r="AA47" s="57">
        <f t="shared" si="38"/>
        <v>3258.9355977465457</v>
      </c>
      <c r="AB47" s="57">
        <f t="shared" si="39"/>
        <v>3258.9355977465457</v>
      </c>
      <c r="AC47" s="57">
        <f t="shared" si="40"/>
        <v>0</v>
      </c>
      <c r="AD47" s="57">
        <f t="shared" si="41"/>
        <v>9899.56</v>
      </c>
      <c r="AE47" s="57">
        <f t="shared" si="42"/>
        <v>3258.9355977465457</v>
      </c>
      <c r="AF47" s="57">
        <f t="shared" si="43"/>
        <v>0</v>
      </c>
      <c r="AG47" s="57">
        <f t="shared" si="44"/>
        <v>3258.9355977465457</v>
      </c>
      <c r="AH47" s="64">
        <f t="shared" si="45"/>
        <v>0</v>
      </c>
      <c r="AI47" s="112">
        <f t="shared" si="46"/>
        <v>3258.94</v>
      </c>
    </row>
    <row r="48" spans="1:35" ht="25.5" x14ac:dyDescent="0.2">
      <c r="A48" s="37" t="s">
        <v>311</v>
      </c>
      <c r="B48" s="22" t="s">
        <v>179</v>
      </c>
      <c r="C48" s="5" t="s">
        <v>554</v>
      </c>
      <c r="D48" s="88">
        <v>3</v>
      </c>
      <c r="E48" s="88">
        <v>3</v>
      </c>
      <c r="F48" s="6">
        <v>2</v>
      </c>
      <c r="G48" s="6">
        <v>1</v>
      </c>
      <c r="H48" s="5" t="s">
        <v>545</v>
      </c>
      <c r="I48" s="5" t="s">
        <v>545</v>
      </c>
      <c r="J48" s="5" t="s">
        <v>545</v>
      </c>
      <c r="K48" s="58">
        <v>0</v>
      </c>
      <c r="L48" s="58">
        <v>1420870.71</v>
      </c>
      <c r="M48" s="58">
        <v>1190162.8179226476</v>
      </c>
      <c r="N48" s="58">
        <f t="shared" si="32"/>
        <v>230707.89207735239</v>
      </c>
      <c r="O48" s="60">
        <f t="shared" si="33"/>
        <v>0</v>
      </c>
      <c r="P48" s="57">
        <v>21261.51</v>
      </c>
      <c r="Q48" s="57">
        <v>21436.58</v>
      </c>
      <c r="R48" s="57">
        <v>29105.34</v>
      </c>
      <c r="S48" s="61">
        <v>0</v>
      </c>
      <c r="T48" s="57">
        <v>0</v>
      </c>
      <c r="U48" s="57">
        <v>71803.429999999993</v>
      </c>
      <c r="V48" s="62">
        <f t="shared" si="27"/>
        <v>0</v>
      </c>
      <c r="W48" s="63">
        <f t="shared" si="34"/>
        <v>0</v>
      </c>
      <c r="X48" s="64">
        <f t="shared" si="35"/>
        <v>0</v>
      </c>
      <c r="Y48" s="57">
        <f t="shared" si="36"/>
        <v>0</v>
      </c>
      <c r="Z48" s="57">
        <f t="shared" si="37"/>
        <v>0</v>
      </c>
      <c r="AA48" s="57">
        <f t="shared" si="38"/>
        <v>0</v>
      </c>
      <c r="AB48" s="57">
        <f t="shared" si="39"/>
        <v>0</v>
      </c>
      <c r="AC48" s="57">
        <f t="shared" si="40"/>
        <v>0</v>
      </c>
      <c r="AD48" s="57">
        <f t="shared" si="41"/>
        <v>0</v>
      </c>
      <c r="AE48" s="57">
        <f t="shared" si="42"/>
        <v>0</v>
      </c>
      <c r="AF48" s="57">
        <f t="shared" si="43"/>
        <v>0</v>
      </c>
      <c r="AG48" s="57">
        <f t="shared" si="44"/>
        <v>0</v>
      </c>
      <c r="AH48" s="64">
        <f t="shared" si="45"/>
        <v>0</v>
      </c>
      <c r="AI48" s="112">
        <f t="shared" si="46"/>
        <v>0</v>
      </c>
    </row>
    <row r="49" spans="1:35" ht="38.25" x14ac:dyDescent="0.2">
      <c r="A49" s="37" t="s">
        <v>128</v>
      </c>
      <c r="B49" s="5" t="s">
        <v>387</v>
      </c>
      <c r="C49" s="8" t="s">
        <v>487</v>
      </c>
      <c r="D49" s="6">
        <v>3</v>
      </c>
      <c r="E49" s="6">
        <v>3</v>
      </c>
      <c r="F49" s="6">
        <v>1</v>
      </c>
      <c r="G49" s="6">
        <v>1</v>
      </c>
      <c r="H49" s="6">
        <v>2</v>
      </c>
      <c r="I49" s="6">
        <v>2</v>
      </c>
      <c r="J49" s="6">
        <v>2</v>
      </c>
      <c r="K49" s="58">
        <v>846651.30993423297</v>
      </c>
      <c r="L49" s="58">
        <v>596424.36</v>
      </c>
      <c r="M49" s="58">
        <v>573536.25958439591</v>
      </c>
      <c r="N49" s="58">
        <f t="shared" si="32"/>
        <v>22888.100415604073</v>
      </c>
      <c r="O49" s="60">
        <f t="shared" si="33"/>
        <v>823763.20951862889</v>
      </c>
      <c r="P49" s="57">
        <v>73373.19</v>
      </c>
      <c r="Q49" s="57">
        <v>73964.429999999993</v>
      </c>
      <c r="R49" s="57">
        <v>85210.19</v>
      </c>
      <c r="S49" s="61">
        <v>590524.09</v>
      </c>
      <c r="T49" s="57">
        <v>0</v>
      </c>
      <c r="U49" s="57">
        <v>0</v>
      </c>
      <c r="V49" s="62">
        <f t="shared" si="27"/>
        <v>823071.89999999991</v>
      </c>
      <c r="W49" s="63">
        <f t="shared" si="34"/>
        <v>691.30951862898655</v>
      </c>
      <c r="X49" s="64">
        <f t="shared" si="35"/>
        <v>0</v>
      </c>
      <c r="Y49" s="57">
        <f t="shared" si="36"/>
        <v>8.0090528913031367</v>
      </c>
      <c r="Z49" s="57">
        <f t="shared" si="37"/>
        <v>11.93955410152525</v>
      </c>
      <c r="AA49" s="57">
        <f t="shared" si="38"/>
        <v>3.9305012102221131</v>
      </c>
      <c r="AB49" s="57">
        <f t="shared" si="39"/>
        <v>3.9305012102221131</v>
      </c>
      <c r="AC49" s="57">
        <f t="shared" si="40"/>
        <v>0</v>
      </c>
      <c r="AD49" s="83">
        <f t="shared" si="41"/>
        <v>11.94</v>
      </c>
      <c r="AE49" s="57">
        <f t="shared" si="42"/>
        <v>3.9305012102221131</v>
      </c>
      <c r="AF49" s="57">
        <f t="shared" si="43"/>
        <v>0</v>
      </c>
      <c r="AG49" s="82">
        <f t="shared" si="44"/>
        <v>3.9305012102221131</v>
      </c>
      <c r="AH49" s="64">
        <f t="shared" si="45"/>
        <v>0</v>
      </c>
      <c r="AI49" s="112">
        <f t="shared" si="46"/>
        <v>3.93</v>
      </c>
    </row>
    <row r="50" spans="1:35" ht="51" x14ac:dyDescent="0.2">
      <c r="A50" s="37" t="s">
        <v>86</v>
      </c>
      <c r="B50" s="5" t="s">
        <v>407</v>
      </c>
      <c r="C50" s="8" t="s">
        <v>488</v>
      </c>
      <c r="D50" s="6">
        <v>3</v>
      </c>
      <c r="E50" s="6">
        <v>3</v>
      </c>
      <c r="F50" s="6">
        <v>1</v>
      </c>
      <c r="G50" s="6">
        <v>1</v>
      </c>
      <c r="H50" s="6">
        <v>2</v>
      </c>
      <c r="I50" s="6">
        <v>2</v>
      </c>
      <c r="J50" s="6">
        <v>2</v>
      </c>
      <c r="K50" s="58">
        <v>742778.76500458398</v>
      </c>
      <c r="L50" s="58">
        <v>809716.16999999993</v>
      </c>
      <c r="M50" s="58">
        <v>667179.16021040129</v>
      </c>
      <c r="N50" s="58">
        <f t="shared" si="32"/>
        <v>142537.00978959864</v>
      </c>
      <c r="O50" s="60">
        <f t="shared" si="33"/>
        <v>600241.75521498534</v>
      </c>
      <c r="P50" s="57">
        <v>47396.37</v>
      </c>
      <c r="Q50" s="57">
        <v>47775.33</v>
      </c>
      <c r="R50" s="57">
        <v>53244.19</v>
      </c>
      <c r="S50" s="61">
        <v>167175.76999999999</v>
      </c>
      <c r="T50" s="57">
        <v>65786.899999999994</v>
      </c>
      <c r="U50" s="57">
        <v>0</v>
      </c>
      <c r="V50" s="62">
        <f t="shared" si="27"/>
        <v>381378.56000000006</v>
      </c>
      <c r="W50" s="63">
        <f t="shared" si="34"/>
        <v>218863.19521498529</v>
      </c>
      <c r="X50" s="64">
        <f t="shared" si="35"/>
        <v>0</v>
      </c>
      <c r="Y50" s="57">
        <f t="shared" si="36"/>
        <v>2535.6036033074847</v>
      </c>
      <c r="Z50" s="57">
        <f t="shared" si="37"/>
        <v>3779.9695934816414</v>
      </c>
      <c r="AA50" s="57">
        <f t="shared" si="38"/>
        <v>1244.3659901741567</v>
      </c>
      <c r="AB50" s="57">
        <f t="shared" si="39"/>
        <v>1244.3659901741567</v>
      </c>
      <c r="AC50" s="57">
        <f t="shared" si="40"/>
        <v>0</v>
      </c>
      <c r="AD50" s="57">
        <f t="shared" si="41"/>
        <v>3779.97</v>
      </c>
      <c r="AE50" s="57">
        <f t="shared" si="42"/>
        <v>1244.3659901741567</v>
      </c>
      <c r="AF50" s="57">
        <f t="shared" si="43"/>
        <v>0</v>
      </c>
      <c r="AG50" s="57">
        <f t="shared" si="44"/>
        <v>1244.3659901741567</v>
      </c>
      <c r="AH50" s="64">
        <f t="shared" si="45"/>
        <v>0</v>
      </c>
      <c r="AI50" s="112">
        <f t="shared" si="46"/>
        <v>1244.3699999999999</v>
      </c>
    </row>
    <row r="51" spans="1:35" ht="51" x14ac:dyDescent="0.2">
      <c r="A51" s="37" t="s">
        <v>121</v>
      </c>
      <c r="B51" s="5" t="s">
        <v>309</v>
      </c>
      <c r="C51" s="8" t="s">
        <v>489</v>
      </c>
      <c r="D51" s="6">
        <v>3</v>
      </c>
      <c r="E51" s="6">
        <v>3</v>
      </c>
      <c r="F51" s="6">
        <v>1</v>
      </c>
      <c r="G51" s="6">
        <v>1</v>
      </c>
      <c r="H51" s="6">
        <v>2</v>
      </c>
      <c r="I51" s="6">
        <v>2</v>
      </c>
      <c r="J51" s="6">
        <v>2</v>
      </c>
      <c r="K51" s="58">
        <v>893502.93513559597</v>
      </c>
      <c r="L51" s="58">
        <v>830702.44</v>
      </c>
      <c r="M51" s="58">
        <v>691095.83777043479</v>
      </c>
      <c r="N51" s="58">
        <f t="shared" si="32"/>
        <v>139606.60222956515</v>
      </c>
      <c r="O51" s="60">
        <f t="shared" si="33"/>
        <v>753896.33290603082</v>
      </c>
      <c r="P51" s="57">
        <v>26865.66</v>
      </c>
      <c r="Q51" s="57">
        <v>27081.62</v>
      </c>
      <c r="R51" s="57">
        <v>31999.55</v>
      </c>
      <c r="S51" s="61">
        <v>118574.92</v>
      </c>
      <c r="T51" s="57">
        <v>85206.11</v>
      </c>
      <c r="U51" s="57">
        <v>0</v>
      </c>
      <c r="V51" s="62">
        <f t="shared" si="27"/>
        <v>289727.86</v>
      </c>
      <c r="W51" s="63">
        <f t="shared" si="34"/>
        <v>464168.47290603083</v>
      </c>
      <c r="X51" s="64">
        <f t="shared" si="35"/>
        <v>0</v>
      </c>
      <c r="Y51" s="57">
        <f t="shared" si="36"/>
        <v>5377.5476104430008</v>
      </c>
      <c r="Z51" s="57">
        <f t="shared" si="37"/>
        <v>8016.6183816979747</v>
      </c>
      <c r="AA51" s="57">
        <f t="shared" si="38"/>
        <v>2639.0707712549738</v>
      </c>
      <c r="AB51" s="57">
        <f t="shared" si="39"/>
        <v>2639.0707712549738</v>
      </c>
      <c r="AC51" s="57">
        <f t="shared" si="40"/>
        <v>0</v>
      </c>
      <c r="AD51" s="57">
        <f t="shared" si="41"/>
        <v>8016.62</v>
      </c>
      <c r="AE51" s="57">
        <f t="shared" si="42"/>
        <v>2639.0707712549738</v>
      </c>
      <c r="AF51" s="57">
        <f t="shared" si="43"/>
        <v>0</v>
      </c>
      <c r="AG51" s="57">
        <f t="shared" si="44"/>
        <v>2639.0707712549738</v>
      </c>
      <c r="AH51" s="64">
        <f t="shared" si="45"/>
        <v>0</v>
      </c>
      <c r="AI51" s="112">
        <f t="shared" si="46"/>
        <v>2639.07</v>
      </c>
    </row>
    <row r="52" spans="1:35" ht="25.5" x14ac:dyDescent="0.2">
      <c r="A52" s="37" t="s">
        <v>103</v>
      </c>
      <c r="B52" s="5" t="s">
        <v>371</v>
      </c>
      <c r="C52" s="8" t="s">
        <v>490</v>
      </c>
      <c r="D52" s="6">
        <v>3</v>
      </c>
      <c r="E52" s="6">
        <v>3</v>
      </c>
      <c r="F52" s="6">
        <v>1</v>
      </c>
      <c r="G52" s="6">
        <v>1</v>
      </c>
      <c r="H52" s="6">
        <v>2</v>
      </c>
      <c r="I52" s="6">
        <v>2</v>
      </c>
      <c r="J52" s="6">
        <v>2</v>
      </c>
      <c r="K52" s="58">
        <v>1856551.7971799199</v>
      </c>
      <c r="L52" s="58">
        <v>754558.34000000008</v>
      </c>
      <c r="M52" s="58">
        <v>720041.58772654866</v>
      </c>
      <c r="N52" s="58">
        <f t="shared" si="32"/>
        <v>34516.75227345142</v>
      </c>
      <c r="O52" s="60">
        <f t="shared" si="33"/>
        <v>1822035.0449064686</v>
      </c>
      <c r="P52" s="57">
        <v>56048.95</v>
      </c>
      <c r="Q52" s="57">
        <v>56499.57</v>
      </c>
      <c r="R52" s="57">
        <v>67833.259999999995</v>
      </c>
      <c r="S52" s="61">
        <v>322315.65999999997</v>
      </c>
      <c r="T52" s="57">
        <v>209790.11</v>
      </c>
      <c r="U52" s="57">
        <v>0</v>
      </c>
      <c r="V52" s="62">
        <f t="shared" si="27"/>
        <v>712487.54999999993</v>
      </c>
      <c r="W52" s="63">
        <f t="shared" si="34"/>
        <v>1109547.4949064688</v>
      </c>
      <c r="X52" s="64">
        <f t="shared" si="35"/>
        <v>0</v>
      </c>
      <c r="Y52" s="57">
        <f t="shared" si="36"/>
        <v>12854.480276421582</v>
      </c>
      <c r="Z52" s="57">
        <f t="shared" si="37"/>
        <v>19162.910370336289</v>
      </c>
      <c r="AA52" s="57">
        <f t="shared" si="38"/>
        <v>6308.430093914707</v>
      </c>
      <c r="AB52" s="57">
        <f t="shared" si="39"/>
        <v>6308.430093914707</v>
      </c>
      <c r="AC52" s="57">
        <f t="shared" si="40"/>
        <v>0</v>
      </c>
      <c r="AD52" s="57">
        <f t="shared" si="41"/>
        <v>19162.91</v>
      </c>
      <c r="AE52" s="57">
        <f t="shared" si="42"/>
        <v>6308.430093914707</v>
      </c>
      <c r="AF52" s="57">
        <f t="shared" si="43"/>
        <v>0</v>
      </c>
      <c r="AG52" s="57">
        <f t="shared" si="44"/>
        <v>6308.430093914707</v>
      </c>
      <c r="AH52" s="64">
        <f t="shared" si="45"/>
        <v>0</v>
      </c>
      <c r="AI52" s="112">
        <f t="shared" si="46"/>
        <v>6308.43</v>
      </c>
    </row>
    <row r="53" spans="1:35" ht="51" x14ac:dyDescent="0.2">
      <c r="A53" s="37" t="s">
        <v>113</v>
      </c>
      <c r="B53" s="5" t="s">
        <v>375</v>
      </c>
      <c r="C53" s="8" t="s">
        <v>491</v>
      </c>
      <c r="D53" s="6">
        <v>3</v>
      </c>
      <c r="E53" s="6">
        <v>3</v>
      </c>
      <c r="F53" s="6">
        <v>1</v>
      </c>
      <c r="G53" s="6">
        <v>1</v>
      </c>
      <c r="H53" s="6">
        <v>2</v>
      </c>
      <c r="I53" s="6">
        <v>2</v>
      </c>
      <c r="J53" s="6">
        <v>2</v>
      </c>
      <c r="K53" s="58">
        <v>3193133.9560890198</v>
      </c>
      <c r="L53" s="58">
        <v>1673631.32</v>
      </c>
      <c r="M53" s="58">
        <v>717864.15587020514</v>
      </c>
      <c r="N53" s="58">
        <f t="shared" si="32"/>
        <v>955767.16412979492</v>
      </c>
      <c r="O53" s="60">
        <f t="shared" si="33"/>
        <v>2237366.7919592247</v>
      </c>
      <c r="P53" s="57">
        <v>151751.29</v>
      </c>
      <c r="Q53" s="57">
        <v>152964.04999999999</v>
      </c>
      <c r="R53" s="57">
        <v>174900.22</v>
      </c>
      <c r="S53" s="61">
        <v>512780.02</v>
      </c>
      <c r="T53" s="57">
        <v>341090.95</v>
      </c>
      <c r="U53" s="57">
        <v>0</v>
      </c>
      <c r="V53" s="62">
        <f t="shared" si="27"/>
        <v>1333486.53</v>
      </c>
      <c r="W53" s="63">
        <f t="shared" si="34"/>
        <v>903880.26195922471</v>
      </c>
      <c r="X53" s="64">
        <f t="shared" si="35"/>
        <v>0</v>
      </c>
      <c r="Y53" s="57">
        <f t="shared" si="36"/>
        <v>10471.75632673666</v>
      </c>
      <c r="Z53" s="57">
        <f t="shared" si="37"/>
        <v>15610.84723723414</v>
      </c>
      <c r="AA53" s="57">
        <f t="shared" si="38"/>
        <v>5139.0909104974799</v>
      </c>
      <c r="AB53" s="57">
        <f t="shared" si="39"/>
        <v>5139.0909104974799</v>
      </c>
      <c r="AC53" s="57">
        <f t="shared" si="40"/>
        <v>0</v>
      </c>
      <c r="AD53" s="57">
        <f t="shared" si="41"/>
        <v>15610.85</v>
      </c>
      <c r="AE53" s="57">
        <f t="shared" si="42"/>
        <v>5139.0909104974799</v>
      </c>
      <c r="AF53" s="57">
        <f t="shared" si="43"/>
        <v>0</v>
      </c>
      <c r="AG53" s="57">
        <f t="shared" si="44"/>
        <v>5139.0909104974799</v>
      </c>
      <c r="AH53" s="64">
        <f t="shared" si="45"/>
        <v>0</v>
      </c>
      <c r="AI53" s="112">
        <f t="shared" si="46"/>
        <v>5139.09</v>
      </c>
    </row>
    <row r="54" spans="1:35" ht="25.5" x14ac:dyDescent="0.2">
      <c r="A54" s="37" t="s">
        <v>270</v>
      </c>
      <c r="B54" s="22" t="s">
        <v>338</v>
      </c>
      <c r="C54" s="5" t="s">
        <v>542</v>
      </c>
      <c r="D54" s="88">
        <v>3</v>
      </c>
      <c r="E54" s="88">
        <v>3</v>
      </c>
      <c r="F54" s="6">
        <v>2</v>
      </c>
      <c r="G54" s="6">
        <v>2</v>
      </c>
      <c r="H54" s="5" t="s">
        <v>545</v>
      </c>
      <c r="I54" s="5" t="s">
        <v>545</v>
      </c>
      <c r="J54" s="5" t="s">
        <v>545</v>
      </c>
      <c r="K54" s="58">
        <v>0</v>
      </c>
      <c r="L54" s="58">
        <v>1296199.76</v>
      </c>
      <c r="M54" s="58">
        <v>1381541.1986419878</v>
      </c>
      <c r="N54" s="58">
        <f t="shared" si="32"/>
        <v>0</v>
      </c>
      <c r="O54" s="60">
        <f t="shared" si="33"/>
        <v>0</v>
      </c>
      <c r="P54" s="57">
        <v>129643.59</v>
      </c>
      <c r="Q54" s="57">
        <v>130695.33</v>
      </c>
      <c r="R54" s="57">
        <v>0</v>
      </c>
      <c r="S54" s="61">
        <v>0</v>
      </c>
      <c r="T54" s="57">
        <v>0</v>
      </c>
      <c r="U54" s="57">
        <v>260338.92</v>
      </c>
      <c r="V54" s="62">
        <f t="shared" si="27"/>
        <v>0</v>
      </c>
      <c r="W54" s="63">
        <f t="shared" si="34"/>
        <v>0</v>
      </c>
      <c r="X54" s="64">
        <f t="shared" si="35"/>
        <v>0</v>
      </c>
      <c r="Y54" s="57">
        <f t="shared" si="36"/>
        <v>0</v>
      </c>
      <c r="Z54" s="57">
        <f t="shared" si="37"/>
        <v>0</v>
      </c>
      <c r="AA54" s="57">
        <f t="shared" si="38"/>
        <v>0</v>
      </c>
      <c r="AB54" s="57">
        <f t="shared" si="39"/>
        <v>0</v>
      </c>
      <c r="AC54" s="57">
        <f t="shared" si="40"/>
        <v>0</v>
      </c>
      <c r="AD54" s="57">
        <f t="shared" si="41"/>
        <v>0</v>
      </c>
      <c r="AE54" s="57">
        <f t="shared" si="42"/>
        <v>0</v>
      </c>
      <c r="AF54" s="57">
        <f t="shared" si="43"/>
        <v>0</v>
      </c>
      <c r="AG54" s="57">
        <f t="shared" si="44"/>
        <v>0</v>
      </c>
      <c r="AH54" s="64">
        <f t="shared" si="45"/>
        <v>0</v>
      </c>
      <c r="AI54" s="112">
        <f t="shared" si="46"/>
        <v>0</v>
      </c>
    </row>
    <row r="55" spans="1:35" ht="51" x14ac:dyDescent="0.2">
      <c r="A55" s="37" t="s">
        <v>105</v>
      </c>
      <c r="B55" s="5" t="s">
        <v>373</v>
      </c>
      <c r="C55" s="8" t="s">
        <v>493</v>
      </c>
      <c r="D55" s="6">
        <v>3</v>
      </c>
      <c r="E55" s="6">
        <v>3</v>
      </c>
      <c r="F55" s="6">
        <v>1</v>
      </c>
      <c r="G55" s="6">
        <v>1</v>
      </c>
      <c r="H55" s="6">
        <v>2</v>
      </c>
      <c r="I55" s="6">
        <v>2</v>
      </c>
      <c r="J55" s="6">
        <v>2</v>
      </c>
      <c r="K55" s="58">
        <v>2149610.2395498301</v>
      </c>
      <c r="L55" s="58">
        <v>1999838.9899999998</v>
      </c>
      <c r="M55" s="58">
        <v>754668.58920618356</v>
      </c>
      <c r="N55" s="58">
        <f t="shared" si="32"/>
        <v>1245170.4007938162</v>
      </c>
      <c r="O55" s="60">
        <f t="shared" si="33"/>
        <v>904439.83875601389</v>
      </c>
      <c r="P55" s="57">
        <v>83975.58</v>
      </c>
      <c r="Q55" s="57">
        <v>84647.71</v>
      </c>
      <c r="R55" s="57">
        <v>96281.55</v>
      </c>
      <c r="S55" s="61">
        <v>339575.05</v>
      </c>
      <c r="T55" s="57">
        <v>239606.43</v>
      </c>
      <c r="U55" s="57">
        <v>0</v>
      </c>
      <c r="V55" s="62">
        <f t="shared" si="27"/>
        <v>844086.32000000007</v>
      </c>
      <c r="W55" s="63">
        <f t="shared" si="34"/>
        <v>60353.518756013829</v>
      </c>
      <c r="X55" s="64">
        <f t="shared" si="35"/>
        <v>0</v>
      </c>
      <c r="Y55" s="57">
        <f t="shared" si="36"/>
        <v>699.21577942656552</v>
      </c>
      <c r="Z55" s="57">
        <f t="shared" si="37"/>
        <v>1042.3610307492033</v>
      </c>
      <c r="AA55" s="57">
        <f t="shared" si="38"/>
        <v>343.14525132263782</v>
      </c>
      <c r="AB55" s="57">
        <f t="shared" si="39"/>
        <v>343.14525132263782</v>
      </c>
      <c r="AC55" s="57">
        <f t="shared" si="40"/>
        <v>0</v>
      </c>
      <c r="AD55" s="57">
        <f t="shared" si="41"/>
        <v>1042.3599999999999</v>
      </c>
      <c r="AE55" s="57">
        <f t="shared" si="42"/>
        <v>343.14525132263782</v>
      </c>
      <c r="AF55" s="57">
        <f t="shared" si="43"/>
        <v>0</v>
      </c>
      <c r="AG55" s="57">
        <f t="shared" si="44"/>
        <v>343.14525132263782</v>
      </c>
      <c r="AH55" s="64">
        <f t="shared" si="45"/>
        <v>0</v>
      </c>
      <c r="AI55" s="112">
        <f t="shared" si="46"/>
        <v>343.15</v>
      </c>
    </row>
    <row r="56" spans="1:35" ht="63.75" x14ac:dyDescent="0.2">
      <c r="A56" s="37" t="s">
        <v>114</v>
      </c>
      <c r="B56" s="5" t="s">
        <v>325</v>
      </c>
      <c r="C56" s="8" t="s">
        <v>494</v>
      </c>
      <c r="D56" s="6">
        <v>3</v>
      </c>
      <c r="E56" s="6">
        <v>3</v>
      </c>
      <c r="F56" s="6">
        <v>1</v>
      </c>
      <c r="G56" s="6">
        <v>1</v>
      </c>
      <c r="H56" s="6">
        <v>2</v>
      </c>
      <c r="I56" s="6">
        <v>2</v>
      </c>
      <c r="J56" s="6">
        <v>2</v>
      </c>
      <c r="K56" s="58">
        <v>1065142.7310302099</v>
      </c>
      <c r="L56" s="58">
        <v>1086372.98</v>
      </c>
      <c r="M56" s="58">
        <v>820832.47042870906</v>
      </c>
      <c r="N56" s="58">
        <f t="shared" si="32"/>
        <v>265540.50957129092</v>
      </c>
      <c r="O56" s="60">
        <f t="shared" si="33"/>
        <v>799602.221458919</v>
      </c>
      <c r="P56" s="57">
        <v>64708.35</v>
      </c>
      <c r="Q56" s="57">
        <v>65228.2</v>
      </c>
      <c r="R56" s="57">
        <v>74874.460000000006</v>
      </c>
      <c r="S56" s="61">
        <v>546949.56999999995</v>
      </c>
      <c r="T56" s="57">
        <v>45610.35</v>
      </c>
      <c r="U56" s="57">
        <v>0</v>
      </c>
      <c r="V56" s="62">
        <f t="shared" si="27"/>
        <v>797370.92999999993</v>
      </c>
      <c r="W56" s="63">
        <f t="shared" si="34"/>
        <v>2231.2914589190623</v>
      </c>
      <c r="X56" s="64">
        <f t="shared" si="35"/>
        <v>0</v>
      </c>
      <c r="Y56" s="57">
        <f t="shared" si="36"/>
        <v>25.850260742592933</v>
      </c>
      <c r="Z56" s="57">
        <f t="shared" si="37"/>
        <v>38.53646503069907</v>
      </c>
      <c r="AA56" s="57">
        <f t="shared" si="38"/>
        <v>12.686204288106136</v>
      </c>
      <c r="AB56" s="57">
        <f t="shared" si="39"/>
        <v>12.686204288106136</v>
      </c>
      <c r="AC56" s="57">
        <f t="shared" si="40"/>
        <v>0</v>
      </c>
      <c r="AD56" s="83">
        <f t="shared" si="41"/>
        <v>38.54</v>
      </c>
      <c r="AE56" s="57">
        <f t="shared" si="42"/>
        <v>12.686204288106136</v>
      </c>
      <c r="AF56" s="57">
        <f t="shared" si="43"/>
        <v>0</v>
      </c>
      <c r="AG56" s="82">
        <f t="shared" si="44"/>
        <v>12.686204288106136</v>
      </c>
      <c r="AH56" s="64">
        <f t="shared" si="45"/>
        <v>0</v>
      </c>
      <c r="AI56" s="112">
        <f t="shared" si="46"/>
        <v>12.69</v>
      </c>
    </row>
    <row r="57" spans="1:35" ht="38.25" x14ac:dyDescent="0.2">
      <c r="A57" s="37" t="s">
        <v>125</v>
      </c>
      <c r="B57" s="5" t="s">
        <v>126</v>
      </c>
      <c r="C57" s="8" t="s">
        <v>495</v>
      </c>
      <c r="D57" s="6">
        <v>3</v>
      </c>
      <c r="E57" s="6">
        <v>3</v>
      </c>
      <c r="F57" s="6">
        <v>1</v>
      </c>
      <c r="G57" s="6">
        <v>1</v>
      </c>
      <c r="H57" s="6">
        <v>2</v>
      </c>
      <c r="I57" s="6">
        <v>2</v>
      </c>
      <c r="J57" s="6">
        <v>2</v>
      </c>
      <c r="K57" s="58">
        <v>2162563.7921312498</v>
      </c>
      <c r="L57" s="58">
        <v>2167740.48</v>
      </c>
      <c r="M57" s="58">
        <v>765555.33743835089</v>
      </c>
      <c r="N57" s="58">
        <f t="shared" si="32"/>
        <v>1402185.142561649</v>
      </c>
      <c r="O57" s="60">
        <f t="shared" si="33"/>
        <v>760378.64956960082</v>
      </c>
      <c r="P57" s="57">
        <v>98667.39</v>
      </c>
      <c r="Q57" s="57">
        <v>99460.27</v>
      </c>
      <c r="R57" s="57">
        <v>117724.85</v>
      </c>
      <c r="S57" s="61">
        <v>0</v>
      </c>
      <c r="T57" s="57">
        <v>0</v>
      </c>
      <c r="U57" s="57">
        <v>0</v>
      </c>
      <c r="V57" s="62">
        <f t="shared" si="27"/>
        <v>315852.51</v>
      </c>
      <c r="W57" s="63">
        <f t="shared" si="34"/>
        <v>444526.13956960081</v>
      </c>
      <c r="X57" s="64">
        <f t="shared" si="35"/>
        <v>0</v>
      </c>
      <c r="Y57" s="57">
        <f t="shared" si="36"/>
        <v>5149.9845835197402</v>
      </c>
      <c r="Z57" s="57">
        <f t="shared" si="37"/>
        <v>7677.3771370300246</v>
      </c>
      <c r="AA57" s="57">
        <f t="shared" si="38"/>
        <v>2527.3925535102844</v>
      </c>
      <c r="AB57" s="57">
        <f t="shared" si="39"/>
        <v>2527.3925535102844</v>
      </c>
      <c r="AC57" s="57">
        <f t="shared" si="40"/>
        <v>0</v>
      </c>
      <c r="AD57" s="57">
        <f t="shared" si="41"/>
        <v>7677.38</v>
      </c>
      <c r="AE57" s="57">
        <f t="shared" si="42"/>
        <v>2527.3925535102844</v>
      </c>
      <c r="AF57" s="57">
        <f t="shared" si="43"/>
        <v>0</v>
      </c>
      <c r="AG57" s="57">
        <f t="shared" si="44"/>
        <v>2527.3925535102844</v>
      </c>
      <c r="AH57" s="64">
        <f t="shared" si="45"/>
        <v>0</v>
      </c>
      <c r="AI57" s="112">
        <f t="shared" si="46"/>
        <v>2527.39</v>
      </c>
    </row>
    <row r="58" spans="1:35" ht="38.25" x14ac:dyDescent="0.2">
      <c r="A58" s="37" t="s">
        <v>134</v>
      </c>
      <c r="B58" s="5" t="s">
        <v>429</v>
      </c>
      <c r="C58" s="8" t="s">
        <v>496</v>
      </c>
      <c r="D58" s="6">
        <v>3</v>
      </c>
      <c r="E58" s="6">
        <v>3</v>
      </c>
      <c r="F58" s="6">
        <v>1</v>
      </c>
      <c r="G58" s="6">
        <v>1</v>
      </c>
      <c r="H58" s="6">
        <v>2</v>
      </c>
      <c r="I58" s="6">
        <v>2</v>
      </c>
      <c r="J58" s="6">
        <v>2</v>
      </c>
      <c r="K58" s="58">
        <v>5026637.7624498401</v>
      </c>
      <c r="L58" s="58">
        <v>2334015.4299999997</v>
      </c>
      <c r="M58" s="58">
        <v>832138.87353336951</v>
      </c>
      <c r="N58" s="58">
        <f t="shared" si="32"/>
        <v>1501876.5564666302</v>
      </c>
      <c r="O58" s="60">
        <f t="shared" si="33"/>
        <v>3524761.2059832099</v>
      </c>
      <c r="P58" s="57">
        <v>186587.14</v>
      </c>
      <c r="Q58" s="57">
        <v>188081.13</v>
      </c>
      <c r="R58" s="57">
        <v>216901.83</v>
      </c>
      <c r="S58" s="61">
        <v>472780.71</v>
      </c>
      <c r="T58" s="57">
        <v>616926.03</v>
      </c>
      <c r="U58" s="57">
        <v>0</v>
      </c>
      <c r="V58" s="62">
        <f t="shared" si="27"/>
        <v>1681276.84</v>
      </c>
      <c r="W58" s="63">
        <f t="shared" si="34"/>
        <v>1843484.3659832098</v>
      </c>
      <c r="X58" s="64">
        <f t="shared" si="35"/>
        <v>0</v>
      </c>
      <c r="Y58" s="57">
        <f t="shared" si="36"/>
        <v>21357.385358632437</v>
      </c>
      <c r="Z58" s="57">
        <f t="shared" si="37"/>
        <v>31838.678232904647</v>
      </c>
      <c r="AA58" s="57">
        <f t="shared" si="38"/>
        <v>10481.292874272211</v>
      </c>
      <c r="AB58" s="57">
        <f t="shared" si="39"/>
        <v>10481.292874272211</v>
      </c>
      <c r="AC58" s="57">
        <f t="shared" si="40"/>
        <v>0</v>
      </c>
      <c r="AD58" s="57">
        <f t="shared" si="41"/>
        <v>31838.68</v>
      </c>
      <c r="AE58" s="57">
        <f t="shared" si="42"/>
        <v>10481.292874272211</v>
      </c>
      <c r="AF58" s="57">
        <f t="shared" si="43"/>
        <v>0</v>
      </c>
      <c r="AG58" s="57">
        <f t="shared" si="44"/>
        <v>10481.292874272211</v>
      </c>
      <c r="AH58" s="64">
        <f t="shared" si="45"/>
        <v>0</v>
      </c>
      <c r="AI58" s="112">
        <f t="shared" si="46"/>
        <v>10481.290000000001</v>
      </c>
    </row>
    <row r="59" spans="1:35" ht="25.5" x14ac:dyDescent="0.2">
      <c r="A59" s="37" t="s">
        <v>279</v>
      </c>
      <c r="B59" s="5" t="s">
        <v>280</v>
      </c>
      <c r="C59" s="8" t="s">
        <v>14</v>
      </c>
      <c r="D59" s="6">
        <v>3</v>
      </c>
      <c r="E59" s="6">
        <v>3</v>
      </c>
      <c r="F59" s="6">
        <v>2</v>
      </c>
      <c r="G59" s="6">
        <v>2</v>
      </c>
      <c r="H59" s="6">
        <v>3</v>
      </c>
      <c r="I59" s="6">
        <v>2</v>
      </c>
      <c r="J59" s="6">
        <v>2</v>
      </c>
      <c r="K59" s="58">
        <v>8964708.1719543003</v>
      </c>
      <c r="L59" s="58">
        <v>1135607.55</v>
      </c>
      <c r="M59" s="58">
        <v>793620.22041911632</v>
      </c>
      <c r="N59" s="58">
        <f t="shared" si="32"/>
        <v>341987.32958088373</v>
      </c>
      <c r="O59" s="60">
        <f t="shared" si="33"/>
        <v>8622720.8423734158</v>
      </c>
      <c r="P59" s="57">
        <v>0</v>
      </c>
      <c r="Q59" s="57">
        <v>0</v>
      </c>
      <c r="R59" s="57">
        <v>0</v>
      </c>
      <c r="S59" s="61">
        <v>7669039.0300000003</v>
      </c>
      <c r="T59" s="57">
        <v>0</v>
      </c>
      <c r="U59" s="57">
        <v>0</v>
      </c>
      <c r="V59" s="62">
        <f t="shared" si="27"/>
        <v>7669039.0300000003</v>
      </c>
      <c r="W59" s="63">
        <f t="shared" si="34"/>
        <v>953681.81237341557</v>
      </c>
      <c r="X59" s="64">
        <f t="shared" si="35"/>
        <v>0</v>
      </c>
      <c r="Y59" s="57">
        <f t="shared" si="36"/>
        <v>11048.724009934751</v>
      </c>
      <c r="Z59" s="57">
        <f t="shared" si="37"/>
        <v>16470.966025543756</v>
      </c>
      <c r="AA59" s="57">
        <f t="shared" si="38"/>
        <v>5422.2420156090047</v>
      </c>
      <c r="AB59" s="57">
        <f t="shared" si="39"/>
        <v>0</v>
      </c>
      <c r="AC59" s="57">
        <f t="shared" si="40"/>
        <v>0</v>
      </c>
      <c r="AD59" s="57">
        <f t="shared" si="41"/>
        <v>11048.72</v>
      </c>
      <c r="AE59" s="57">
        <f t="shared" si="42"/>
        <v>0</v>
      </c>
      <c r="AF59" s="57">
        <f t="shared" si="43"/>
        <v>0</v>
      </c>
      <c r="AG59" s="57">
        <f t="shared" si="44"/>
        <v>0</v>
      </c>
      <c r="AH59" s="64">
        <f t="shared" si="45"/>
        <v>0</v>
      </c>
      <c r="AI59" s="112">
        <f t="shared" si="46"/>
        <v>0</v>
      </c>
    </row>
    <row r="60" spans="1:35" ht="51" x14ac:dyDescent="0.2">
      <c r="A60" s="37" t="s">
        <v>188</v>
      </c>
      <c r="B60" s="5" t="s">
        <v>406</v>
      </c>
      <c r="C60" s="8" t="s">
        <v>497</v>
      </c>
      <c r="D60" s="6">
        <v>3</v>
      </c>
      <c r="E60" s="6">
        <v>3</v>
      </c>
      <c r="F60" s="6">
        <v>2</v>
      </c>
      <c r="G60" s="6">
        <v>2</v>
      </c>
      <c r="H60" s="6">
        <v>2</v>
      </c>
      <c r="I60" s="6">
        <v>2</v>
      </c>
      <c r="J60" s="6">
        <v>2</v>
      </c>
      <c r="K60" s="58">
        <v>1679555.4164342801</v>
      </c>
      <c r="L60" s="58">
        <v>1728466.77</v>
      </c>
      <c r="M60" s="58">
        <v>932182.39192364702</v>
      </c>
      <c r="N60" s="58">
        <f t="shared" si="32"/>
        <v>796284.37807635299</v>
      </c>
      <c r="O60" s="60">
        <f t="shared" si="33"/>
        <v>883271.03835792711</v>
      </c>
      <c r="P60" s="57">
        <v>18331.419999999998</v>
      </c>
      <c r="Q60" s="57">
        <v>18481.150000000001</v>
      </c>
      <c r="R60" s="57">
        <v>23738.17</v>
      </c>
      <c r="S60" s="61">
        <v>117657.43</v>
      </c>
      <c r="T60" s="57">
        <v>0</v>
      </c>
      <c r="U60" s="57">
        <v>0</v>
      </c>
      <c r="V60" s="62">
        <f t="shared" si="27"/>
        <v>178208.16999999998</v>
      </c>
      <c r="W60" s="63">
        <f t="shared" si="34"/>
        <v>705062.86835792707</v>
      </c>
      <c r="X60" s="64">
        <f t="shared" si="35"/>
        <v>0</v>
      </c>
      <c r="Y60" s="57">
        <f t="shared" si="36"/>
        <v>8168.3900658152534</v>
      </c>
      <c r="Z60" s="57">
        <f t="shared" si="37"/>
        <v>12177.087158341166</v>
      </c>
      <c r="AA60" s="57">
        <f t="shared" si="38"/>
        <v>4008.6970925259129</v>
      </c>
      <c r="AB60" s="57">
        <f t="shared" si="39"/>
        <v>0</v>
      </c>
      <c r="AC60" s="57">
        <f t="shared" si="40"/>
        <v>0</v>
      </c>
      <c r="AD60" s="57">
        <f t="shared" si="41"/>
        <v>8168.39</v>
      </c>
      <c r="AE60" s="57">
        <f t="shared" si="42"/>
        <v>0</v>
      </c>
      <c r="AF60" s="57">
        <f t="shared" si="43"/>
        <v>0</v>
      </c>
      <c r="AG60" s="57">
        <f t="shared" si="44"/>
        <v>0</v>
      </c>
      <c r="AH60" s="64">
        <f t="shared" si="45"/>
        <v>0</v>
      </c>
      <c r="AI60" s="112">
        <f t="shared" si="46"/>
        <v>0</v>
      </c>
    </row>
    <row r="61" spans="1:35" ht="51" x14ac:dyDescent="0.2">
      <c r="A61" s="37" t="s">
        <v>226</v>
      </c>
      <c r="B61" s="5" t="s">
        <v>227</v>
      </c>
      <c r="C61" s="8" t="s">
        <v>321</v>
      </c>
      <c r="D61" s="6">
        <v>3</v>
      </c>
      <c r="E61" s="6">
        <v>3</v>
      </c>
      <c r="F61" s="6">
        <v>2</v>
      </c>
      <c r="G61" s="6">
        <v>2</v>
      </c>
      <c r="H61" s="6">
        <v>3</v>
      </c>
      <c r="I61" s="6">
        <v>2</v>
      </c>
      <c r="J61" s="6">
        <v>2</v>
      </c>
      <c r="K61" s="58">
        <v>39410024.7329197</v>
      </c>
      <c r="L61" s="58">
        <v>6731585.8799999999</v>
      </c>
      <c r="M61" s="58">
        <v>1070476.3664318342</v>
      </c>
      <c r="N61" s="58">
        <f t="shared" si="32"/>
        <v>5661109.5135681657</v>
      </c>
      <c r="O61" s="60">
        <f t="shared" si="33"/>
        <v>33748915.219351538</v>
      </c>
      <c r="P61" s="57">
        <v>688209.48</v>
      </c>
      <c r="Q61" s="57">
        <v>693730.94</v>
      </c>
      <c r="R61" s="57">
        <v>798332.68</v>
      </c>
      <c r="S61" s="61">
        <v>4490370.0199999996</v>
      </c>
      <c r="T61" s="57">
        <v>0</v>
      </c>
      <c r="U61" s="57">
        <v>0</v>
      </c>
      <c r="V61" s="62">
        <f t="shared" si="27"/>
        <v>6670643.1199999992</v>
      </c>
      <c r="W61" s="63">
        <f t="shared" si="34"/>
        <v>27078272.09935154</v>
      </c>
      <c r="X61" s="64">
        <f t="shared" si="35"/>
        <v>0</v>
      </c>
      <c r="Y61" s="57">
        <f t="shared" si="36"/>
        <v>313710.874224481</v>
      </c>
      <c r="Z61" s="57">
        <f t="shared" si="37"/>
        <v>467666.77731735393</v>
      </c>
      <c r="AA61" s="57">
        <f t="shared" si="38"/>
        <v>153955.90309287293</v>
      </c>
      <c r="AB61" s="57">
        <f t="shared" si="39"/>
        <v>0</v>
      </c>
      <c r="AC61" s="57">
        <f t="shared" si="40"/>
        <v>0</v>
      </c>
      <c r="AD61" s="57">
        <f t="shared" si="41"/>
        <v>313710.87</v>
      </c>
      <c r="AE61" s="57">
        <f t="shared" si="42"/>
        <v>0</v>
      </c>
      <c r="AF61" s="57">
        <f t="shared" si="43"/>
        <v>0</v>
      </c>
      <c r="AG61" s="57">
        <f t="shared" si="44"/>
        <v>0</v>
      </c>
      <c r="AH61" s="64">
        <f t="shared" si="45"/>
        <v>0</v>
      </c>
      <c r="AI61" s="112">
        <f t="shared" si="46"/>
        <v>0</v>
      </c>
    </row>
    <row r="62" spans="1:35" ht="25.5" x14ac:dyDescent="0.2">
      <c r="A62" s="37" t="s">
        <v>217</v>
      </c>
      <c r="B62" s="5" t="s">
        <v>218</v>
      </c>
      <c r="C62" s="8" t="s">
        <v>498</v>
      </c>
      <c r="D62" s="6">
        <v>3</v>
      </c>
      <c r="E62" s="6">
        <v>3</v>
      </c>
      <c r="F62" s="6">
        <v>2</v>
      </c>
      <c r="G62" s="6">
        <v>2</v>
      </c>
      <c r="H62" s="6">
        <v>2</v>
      </c>
      <c r="I62" s="6">
        <v>2</v>
      </c>
      <c r="J62" s="6">
        <v>2</v>
      </c>
      <c r="K62" s="58">
        <v>2360278.2899219701</v>
      </c>
      <c r="L62" s="58">
        <v>1872362.45</v>
      </c>
      <c r="M62" s="58">
        <v>901549.75385443761</v>
      </c>
      <c r="N62" s="58">
        <f t="shared" si="32"/>
        <v>970812.69614556234</v>
      </c>
      <c r="O62" s="60">
        <f t="shared" si="33"/>
        <v>1389465.5937764077</v>
      </c>
      <c r="P62" s="57">
        <v>35032.230000000003</v>
      </c>
      <c r="Q62" s="57">
        <v>35317.89</v>
      </c>
      <c r="R62" s="57">
        <v>45747.55</v>
      </c>
      <c r="S62" s="61">
        <v>283926.84999999998</v>
      </c>
      <c r="T62" s="57">
        <v>0</v>
      </c>
      <c r="U62" s="57">
        <v>0</v>
      </c>
      <c r="V62" s="62">
        <f t="shared" si="27"/>
        <v>400024.51999999996</v>
      </c>
      <c r="W62" s="63">
        <f t="shared" si="34"/>
        <v>989441.07377640763</v>
      </c>
      <c r="X62" s="64">
        <f t="shared" si="35"/>
        <v>0</v>
      </c>
      <c r="Y62" s="57">
        <f t="shared" si="36"/>
        <v>11463.00706001988</v>
      </c>
      <c r="Z62" s="57">
        <f t="shared" si="37"/>
        <v>17088.56150867603</v>
      </c>
      <c r="AA62" s="57">
        <f t="shared" si="38"/>
        <v>5625.5544486561503</v>
      </c>
      <c r="AB62" s="57">
        <f t="shared" si="39"/>
        <v>0</v>
      </c>
      <c r="AC62" s="57">
        <f t="shared" si="40"/>
        <v>0</v>
      </c>
      <c r="AD62" s="57">
        <f t="shared" si="41"/>
        <v>11463.01</v>
      </c>
      <c r="AE62" s="57">
        <f t="shared" si="42"/>
        <v>0</v>
      </c>
      <c r="AF62" s="57">
        <f t="shared" si="43"/>
        <v>0</v>
      </c>
      <c r="AG62" s="57">
        <f t="shared" si="44"/>
        <v>0</v>
      </c>
      <c r="AH62" s="64">
        <f t="shared" si="45"/>
        <v>0</v>
      </c>
      <c r="AI62" s="112">
        <f t="shared" si="46"/>
        <v>0</v>
      </c>
    </row>
    <row r="63" spans="1:35" ht="51" x14ac:dyDescent="0.2">
      <c r="A63" s="37" t="s">
        <v>281</v>
      </c>
      <c r="B63" s="5" t="s">
        <v>282</v>
      </c>
      <c r="C63" s="8" t="s">
        <v>499</v>
      </c>
      <c r="D63" s="6">
        <v>3</v>
      </c>
      <c r="E63" s="6">
        <v>3</v>
      </c>
      <c r="F63" s="6">
        <v>2</v>
      </c>
      <c r="G63" s="6">
        <v>1</v>
      </c>
      <c r="H63" s="6">
        <v>3</v>
      </c>
      <c r="I63" s="6">
        <v>2</v>
      </c>
      <c r="J63" s="6">
        <v>2</v>
      </c>
      <c r="K63" s="58">
        <v>12789981.9088371</v>
      </c>
      <c r="L63" s="58">
        <v>4321095.3499999996</v>
      </c>
      <c r="M63" s="58">
        <v>4931831.763160089</v>
      </c>
      <c r="N63" s="58">
        <f t="shared" si="32"/>
        <v>0</v>
      </c>
      <c r="O63" s="60">
        <f t="shared" si="33"/>
        <v>12789981.9088371</v>
      </c>
      <c r="P63" s="57">
        <v>0</v>
      </c>
      <c r="Q63" s="57">
        <v>0</v>
      </c>
      <c r="R63" s="57">
        <v>0</v>
      </c>
      <c r="S63" s="61">
        <v>1827414.32</v>
      </c>
      <c r="T63" s="57">
        <v>0</v>
      </c>
      <c r="U63" s="57">
        <v>0</v>
      </c>
      <c r="V63" s="62">
        <f t="shared" si="27"/>
        <v>1827414.32</v>
      </c>
      <c r="W63" s="63">
        <f t="shared" si="34"/>
        <v>10962567.5888371</v>
      </c>
      <c r="X63" s="64">
        <f t="shared" si="35"/>
        <v>0</v>
      </c>
      <c r="Y63" s="57">
        <f t="shared" si="36"/>
        <v>127005.0263702537</v>
      </c>
      <c r="Z63" s="57">
        <f t="shared" si="37"/>
        <v>189333.67079644263</v>
      </c>
      <c r="AA63" s="57">
        <f t="shared" si="38"/>
        <v>62328.644426188926</v>
      </c>
      <c r="AB63" s="57">
        <f t="shared" si="39"/>
        <v>0</v>
      </c>
      <c r="AC63" s="57">
        <f t="shared" si="40"/>
        <v>0</v>
      </c>
      <c r="AD63" s="57">
        <f t="shared" si="41"/>
        <v>127005.03</v>
      </c>
      <c r="AE63" s="57">
        <f t="shared" si="42"/>
        <v>0</v>
      </c>
      <c r="AF63" s="57">
        <f t="shared" si="43"/>
        <v>0</v>
      </c>
      <c r="AG63" s="57">
        <f t="shared" si="44"/>
        <v>0</v>
      </c>
      <c r="AH63" s="64">
        <f t="shared" si="45"/>
        <v>0</v>
      </c>
      <c r="AI63" s="112">
        <f t="shared" si="46"/>
        <v>0</v>
      </c>
    </row>
    <row r="64" spans="1:35" ht="51" x14ac:dyDescent="0.2">
      <c r="A64" s="37" t="s">
        <v>117</v>
      </c>
      <c r="B64" s="5" t="s">
        <v>361</v>
      </c>
      <c r="C64" s="8" t="s">
        <v>500</v>
      </c>
      <c r="D64" s="6">
        <v>3</v>
      </c>
      <c r="E64" s="6">
        <v>3</v>
      </c>
      <c r="F64" s="6">
        <v>1</v>
      </c>
      <c r="G64" s="6">
        <v>1</v>
      </c>
      <c r="H64" s="6">
        <v>2</v>
      </c>
      <c r="I64" s="6">
        <v>2</v>
      </c>
      <c r="J64" s="6">
        <v>2</v>
      </c>
      <c r="K64" s="58">
        <v>3128729.2831911198</v>
      </c>
      <c r="L64" s="58">
        <v>1179969.4100000001</v>
      </c>
      <c r="M64" s="58">
        <v>1173037.425900874</v>
      </c>
      <c r="N64" s="58">
        <f t="shared" si="32"/>
        <v>6931.9840991261881</v>
      </c>
      <c r="O64" s="60">
        <f t="shared" si="33"/>
        <v>3121797.2990919938</v>
      </c>
      <c r="P64" s="57">
        <v>181759.42</v>
      </c>
      <c r="Q64" s="57">
        <v>183221.02</v>
      </c>
      <c r="R64" s="57">
        <v>203206.44</v>
      </c>
      <c r="S64" s="61">
        <v>134491.82999999999</v>
      </c>
      <c r="T64" s="57">
        <v>378702.98</v>
      </c>
      <c r="U64" s="57">
        <v>0</v>
      </c>
      <c r="V64" s="62">
        <f t="shared" si="27"/>
        <v>1081381.69</v>
      </c>
      <c r="W64" s="63">
        <f t="shared" si="34"/>
        <v>2040415.6090919939</v>
      </c>
      <c r="X64" s="64">
        <f t="shared" si="35"/>
        <v>0</v>
      </c>
      <c r="Y64" s="57">
        <f t="shared" si="36"/>
        <v>23638.899932793538</v>
      </c>
      <c r="Z64" s="57">
        <f t="shared" si="37"/>
        <v>35239.862750139444</v>
      </c>
      <c r="AA64" s="57">
        <f t="shared" si="38"/>
        <v>11600.962817345906</v>
      </c>
      <c r="AB64" s="57">
        <f t="shared" si="39"/>
        <v>11600.962817345906</v>
      </c>
      <c r="AC64" s="57">
        <f t="shared" si="40"/>
        <v>0</v>
      </c>
      <c r="AD64" s="57">
        <f t="shared" si="41"/>
        <v>35239.86</v>
      </c>
      <c r="AE64" s="57">
        <f t="shared" si="42"/>
        <v>11600.962817345906</v>
      </c>
      <c r="AF64" s="57">
        <f t="shared" si="43"/>
        <v>0</v>
      </c>
      <c r="AG64" s="57">
        <f t="shared" si="44"/>
        <v>11600.962817345906</v>
      </c>
      <c r="AH64" s="64">
        <f t="shared" si="45"/>
        <v>0</v>
      </c>
      <c r="AI64" s="112">
        <f t="shared" si="46"/>
        <v>11600.96</v>
      </c>
    </row>
    <row r="65" spans="1:35" ht="38.25" x14ac:dyDescent="0.2">
      <c r="A65" s="37" t="s">
        <v>92</v>
      </c>
      <c r="B65" s="5" t="s">
        <v>414</v>
      </c>
      <c r="C65" s="8" t="s">
        <v>501</v>
      </c>
      <c r="D65" s="6">
        <v>3</v>
      </c>
      <c r="E65" s="6">
        <v>3</v>
      </c>
      <c r="F65" s="6">
        <v>1</v>
      </c>
      <c r="G65" s="6">
        <v>1</v>
      </c>
      <c r="H65" s="6">
        <v>2</v>
      </c>
      <c r="I65" s="6">
        <v>2</v>
      </c>
      <c r="J65" s="6">
        <v>2</v>
      </c>
      <c r="K65" s="58">
        <v>2720966.2465171102</v>
      </c>
      <c r="L65" s="58">
        <v>1497478.54</v>
      </c>
      <c r="M65" s="58">
        <v>1254141.1909200868</v>
      </c>
      <c r="N65" s="58">
        <f t="shared" si="32"/>
        <v>243337.34907991323</v>
      </c>
      <c r="O65" s="60">
        <f t="shared" si="33"/>
        <v>2477628.8974371972</v>
      </c>
      <c r="P65" s="57">
        <v>39685.129999999997</v>
      </c>
      <c r="Q65" s="57">
        <v>40008.74</v>
      </c>
      <c r="R65" s="57">
        <v>54535.46</v>
      </c>
      <c r="S65" s="61">
        <v>236915.45</v>
      </c>
      <c r="T65" s="57">
        <v>366137.5</v>
      </c>
      <c r="U65" s="57">
        <v>0</v>
      </c>
      <c r="V65" s="62">
        <f t="shared" si="27"/>
        <v>737282.28</v>
      </c>
      <c r="W65" s="63">
        <f t="shared" si="34"/>
        <v>1740346.6174371971</v>
      </c>
      <c r="X65" s="64">
        <f t="shared" si="35"/>
        <v>0</v>
      </c>
      <c r="Y65" s="57">
        <f t="shared" si="36"/>
        <v>20162.499911614232</v>
      </c>
      <c r="Z65" s="57">
        <f t="shared" si="37"/>
        <v>30057.394024469639</v>
      </c>
      <c r="AA65" s="57">
        <f t="shared" si="38"/>
        <v>9894.894112855407</v>
      </c>
      <c r="AB65" s="57">
        <f t="shared" si="39"/>
        <v>9894.894112855407</v>
      </c>
      <c r="AC65" s="57">
        <f t="shared" si="40"/>
        <v>0</v>
      </c>
      <c r="AD65" s="57">
        <f t="shared" si="41"/>
        <v>30057.39</v>
      </c>
      <c r="AE65" s="57">
        <f t="shared" si="42"/>
        <v>9894.894112855407</v>
      </c>
      <c r="AF65" s="57">
        <f t="shared" si="43"/>
        <v>0</v>
      </c>
      <c r="AG65" s="57">
        <f t="shared" si="44"/>
        <v>9894.894112855407</v>
      </c>
      <c r="AH65" s="64">
        <f t="shared" si="45"/>
        <v>0</v>
      </c>
      <c r="AI65" s="112">
        <f t="shared" si="46"/>
        <v>9894.89</v>
      </c>
    </row>
    <row r="66" spans="1:35" ht="38.25" x14ac:dyDescent="0.2">
      <c r="A66" s="37" t="s">
        <v>210</v>
      </c>
      <c r="B66" s="5" t="s">
        <v>370</v>
      </c>
      <c r="C66" s="8" t="s">
        <v>502</v>
      </c>
      <c r="D66" s="6">
        <v>3</v>
      </c>
      <c r="E66" s="6">
        <v>3</v>
      </c>
      <c r="F66" s="6">
        <v>2</v>
      </c>
      <c r="G66" s="6">
        <v>2</v>
      </c>
      <c r="H66" s="6">
        <v>2</v>
      </c>
      <c r="I66" s="6">
        <v>2</v>
      </c>
      <c r="J66" s="6">
        <v>2</v>
      </c>
      <c r="K66" s="58">
        <v>3431040.87875761</v>
      </c>
      <c r="L66" s="58">
        <v>2087253.45</v>
      </c>
      <c r="M66" s="58">
        <v>1295062.9972259547</v>
      </c>
      <c r="N66" s="58">
        <f t="shared" si="32"/>
        <v>792190.45277404529</v>
      </c>
      <c r="O66" s="60">
        <f t="shared" si="33"/>
        <v>2638850.4259835649</v>
      </c>
      <c r="P66" s="57">
        <v>82488.67</v>
      </c>
      <c r="Q66" s="57">
        <v>83151.67</v>
      </c>
      <c r="R66" s="57">
        <v>95869.55</v>
      </c>
      <c r="S66" s="61">
        <v>328772.98</v>
      </c>
      <c r="T66" s="57">
        <v>0</v>
      </c>
      <c r="U66" s="57">
        <v>0</v>
      </c>
      <c r="V66" s="62">
        <f t="shared" si="27"/>
        <v>590282.87</v>
      </c>
      <c r="W66" s="63">
        <f t="shared" si="34"/>
        <v>2048567.5559835648</v>
      </c>
      <c r="X66" s="64">
        <f t="shared" si="35"/>
        <v>0</v>
      </c>
      <c r="Y66" s="57">
        <f t="shared" si="36"/>
        <v>23733.342974676092</v>
      </c>
      <c r="Z66" s="57">
        <f t="shared" si="37"/>
        <v>35380.654404704968</v>
      </c>
      <c r="AA66" s="57">
        <f t="shared" si="38"/>
        <v>11647.311430028876</v>
      </c>
      <c r="AB66" s="57">
        <f t="shared" si="39"/>
        <v>0</v>
      </c>
      <c r="AC66" s="57">
        <f t="shared" si="40"/>
        <v>0</v>
      </c>
      <c r="AD66" s="57">
        <f t="shared" si="41"/>
        <v>23733.34</v>
      </c>
      <c r="AE66" s="57">
        <f t="shared" si="42"/>
        <v>0</v>
      </c>
      <c r="AF66" s="57">
        <f t="shared" si="43"/>
        <v>0</v>
      </c>
      <c r="AG66" s="57">
        <f t="shared" si="44"/>
        <v>0</v>
      </c>
      <c r="AH66" s="64">
        <f t="shared" si="45"/>
        <v>0</v>
      </c>
      <c r="AI66" s="112">
        <f t="shared" si="46"/>
        <v>0</v>
      </c>
    </row>
    <row r="67" spans="1:35" ht="51" x14ac:dyDescent="0.2">
      <c r="A67" s="37" t="s">
        <v>108</v>
      </c>
      <c r="B67" s="5" t="s">
        <v>312</v>
      </c>
      <c r="C67" s="8" t="s">
        <v>503</v>
      </c>
      <c r="D67" s="6">
        <v>3</v>
      </c>
      <c r="E67" s="6">
        <v>3</v>
      </c>
      <c r="F67" s="6">
        <v>1</v>
      </c>
      <c r="G67" s="6">
        <v>1</v>
      </c>
      <c r="H67" s="6">
        <v>2</v>
      </c>
      <c r="I67" s="6">
        <v>2</v>
      </c>
      <c r="J67" s="6">
        <v>2</v>
      </c>
      <c r="K67" s="58">
        <v>9517954.1210627295</v>
      </c>
      <c r="L67" s="58">
        <v>4622305.51</v>
      </c>
      <c r="M67" s="58">
        <v>1301312.9893564461</v>
      </c>
      <c r="N67" s="58">
        <f t="shared" si="32"/>
        <v>3320992.5206435537</v>
      </c>
      <c r="O67" s="60">
        <f t="shared" si="33"/>
        <v>6196961.6004191758</v>
      </c>
      <c r="P67" s="57">
        <v>712029.8</v>
      </c>
      <c r="Q67" s="57">
        <v>717697.72</v>
      </c>
      <c r="R67" s="57">
        <v>786529.22</v>
      </c>
      <c r="S67" s="61">
        <v>1537270.68</v>
      </c>
      <c r="T67" s="57">
        <v>876027.4</v>
      </c>
      <c r="U67" s="57">
        <v>0</v>
      </c>
      <c r="V67" s="62">
        <f t="shared" si="27"/>
        <v>4629554.82</v>
      </c>
      <c r="W67" s="63">
        <f t="shared" si="34"/>
        <v>1567406.7804191755</v>
      </c>
      <c r="X67" s="64">
        <f t="shared" si="35"/>
        <v>0</v>
      </c>
      <c r="Y67" s="57">
        <f t="shared" si="36"/>
        <v>18158.93383250455</v>
      </c>
      <c r="Z67" s="57">
        <f t="shared" si="37"/>
        <v>27070.563256566118</v>
      </c>
      <c r="AA67" s="57">
        <f t="shared" si="38"/>
        <v>8911.629424061568</v>
      </c>
      <c r="AB67" s="57">
        <f t="shared" si="39"/>
        <v>8911.629424061568</v>
      </c>
      <c r="AC67" s="57">
        <f t="shared" si="40"/>
        <v>0</v>
      </c>
      <c r="AD67" s="57">
        <f t="shared" si="41"/>
        <v>27070.560000000001</v>
      </c>
      <c r="AE67" s="57">
        <f t="shared" si="42"/>
        <v>8911.629424061568</v>
      </c>
      <c r="AF67" s="57">
        <f t="shared" si="43"/>
        <v>0</v>
      </c>
      <c r="AG67" s="57">
        <f t="shared" si="44"/>
        <v>8911.629424061568</v>
      </c>
      <c r="AH67" s="64">
        <f t="shared" si="45"/>
        <v>0</v>
      </c>
      <c r="AI67" s="112">
        <f t="shared" si="46"/>
        <v>8911.6299999999992</v>
      </c>
    </row>
    <row r="68" spans="1:35" ht="25.5" x14ac:dyDescent="0.2">
      <c r="A68" s="37" t="s">
        <v>314</v>
      </c>
      <c r="B68" s="5" t="s">
        <v>409</v>
      </c>
      <c r="C68" s="8" t="s">
        <v>504</v>
      </c>
      <c r="D68" s="6">
        <v>3</v>
      </c>
      <c r="E68" s="6">
        <v>3</v>
      </c>
      <c r="F68" s="6">
        <v>2</v>
      </c>
      <c r="G68" s="6">
        <v>2</v>
      </c>
      <c r="H68" s="6">
        <v>2</v>
      </c>
      <c r="I68" s="6">
        <v>2</v>
      </c>
      <c r="J68" s="6">
        <v>2</v>
      </c>
      <c r="K68" s="58">
        <v>3016774.27103981</v>
      </c>
      <c r="L68" s="58">
        <v>2680113.4</v>
      </c>
      <c r="M68" s="58">
        <v>1322793.3717687451</v>
      </c>
      <c r="N68" s="58">
        <f t="shared" si="32"/>
        <v>1357320.0282312548</v>
      </c>
      <c r="O68" s="60">
        <f t="shared" si="33"/>
        <v>1659454.2428085553</v>
      </c>
      <c r="P68" s="57">
        <v>26317.77</v>
      </c>
      <c r="Q68" s="57">
        <v>26533.54</v>
      </c>
      <c r="R68" s="57">
        <v>35551.22</v>
      </c>
      <c r="S68" s="61">
        <v>152412.29</v>
      </c>
      <c r="T68" s="57">
        <v>0</v>
      </c>
      <c r="U68" s="57">
        <v>0</v>
      </c>
      <c r="V68" s="62">
        <f t="shared" si="27"/>
        <v>240814.82</v>
      </c>
      <c r="W68" s="63">
        <f t="shared" si="34"/>
        <v>1418639.4228085552</v>
      </c>
      <c r="X68" s="64">
        <f t="shared" si="35"/>
        <v>0</v>
      </c>
      <c r="Y68" s="57">
        <f t="shared" si="36"/>
        <v>16435.414043617751</v>
      </c>
      <c r="Z68" s="57">
        <f t="shared" si="37"/>
        <v>24501.213541469519</v>
      </c>
      <c r="AA68" s="57">
        <f t="shared" si="38"/>
        <v>8065.7994978517672</v>
      </c>
      <c r="AB68" s="57">
        <f t="shared" si="39"/>
        <v>0</v>
      </c>
      <c r="AC68" s="57">
        <f t="shared" si="40"/>
        <v>0</v>
      </c>
      <c r="AD68" s="57">
        <f t="shared" si="41"/>
        <v>16435.41</v>
      </c>
      <c r="AE68" s="57">
        <f t="shared" si="42"/>
        <v>0</v>
      </c>
      <c r="AF68" s="57">
        <f t="shared" si="43"/>
        <v>0</v>
      </c>
      <c r="AG68" s="57">
        <f t="shared" si="44"/>
        <v>0</v>
      </c>
      <c r="AH68" s="64">
        <f t="shared" si="45"/>
        <v>0</v>
      </c>
      <c r="AI68" s="112">
        <f t="shared" si="46"/>
        <v>0</v>
      </c>
    </row>
    <row r="69" spans="1:35" ht="38.25" x14ac:dyDescent="0.2">
      <c r="A69" s="37" t="s">
        <v>214</v>
      </c>
      <c r="B69" s="5" t="s">
        <v>396</v>
      </c>
      <c r="C69" s="8" t="s">
        <v>503</v>
      </c>
      <c r="D69" s="6">
        <v>3</v>
      </c>
      <c r="E69" s="6">
        <v>3</v>
      </c>
      <c r="F69" s="6">
        <v>2</v>
      </c>
      <c r="G69" s="6">
        <v>2</v>
      </c>
      <c r="H69" s="6">
        <v>2</v>
      </c>
      <c r="I69" s="6">
        <v>2</v>
      </c>
      <c r="J69" s="6">
        <v>2</v>
      </c>
      <c r="K69" s="58">
        <v>2323245.4926105998</v>
      </c>
      <c r="L69" s="58">
        <v>2679363.52</v>
      </c>
      <c r="M69" s="58">
        <v>1160089.5653550378</v>
      </c>
      <c r="N69" s="58">
        <f t="shared" si="32"/>
        <v>1519273.9546449622</v>
      </c>
      <c r="O69" s="60">
        <f t="shared" si="33"/>
        <v>803971.53796563763</v>
      </c>
      <c r="P69" s="57">
        <v>69416.03</v>
      </c>
      <c r="Q69" s="57">
        <v>69984.740000000005</v>
      </c>
      <c r="R69" s="57">
        <v>87535.84</v>
      </c>
      <c r="S69" s="61">
        <v>665319.05000000005</v>
      </c>
      <c r="T69" s="57">
        <v>0</v>
      </c>
      <c r="U69" s="57">
        <v>0</v>
      </c>
      <c r="V69" s="62">
        <f t="shared" si="27"/>
        <v>892255.66</v>
      </c>
      <c r="W69" s="63">
        <f t="shared" si="34"/>
        <v>0</v>
      </c>
      <c r="X69" s="64">
        <f t="shared" si="35"/>
        <v>0</v>
      </c>
      <c r="Y69" s="57">
        <f t="shared" si="36"/>
        <v>0</v>
      </c>
      <c r="Z69" s="57">
        <f t="shared" si="37"/>
        <v>0</v>
      </c>
      <c r="AA69" s="57">
        <f t="shared" si="38"/>
        <v>0</v>
      </c>
      <c r="AB69" s="57">
        <f t="shared" si="39"/>
        <v>0</v>
      </c>
      <c r="AC69" s="57">
        <f t="shared" si="40"/>
        <v>0</v>
      </c>
      <c r="AD69" s="85">
        <f t="shared" si="41"/>
        <v>0</v>
      </c>
      <c r="AE69" s="57">
        <f t="shared" si="42"/>
        <v>0</v>
      </c>
      <c r="AF69" s="57">
        <f t="shared" si="43"/>
        <v>0</v>
      </c>
      <c r="AG69" s="57">
        <f t="shared" si="44"/>
        <v>0</v>
      </c>
      <c r="AH69" s="64">
        <f t="shared" si="45"/>
        <v>0</v>
      </c>
      <c r="AI69" s="112">
        <f t="shared" si="46"/>
        <v>0</v>
      </c>
    </row>
    <row r="70" spans="1:35" ht="38.25" x14ac:dyDescent="0.2">
      <c r="A70" s="37" t="s">
        <v>97</v>
      </c>
      <c r="B70" s="5" t="s">
        <v>383</v>
      </c>
      <c r="C70" s="8" t="s">
        <v>505</v>
      </c>
      <c r="D70" s="6">
        <v>3</v>
      </c>
      <c r="E70" s="6">
        <v>3</v>
      </c>
      <c r="F70" s="6">
        <v>1</v>
      </c>
      <c r="G70" s="6">
        <v>1</v>
      </c>
      <c r="H70" s="6">
        <v>2</v>
      </c>
      <c r="I70" s="6">
        <v>2</v>
      </c>
      <c r="J70" s="6">
        <v>2</v>
      </c>
      <c r="K70" s="58">
        <v>3552363.04175448</v>
      </c>
      <c r="L70" s="58">
        <v>1950879.06</v>
      </c>
      <c r="M70" s="58">
        <v>1357665.9283026836</v>
      </c>
      <c r="N70" s="58">
        <f t="shared" si="32"/>
        <v>593213.13169731642</v>
      </c>
      <c r="O70" s="60">
        <f t="shared" si="33"/>
        <v>2959149.9100571638</v>
      </c>
      <c r="P70" s="57">
        <v>110214.59</v>
      </c>
      <c r="Q70" s="57">
        <v>111098.77</v>
      </c>
      <c r="R70" s="57">
        <v>130305.37</v>
      </c>
      <c r="S70" s="61">
        <v>638678.53</v>
      </c>
      <c r="T70" s="57">
        <v>396832.3</v>
      </c>
      <c r="U70" s="57">
        <v>0</v>
      </c>
      <c r="V70" s="62">
        <f t="shared" si="27"/>
        <v>1387129.56</v>
      </c>
      <c r="W70" s="63">
        <f t="shared" si="34"/>
        <v>1572020.3500571637</v>
      </c>
      <c r="X70" s="64">
        <f t="shared" si="35"/>
        <v>0</v>
      </c>
      <c r="Y70" s="57">
        <f t="shared" si="36"/>
        <v>18212.383585838827</v>
      </c>
      <c r="Z70" s="57">
        <f t="shared" si="37"/>
        <v>27150.243866784182</v>
      </c>
      <c r="AA70" s="57">
        <f t="shared" si="38"/>
        <v>8937.860280945355</v>
      </c>
      <c r="AB70" s="57">
        <f t="shared" si="39"/>
        <v>8937.860280945355</v>
      </c>
      <c r="AC70" s="57">
        <f t="shared" si="40"/>
        <v>0</v>
      </c>
      <c r="AD70" s="57">
        <f t="shared" si="41"/>
        <v>27150.240000000002</v>
      </c>
      <c r="AE70" s="57">
        <f t="shared" si="42"/>
        <v>8937.860280945355</v>
      </c>
      <c r="AF70" s="57">
        <f t="shared" si="43"/>
        <v>0</v>
      </c>
      <c r="AG70" s="57">
        <f t="shared" si="44"/>
        <v>8937.860280945355</v>
      </c>
      <c r="AH70" s="64">
        <f t="shared" si="45"/>
        <v>0</v>
      </c>
      <c r="AI70" s="112">
        <f t="shared" si="46"/>
        <v>8937.86</v>
      </c>
    </row>
    <row r="71" spans="1:35" ht="51" x14ac:dyDescent="0.2">
      <c r="A71" s="37" t="s">
        <v>133</v>
      </c>
      <c r="B71" s="5" t="s">
        <v>328</v>
      </c>
      <c r="C71" s="8" t="s">
        <v>506</v>
      </c>
      <c r="D71" s="6">
        <v>3</v>
      </c>
      <c r="E71" s="6">
        <v>3</v>
      </c>
      <c r="F71" s="6">
        <v>1</v>
      </c>
      <c r="G71" s="6">
        <v>1</v>
      </c>
      <c r="H71" s="6">
        <v>2</v>
      </c>
      <c r="I71" s="6">
        <v>2</v>
      </c>
      <c r="J71" s="6">
        <v>2</v>
      </c>
      <c r="K71" s="58">
        <v>1998917.07625579</v>
      </c>
      <c r="L71" s="58">
        <v>2228311.56</v>
      </c>
      <c r="M71" s="58">
        <v>1454122.8472121323</v>
      </c>
      <c r="N71" s="58">
        <f t="shared" ref="N71:N102" si="47">IF(L71-M71&gt;0,L71-M71,0)</f>
        <v>774188.71278786776</v>
      </c>
      <c r="O71" s="60">
        <f t="shared" ref="O71:O102" si="48">MAX(K71-N71,0)</f>
        <v>1224728.3634679222</v>
      </c>
      <c r="P71" s="57">
        <v>110201.75</v>
      </c>
      <c r="Q71" s="57">
        <v>111082.51</v>
      </c>
      <c r="R71" s="57">
        <v>126311.57</v>
      </c>
      <c r="S71" s="61">
        <v>174193.49</v>
      </c>
      <c r="T71" s="57">
        <v>230000.88</v>
      </c>
      <c r="U71" s="57">
        <v>0</v>
      </c>
      <c r="V71" s="62">
        <f t="shared" si="27"/>
        <v>751790.2</v>
      </c>
      <c r="W71" s="63">
        <f t="shared" ref="W71:W102" si="49">MAX(O71-V71,0)</f>
        <v>472938.16346792225</v>
      </c>
      <c r="X71" s="64">
        <f t="shared" ref="X71:X102" si="50">IF(D71=1,W71,0)/SUMIF(D:D,1,W:W)</f>
        <v>0</v>
      </c>
      <c r="Y71" s="57">
        <f t="shared" ref="Y71:Y102" si="51">W71/$W$4*$Y$4</f>
        <v>5479.1474201633191</v>
      </c>
      <c r="Z71" s="57">
        <f t="shared" ref="Z71:Z102" si="52">Y71/FedShr_Enhanced</f>
        <v>8168.0790401957656</v>
      </c>
      <c r="AA71" s="57">
        <f t="shared" ref="AA71:AA102" si="53">Z71-Y71</f>
        <v>2688.9316200324465</v>
      </c>
      <c r="AB71" s="57">
        <f t="shared" ref="AB71:AB102" si="54">IF(F71=2,0,AA71)</f>
        <v>2688.9316200324465</v>
      </c>
      <c r="AC71" s="57">
        <f t="shared" ref="AC71:AC102" si="55">$AA$2*X71</f>
        <v>0</v>
      </c>
      <c r="AD71" s="57">
        <f t="shared" ref="AD71:AD102" si="56">ROUND(IF(F71=2,Y71,Y71+AB71+AC71),2)</f>
        <v>8168.08</v>
      </c>
      <c r="AE71" s="57">
        <f t="shared" ref="AE71:AE102" si="57">AB71+AC71</f>
        <v>2688.9316200324465</v>
      </c>
      <c r="AF71" s="57">
        <f t="shared" ref="AF71:AF102" si="58">$AF$4*X71</f>
        <v>0</v>
      </c>
      <c r="AG71" s="57">
        <f t="shared" ref="AG71:AG102" si="59">AE71-AF71</f>
        <v>2688.9316200324465</v>
      </c>
      <c r="AH71" s="64">
        <f t="shared" ref="AH71:AH102" si="60">IF(E71=1,W71,0)/(SUMIF(E:E,1,W:W))</f>
        <v>0</v>
      </c>
      <c r="AI71" s="112">
        <f t="shared" ref="AI71:AI102" si="61">ROUND(AG71+$AG$8*AH71,2)</f>
        <v>2688.93</v>
      </c>
    </row>
    <row r="72" spans="1:35" ht="38.25" x14ac:dyDescent="0.2">
      <c r="A72" s="37" t="s">
        <v>142</v>
      </c>
      <c r="B72" s="5" t="s">
        <v>143</v>
      </c>
      <c r="C72" s="8" t="s">
        <v>507</v>
      </c>
      <c r="D72" s="6">
        <v>3</v>
      </c>
      <c r="E72" s="6">
        <v>3</v>
      </c>
      <c r="F72" s="6">
        <v>1</v>
      </c>
      <c r="G72" s="6">
        <v>2</v>
      </c>
      <c r="H72" s="6">
        <v>2</v>
      </c>
      <c r="I72" s="6">
        <v>2</v>
      </c>
      <c r="J72" s="6">
        <v>2</v>
      </c>
      <c r="K72" s="58">
        <v>4219051.1955716601</v>
      </c>
      <c r="L72" s="58">
        <v>2919285.61</v>
      </c>
      <c r="M72" s="58">
        <v>1549546.1609290764</v>
      </c>
      <c r="N72" s="58">
        <f t="shared" si="47"/>
        <v>1369739.4490709235</v>
      </c>
      <c r="O72" s="60">
        <f t="shared" si="48"/>
        <v>2849311.7465007366</v>
      </c>
      <c r="P72" s="57">
        <v>97225.81</v>
      </c>
      <c r="Q72" s="57">
        <v>98016.19</v>
      </c>
      <c r="R72" s="57">
        <v>124874.38</v>
      </c>
      <c r="S72" s="61">
        <v>830763.35</v>
      </c>
      <c r="T72" s="57">
        <v>474807.8</v>
      </c>
      <c r="U72" s="57">
        <v>0</v>
      </c>
      <c r="V72" s="62">
        <f t="shared" ref="V72:V135" si="62">SUM(P72:T72)-U72</f>
        <v>1625687.53</v>
      </c>
      <c r="W72" s="63">
        <f t="shared" si="49"/>
        <v>1223624.2165007365</v>
      </c>
      <c r="X72" s="64">
        <f t="shared" si="50"/>
        <v>0</v>
      </c>
      <c r="Y72" s="57">
        <f t="shared" si="51"/>
        <v>14176.097399135166</v>
      </c>
      <c r="Z72" s="57">
        <f t="shared" si="52"/>
        <v>21133.120750052425</v>
      </c>
      <c r="AA72" s="57">
        <f t="shared" si="53"/>
        <v>6957.0233509172594</v>
      </c>
      <c r="AB72" s="57">
        <f t="shared" si="54"/>
        <v>6957.0233509172594</v>
      </c>
      <c r="AC72" s="57">
        <f t="shared" si="55"/>
        <v>0</v>
      </c>
      <c r="AD72" s="57">
        <f t="shared" si="56"/>
        <v>21133.119999999999</v>
      </c>
      <c r="AE72" s="57">
        <f t="shared" si="57"/>
        <v>6957.0233509172594</v>
      </c>
      <c r="AF72" s="57">
        <f t="shared" si="58"/>
        <v>0</v>
      </c>
      <c r="AG72" s="57">
        <f t="shared" si="59"/>
        <v>6957.0233509172594</v>
      </c>
      <c r="AH72" s="64">
        <f t="shared" si="60"/>
        <v>0</v>
      </c>
      <c r="AI72" s="112">
        <f t="shared" si="61"/>
        <v>6957.02</v>
      </c>
    </row>
    <row r="73" spans="1:35" ht="38.25" x14ac:dyDescent="0.2">
      <c r="A73" s="37" t="s">
        <v>183</v>
      </c>
      <c r="B73" s="5" t="s">
        <v>392</v>
      </c>
      <c r="C73" s="8" t="s">
        <v>508</v>
      </c>
      <c r="D73" s="6">
        <v>3</v>
      </c>
      <c r="E73" s="6">
        <v>3</v>
      </c>
      <c r="F73" s="6">
        <v>2</v>
      </c>
      <c r="G73" s="6">
        <v>2</v>
      </c>
      <c r="H73" s="6">
        <v>2</v>
      </c>
      <c r="I73" s="6">
        <v>2</v>
      </c>
      <c r="J73" s="6">
        <v>2</v>
      </c>
      <c r="K73" s="58">
        <v>1293414.46443321</v>
      </c>
      <c r="L73" s="58">
        <v>1837897.74</v>
      </c>
      <c r="M73" s="58">
        <v>1418840.8632563781</v>
      </c>
      <c r="N73" s="58">
        <f t="shared" si="47"/>
        <v>419056.87674362189</v>
      </c>
      <c r="O73" s="60">
        <f t="shared" si="48"/>
        <v>874357.58768958808</v>
      </c>
      <c r="P73" s="57">
        <v>201852.11</v>
      </c>
      <c r="Q73" s="57">
        <v>203469.54</v>
      </c>
      <c r="R73" s="57">
        <v>226564.71</v>
      </c>
      <c r="S73" s="61">
        <v>636127.76</v>
      </c>
      <c r="T73" s="57">
        <v>0</v>
      </c>
      <c r="U73" s="57">
        <v>0</v>
      </c>
      <c r="V73" s="62">
        <f t="shared" si="62"/>
        <v>1268014.1200000001</v>
      </c>
      <c r="W73" s="63">
        <f t="shared" si="49"/>
        <v>0</v>
      </c>
      <c r="X73" s="64">
        <f t="shared" si="50"/>
        <v>0</v>
      </c>
      <c r="Y73" s="57">
        <f t="shared" si="51"/>
        <v>0</v>
      </c>
      <c r="Z73" s="57">
        <f t="shared" si="52"/>
        <v>0</v>
      </c>
      <c r="AA73" s="57">
        <f t="shared" si="53"/>
        <v>0</v>
      </c>
      <c r="AB73" s="57">
        <f t="shared" si="54"/>
        <v>0</v>
      </c>
      <c r="AC73" s="57">
        <f t="shared" si="55"/>
        <v>0</v>
      </c>
      <c r="AD73" s="85">
        <f t="shared" si="56"/>
        <v>0</v>
      </c>
      <c r="AE73" s="57">
        <f t="shared" si="57"/>
        <v>0</v>
      </c>
      <c r="AF73" s="57">
        <f t="shared" si="58"/>
        <v>0</v>
      </c>
      <c r="AG73" s="57">
        <f t="shared" si="59"/>
        <v>0</v>
      </c>
      <c r="AH73" s="64">
        <f t="shared" si="60"/>
        <v>0</v>
      </c>
      <c r="AI73" s="112">
        <f t="shared" si="61"/>
        <v>0</v>
      </c>
    </row>
    <row r="74" spans="1:35" ht="38.25" x14ac:dyDescent="0.2">
      <c r="A74" s="37" t="s">
        <v>243</v>
      </c>
      <c r="B74" s="22" t="s">
        <v>335</v>
      </c>
      <c r="C74" s="5" t="s">
        <v>304</v>
      </c>
      <c r="D74" s="88">
        <v>3</v>
      </c>
      <c r="E74" s="88">
        <v>3</v>
      </c>
      <c r="F74" s="6">
        <v>2</v>
      </c>
      <c r="G74" s="6">
        <v>2</v>
      </c>
      <c r="H74" s="5" t="s">
        <v>545</v>
      </c>
      <c r="I74" s="5" t="s">
        <v>545</v>
      </c>
      <c r="J74" s="5" t="s">
        <v>545</v>
      </c>
      <c r="K74" s="58">
        <v>0</v>
      </c>
      <c r="L74" s="58">
        <v>5439588.3399999999</v>
      </c>
      <c r="M74" s="58">
        <v>5918100.3541847728</v>
      </c>
      <c r="N74" s="58">
        <f t="shared" si="47"/>
        <v>0</v>
      </c>
      <c r="O74" s="60">
        <f t="shared" si="48"/>
        <v>0</v>
      </c>
      <c r="P74" s="57">
        <v>2018655.49</v>
      </c>
      <c r="Q74" s="57">
        <v>2034760.62</v>
      </c>
      <c r="R74" s="57">
        <v>0</v>
      </c>
      <c r="S74" s="61">
        <v>0</v>
      </c>
      <c r="T74" s="57">
        <v>0</v>
      </c>
      <c r="U74" s="57">
        <v>4053416.11</v>
      </c>
      <c r="V74" s="62">
        <f t="shared" si="62"/>
        <v>0</v>
      </c>
      <c r="W74" s="63">
        <f t="shared" si="49"/>
        <v>0</v>
      </c>
      <c r="X74" s="64">
        <f t="shared" si="50"/>
        <v>0</v>
      </c>
      <c r="Y74" s="57">
        <f t="shared" si="51"/>
        <v>0</v>
      </c>
      <c r="Z74" s="57">
        <f t="shared" si="52"/>
        <v>0</v>
      </c>
      <c r="AA74" s="57">
        <f t="shared" si="53"/>
        <v>0</v>
      </c>
      <c r="AB74" s="57">
        <f t="shared" si="54"/>
        <v>0</v>
      </c>
      <c r="AC74" s="57">
        <f t="shared" si="55"/>
        <v>0</v>
      </c>
      <c r="AD74" s="57">
        <f t="shared" si="56"/>
        <v>0</v>
      </c>
      <c r="AE74" s="57">
        <f t="shared" si="57"/>
        <v>0</v>
      </c>
      <c r="AF74" s="57">
        <f t="shared" si="58"/>
        <v>0</v>
      </c>
      <c r="AG74" s="57">
        <f t="shared" si="59"/>
        <v>0</v>
      </c>
      <c r="AH74" s="64">
        <f t="shared" si="60"/>
        <v>0</v>
      </c>
      <c r="AI74" s="112">
        <f t="shared" si="61"/>
        <v>0</v>
      </c>
    </row>
    <row r="75" spans="1:35" ht="51" x14ac:dyDescent="0.2">
      <c r="A75" s="37" t="s">
        <v>104</v>
      </c>
      <c r="B75" s="5" t="s">
        <v>419</v>
      </c>
      <c r="C75" s="8" t="s">
        <v>484</v>
      </c>
      <c r="D75" s="6">
        <v>3</v>
      </c>
      <c r="E75" s="6">
        <v>3</v>
      </c>
      <c r="F75" s="6">
        <v>1</v>
      </c>
      <c r="G75" s="6">
        <v>1</v>
      </c>
      <c r="H75" s="6">
        <v>2</v>
      </c>
      <c r="I75" s="6">
        <v>2</v>
      </c>
      <c r="J75" s="6">
        <v>2</v>
      </c>
      <c r="K75" s="58">
        <v>2896202.9844234101</v>
      </c>
      <c r="L75" s="58">
        <v>2308912.2800000003</v>
      </c>
      <c r="M75" s="58">
        <v>1704017.9146673884</v>
      </c>
      <c r="N75" s="58">
        <f t="shared" si="47"/>
        <v>604894.36533261184</v>
      </c>
      <c r="O75" s="60">
        <f t="shared" si="48"/>
        <v>2291308.6190907983</v>
      </c>
      <c r="P75" s="57">
        <v>95032.18</v>
      </c>
      <c r="Q75" s="57">
        <v>95793.4</v>
      </c>
      <c r="R75" s="57">
        <v>110348.28</v>
      </c>
      <c r="S75" s="61">
        <v>474631.11</v>
      </c>
      <c r="T75" s="57">
        <v>328760.43</v>
      </c>
      <c r="U75" s="57">
        <v>0</v>
      </c>
      <c r="V75" s="62">
        <f t="shared" si="62"/>
        <v>1104565.3999999999</v>
      </c>
      <c r="W75" s="63">
        <f t="shared" si="49"/>
        <v>1186743.2190907984</v>
      </c>
      <c r="X75" s="64">
        <f t="shared" si="50"/>
        <v>0</v>
      </c>
      <c r="Y75" s="57">
        <f t="shared" si="51"/>
        <v>13748.818660769153</v>
      </c>
      <c r="Z75" s="57">
        <f t="shared" si="52"/>
        <v>20496.151849685681</v>
      </c>
      <c r="AA75" s="57">
        <f t="shared" si="53"/>
        <v>6747.3331889165274</v>
      </c>
      <c r="AB75" s="57">
        <f t="shared" si="54"/>
        <v>6747.3331889165274</v>
      </c>
      <c r="AC75" s="57">
        <f t="shared" si="55"/>
        <v>0</v>
      </c>
      <c r="AD75" s="57">
        <f t="shared" si="56"/>
        <v>20496.150000000001</v>
      </c>
      <c r="AE75" s="57">
        <f t="shared" si="57"/>
        <v>6747.3331889165274</v>
      </c>
      <c r="AF75" s="57">
        <f t="shared" si="58"/>
        <v>0</v>
      </c>
      <c r="AG75" s="57">
        <f t="shared" si="59"/>
        <v>6747.3331889165274</v>
      </c>
      <c r="AH75" s="64">
        <f t="shared" si="60"/>
        <v>0</v>
      </c>
      <c r="AI75" s="112">
        <f t="shared" si="61"/>
        <v>6747.33</v>
      </c>
    </row>
    <row r="76" spans="1:35" ht="38.25" x14ac:dyDescent="0.2">
      <c r="A76" s="37" t="s">
        <v>122</v>
      </c>
      <c r="B76" s="5" t="s">
        <v>123</v>
      </c>
      <c r="C76" s="8" t="s">
        <v>509</v>
      </c>
      <c r="D76" s="6">
        <v>3</v>
      </c>
      <c r="E76" s="6">
        <v>3</v>
      </c>
      <c r="F76" s="6">
        <v>1</v>
      </c>
      <c r="G76" s="6">
        <v>1</v>
      </c>
      <c r="H76" s="6">
        <v>2</v>
      </c>
      <c r="I76" s="6">
        <v>2</v>
      </c>
      <c r="J76" s="6">
        <v>2</v>
      </c>
      <c r="K76" s="58">
        <v>2851115.4458305002</v>
      </c>
      <c r="L76" s="58">
        <v>2037682.6600000001</v>
      </c>
      <c r="M76" s="58">
        <v>1723672.367945102</v>
      </c>
      <c r="N76" s="58">
        <f t="shared" si="47"/>
        <v>314010.29205489811</v>
      </c>
      <c r="O76" s="60">
        <f t="shared" si="48"/>
        <v>2537105.1537756021</v>
      </c>
      <c r="P76" s="57">
        <v>61722.1</v>
      </c>
      <c r="Q76" s="57">
        <v>62220.1</v>
      </c>
      <c r="R76" s="57">
        <v>75447.899999999994</v>
      </c>
      <c r="S76" s="61">
        <v>329775.23</v>
      </c>
      <c r="T76" s="57">
        <v>361197.1</v>
      </c>
      <c r="U76" s="57">
        <v>0</v>
      </c>
      <c r="V76" s="62">
        <f t="shared" si="62"/>
        <v>890362.42999999993</v>
      </c>
      <c r="W76" s="63">
        <f t="shared" si="49"/>
        <v>1646742.7237756022</v>
      </c>
      <c r="X76" s="64">
        <f t="shared" si="50"/>
        <v>0</v>
      </c>
      <c r="Y76" s="57">
        <f t="shared" si="51"/>
        <v>19078.067374572933</v>
      </c>
      <c r="Z76" s="57">
        <f t="shared" si="52"/>
        <v>28440.768298409264</v>
      </c>
      <c r="AA76" s="57">
        <f t="shared" si="53"/>
        <v>9362.7009238363316</v>
      </c>
      <c r="AB76" s="57">
        <f t="shared" si="54"/>
        <v>9362.7009238363316</v>
      </c>
      <c r="AC76" s="57">
        <f t="shared" si="55"/>
        <v>0</v>
      </c>
      <c r="AD76" s="57">
        <f t="shared" si="56"/>
        <v>28440.77</v>
      </c>
      <c r="AE76" s="57">
        <f t="shared" si="57"/>
        <v>9362.7009238363316</v>
      </c>
      <c r="AF76" s="57">
        <f t="shared" si="58"/>
        <v>0</v>
      </c>
      <c r="AG76" s="57">
        <f t="shared" si="59"/>
        <v>9362.7009238363316</v>
      </c>
      <c r="AH76" s="64">
        <f t="shared" si="60"/>
        <v>0</v>
      </c>
      <c r="AI76" s="112">
        <f t="shared" si="61"/>
        <v>9362.7000000000007</v>
      </c>
    </row>
    <row r="77" spans="1:35" ht="63.75" x14ac:dyDescent="0.2">
      <c r="A77" s="37" t="s">
        <v>106</v>
      </c>
      <c r="B77" s="5" t="s">
        <v>420</v>
      </c>
      <c r="C77" s="8" t="s">
        <v>510</v>
      </c>
      <c r="D77" s="6">
        <v>3</v>
      </c>
      <c r="E77" s="6">
        <v>3</v>
      </c>
      <c r="F77" s="6">
        <v>1</v>
      </c>
      <c r="G77" s="6">
        <v>1</v>
      </c>
      <c r="H77" s="6">
        <v>2</v>
      </c>
      <c r="I77" s="6">
        <v>2</v>
      </c>
      <c r="J77" s="6">
        <v>2</v>
      </c>
      <c r="K77" s="58">
        <v>1759821.4952175</v>
      </c>
      <c r="L77" s="58">
        <v>1737050.06</v>
      </c>
      <c r="M77" s="58">
        <v>1740710</v>
      </c>
      <c r="N77" s="58">
        <f t="shared" si="47"/>
        <v>0</v>
      </c>
      <c r="O77" s="60">
        <f t="shared" si="48"/>
        <v>1759821.4952175</v>
      </c>
      <c r="P77" s="57">
        <v>43902.17</v>
      </c>
      <c r="Q77" s="57">
        <v>44255.25</v>
      </c>
      <c r="R77" s="57">
        <v>52272.26</v>
      </c>
      <c r="S77" s="61">
        <v>227050.1</v>
      </c>
      <c r="T77" s="57">
        <v>216406.35</v>
      </c>
      <c r="U77" s="57">
        <v>0</v>
      </c>
      <c r="V77" s="62">
        <f t="shared" si="62"/>
        <v>583886.13</v>
      </c>
      <c r="W77" s="63">
        <f t="shared" si="49"/>
        <v>1175935.3652174999</v>
      </c>
      <c r="X77" s="64">
        <f t="shared" si="50"/>
        <v>0</v>
      </c>
      <c r="Y77" s="57">
        <f t="shared" si="51"/>
        <v>13623.606044740964</v>
      </c>
      <c r="Z77" s="57">
        <f t="shared" si="52"/>
        <v>20309.490227699709</v>
      </c>
      <c r="AA77" s="57">
        <f t="shared" si="53"/>
        <v>6685.8841829587454</v>
      </c>
      <c r="AB77" s="57">
        <f t="shared" si="54"/>
        <v>6685.8841829587454</v>
      </c>
      <c r="AC77" s="57">
        <f t="shared" si="55"/>
        <v>0</v>
      </c>
      <c r="AD77" s="57">
        <f t="shared" si="56"/>
        <v>20309.490000000002</v>
      </c>
      <c r="AE77" s="57">
        <f t="shared" si="57"/>
        <v>6685.8841829587454</v>
      </c>
      <c r="AF77" s="57">
        <f t="shared" si="58"/>
        <v>0</v>
      </c>
      <c r="AG77" s="57">
        <f t="shared" si="59"/>
        <v>6685.8841829587454</v>
      </c>
      <c r="AH77" s="64">
        <f t="shared" si="60"/>
        <v>0</v>
      </c>
      <c r="AI77" s="112">
        <f t="shared" si="61"/>
        <v>6685.88</v>
      </c>
    </row>
    <row r="78" spans="1:35" ht="38.25" x14ac:dyDescent="0.2">
      <c r="A78" s="37" t="s">
        <v>283</v>
      </c>
      <c r="B78" s="5" t="s">
        <v>284</v>
      </c>
      <c r="C78" s="8" t="s">
        <v>319</v>
      </c>
      <c r="D78" s="6">
        <v>3</v>
      </c>
      <c r="E78" s="6">
        <v>3</v>
      </c>
      <c r="F78" s="6">
        <v>2</v>
      </c>
      <c r="G78" s="6">
        <v>2</v>
      </c>
      <c r="H78" s="6">
        <v>1</v>
      </c>
      <c r="I78" s="6">
        <v>1</v>
      </c>
      <c r="J78" s="6">
        <v>2</v>
      </c>
      <c r="K78" s="58">
        <v>2542172.2936303201</v>
      </c>
      <c r="L78" s="58">
        <v>784350.95000000007</v>
      </c>
      <c r="M78" s="58">
        <v>1392616.1561485636</v>
      </c>
      <c r="N78" s="58">
        <f t="shared" si="47"/>
        <v>0</v>
      </c>
      <c r="O78" s="60">
        <f t="shared" si="48"/>
        <v>2542172.2936303201</v>
      </c>
      <c r="P78" s="57">
        <v>0</v>
      </c>
      <c r="Q78" s="57">
        <v>0</v>
      </c>
      <c r="R78" s="57">
        <v>0</v>
      </c>
      <c r="S78" s="61">
        <v>2444561.85</v>
      </c>
      <c r="T78" s="57">
        <v>0</v>
      </c>
      <c r="U78" s="57">
        <v>0</v>
      </c>
      <c r="V78" s="62">
        <f t="shared" si="62"/>
        <v>2444561.85</v>
      </c>
      <c r="W78" s="63">
        <f t="shared" si="49"/>
        <v>97610.44363032002</v>
      </c>
      <c r="X78" s="64">
        <f t="shared" si="50"/>
        <v>0</v>
      </c>
      <c r="Y78" s="57">
        <f t="shared" si="51"/>
        <v>1130.8497636908091</v>
      </c>
      <c r="Z78" s="57">
        <f t="shared" si="52"/>
        <v>1685.822545752548</v>
      </c>
      <c r="AA78" s="57">
        <f t="shared" si="53"/>
        <v>554.97278206173883</v>
      </c>
      <c r="AB78" s="57">
        <f t="shared" si="54"/>
        <v>0</v>
      </c>
      <c r="AC78" s="57">
        <f t="shared" si="55"/>
        <v>0</v>
      </c>
      <c r="AD78" s="57">
        <f t="shared" si="56"/>
        <v>1130.8499999999999</v>
      </c>
      <c r="AE78" s="57">
        <f t="shared" si="57"/>
        <v>0</v>
      </c>
      <c r="AF78" s="57">
        <f t="shared" si="58"/>
        <v>0</v>
      </c>
      <c r="AG78" s="57">
        <f t="shared" si="59"/>
        <v>0</v>
      </c>
      <c r="AH78" s="64">
        <f t="shared" si="60"/>
        <v>0</v>
      </c>
      <c r="AI78" s="112">
        <f t="shared" si="61"/>
        <v>0</v>
      </c>
    </row>
    <row r="79" spans="1:35" ht="25.5" x14ac:dyDescent="0.2">
      <c r="A79" s="37" t="s">
        <v>285</v>
      </c>
      <c r="B79" s="5" t="s">
        <v>286</v>
      </c>
      <c r="C79" s="8" t="s">
        <v>511</v>
      </c>
      <c r="D79" s="6">
        <v>3</v>
      </c>
      <c r="E79" s="6">
        <v>3</v>
      </c>
      <c r="F79" s="6">
        <v>2</v>
      </c>
      <c r="G79" s="6">
        <v>2</v>
      </c>
      <c r="H79" s="6">
        <v>2</v>
      </c>
      <c r="I79" s="6">
        <v>2</v>
      </c>
      <c r="J79" s="6">
        <v>2</v>
      </c>
      <c r="K79" s="58">
        <v>2764444.3522568299</v>
      </c>
      <c r="L79" s="58">
        <v>3034364.4699999997</v>
      </c>
      <c r="M79" s="58">
        <v>1657256.962286039</v>
      </c>
      <c r="N79" s="58">
        <f t="shared" si="47"/>
        <v>1377107.5077139607</v>
      </c>
      <c r="O79" s="60">
        <f t="shared" si="48"/>
        <v>1387336.8445428691</v>
      </c>
      <c r="P79" s="57">
        <v>69857.73</v>
      </c>
      <c r="Q79" s="57">
        <v>70418.5</v>
      </c>
      <c r="R79" s="57">
        <v>80305.5</v>
      </c>
      <c r="S79" s="61">
        <v>377460.2</v>
      </c>
      <c r="T79" s="57">
        <v>0</v>
      </c>
      <c r="U79" s="57">
        <v>0</v>
      </c>
      <c r="V79" s="62">
        <f t="shared" si="62"/>
        <v>598041.92999999993</v>
      </c>
      <c r="W79" s="63">
        <f t="shared" si="49"/>
        <v>789294.9145428692</v>
      </c>
      <c r="X79" s="64">
        <f t="shared" si="50"/>
        <v>0</v>
      </c>
      <c r="Y79" s="57">
        <f t="shared" si="51"/>
        <v>9144.2466030951146</v>
      </c>
      <c r="Z79" s="57">
        <f t="shared" si="52"/>
        <v>13631.8524196409</v>
      </c>
      <c r="AA79" s="57">
        <f t="shared" si="53"/>
        <v>4487.6058165457853</v>
      </c>
      <c r="AB79" s="57">
        <f t="shared" si="54"/>
        <v>0</v>
      </c>
      <c r="AC79" s="57">
        <f t="shared" si="55"/>
        <v>0</v>
      </c>
      <c r="AD79" s="57">
        <f t="shared" si="56"/>
        <v>9144.25</v>
      </c>
      <c r="AE79" s="57">
        <f t="shared" si="57"/>
        <v>0</v>
      </c>
      <c r="AF79" s="57">
        <f t="shared" si="58"/>
        <v>0</v>
      </c>
      <c r="AG79" s="57">
        <f t="shared" si="59"/>
        <v>0</v>
      </c>
      <c r="AH79" s="64">
        <f t="shared" si="60"/>
        <v>0</v>
      </c>
      <c r="AI79" s="112">
        <f t="shared" si="61"/>
        <v>0</v>
      </c>
    </row>
    <row r="80" spans="1:35" ht="38.25" x14ac:dyDescent="0.2">
      <c r="A80" s="37" t="s">
        <v>85</v>
      </c>
      <c r="B80" s="5" t="s">
        <v>405</v>
      </c>
      <c r="C80" s="8" t="s">
        <v>512</v>
      </c>
      <c r="D80" s="6">
        <v>3</v>
      </c>
      <c r="E80" s="6">
        <v>3</v>
      </c>
      <c r="F80" s="6">
        <v>1</v>
      </c>
      <c r="G80" s="6">
        <v>1</v>
      </c>
      <c r="H80" s="6">
        <v>2</v>
      </c>
      <c r="I80" s="6">
        <v>2</v>
      </c>
      <c r="J80" s="6">
        <v>2</v>
      </c>
      <c r="K80" s="58">
        <v>1071147.6337254101</v>
      </c>
      <c r="L80" s="58">
        <v>1895451.69</v>
      </c>
      <c r="M80" s="58">
        <v>1874103.5896240617</v>
      </c>
      <c r="N80" s="58">
        <f t="shared" si="47"/>
        <v>21348.100375938229</v>
      </c>
      <c r="O80" s="60">
        <f t="shared" si="48"/>
        <v>1049799.5333494719</v>
      </c>
      <c r="P80" s="57">
        <v>135681.73000000001</v>
      </c>
      <c r="Q80" s="57">
        <v>136762.54</v>
      </c>
      <c r="R80" s="57">
        <v>152187.01</v>
      </c>
      <c r="S80" s="61">
        <v>621692.41</v>
      </c>
      <c r="T80" s="57">
        <v>0</v>
      </c>
      <c r="U80" s="57">
        <v>0</v>
      </c>
      <c r="V80" s="62">
        <f t="shared" si="62"/>
        <v>1046323.6900000001</v>
      </c>
      <c r="W80" s="63">
        <f t="shared" si="49"/>
        <v>3475.8433494718047</v>
      </c>
      <c r="X80" s="64">
        <f t="shared" si="50"/>
        <v>0</v>
      </c>
      <c r="Y80" s="57">
        <f t="shared" si="51"/>
        <v>40.268812272414564</v>
      </c>
      <c r="Z80" s="57">
        <f t="shared" si="52"/>
        <v>60.03102604712965</v>
      </c>
      <c r="AA80" s="57">
        <f t="shared" si="53"/>
        <v>19.762213774715086</v>
      </c>
      <c r="AB80" s="57">
        <f t="shared" si="54"/>
        <v>19.762213774715086</v>
      </c>
      <c r="AC80" s="57">
        <f t="shared" si="55"/>
        <v>0</v>
      </c>
      <c r="AD80" s="57">
        <f t="shared" si="56"/>
        <v>60.03</v>
      </c>
      <c r="AE80" s="57">
        <f t="shared" si="57"/>
        <v>19.762213774715086</v>
      </c>
      <c r="AF80" s="57">
        <f t="shared" si="58"/>
        <v>0</v>
      </c>
      <c r="AG80" s="57">
        <f t="shared" si="59"/>
        <v>19.762213774715086</v>
      </c>
      <c r="AH80" s="64">
        <f t="shared" si="60"/>
        <v>0</v>
      </c>
      <c r="AI80" s="112">
        <f t="shared" si="61"/>
        <v>19.760000000000002</v>
      </c>
    </row>
    <row r="81" spans="1:35" ht="63.75" x14ac:dyDescent="0.2">
      <c r="A81" s="37" t="s">
        <v>84</v>
      </c>
      <c r="B81" s="5" t="s">
        <v>404</v>
      </c>
      <c r="C81" s="8" t="s">
        <v>513</v>
      </c>
      <c r="D81" s="6">
        <v>3</v>
      </c>
      <c r="E81" s="6">
        <v>3</v>
      </c>
      <c r="F81" s="6">
        <v>1</v>
      </c>
      <c r="G81" s="6">
        <v>1</v>
      </c>
      <c r="H81" s="6">
        <v>2</v>
      </c>
      <c r="I81" s="6">
        <v>2</v>
      </c>
      <c r="J81" s="6">
        <v>2</v>
      </c>
      <c r="K81" s="58">
        <v>3240491.0710537801</v>
      </c>
      <c r="L81" s="58">
        <v>1914937.5799999998</v>
      </c>
      <c r="M81" s="58">
        <v>1919123.7588490911</v>
      </c>
      <c r="N81" s="58">
        <f t="shared" si="47"/>
        <v>0</v>
      </c>
      <c r="O81" s="60">
        <f t="shared" si="48"/>
        <v>3240491.0710537801</v>
      </c>
      <c r="P81" s="57">
        <v>139376.24</v>
      </c>
      <c r="Q81" s="57">
        <v>140490.23000000001</v>
      </c>
      <c r="R81" s="57">
        <v>160716.51</v>
      </c>
      <c r="S81" s="61">
        <v>710482.98</v>
      </c>
      <c r="T81" s="57">
        <v>322441.57</v>
      </c>
      <c r="U81" s="57">
        <v>0</v>
      </c>
      <c r="V81" s="62">
        <f t="shared" si="62"/>
        <v>1473507.53</v>
      </c>
      <c r="W81" s="63">
        <f t="shared" si="49"/>
        <v>1766983.5410537801</v>
      </c>
      <c r="X81" s="64">
        <f t="shared" si="50"/>
        <v>0</v>
      </c>
      <c r="Y81" s="57">
        <f t="shared" si="51"/>
        <v>20471.097615476181</v>
      </c>
      <c r="Z81" s="57">
        <f t="shared" si="52"/>
        <v>30517.438305718817</v>
      </c>
      <c r="AA81" s="57">
        <f t="shared" si="53"/>
        <v>10046.340690242636</v>
      </c>
      <c r="AB81" s="57">
        <f t="shared" si="54"/>
        <v>10046.340690242636</v>
      </c>
      <c r="AC81" s="57">
        <f t="shared" si="55"/>
        <v>0</v>
      </c>
      <c r="AD81" s="57">
        <f t="shared" si="56"/>
        <v>30517.439999999999</v>
      </c>
      <c r="AE81" s="57">
        <f t="shared" si="57"/>
        <v>10046.340690242636</v>
      </c>
      <c r="AF81" s="57">
        <f t="shared" si="58"/>
        <v>0</v>
      </c>
      <c r="AG81" s="57">
        <f t="shared" si="59"/>
        <v>10046.340690242636</v>
      </c>
      <c r="AH81" s="64">
        <f t="shared" si="60"/>
        <v>0</v>
      </c>
      <c r="AI81" s="112">
        <f t="shared" si="61"/>
        <v>10046.34</v>
      </c>
    </row>
    <row r="82" spans="1:35" ht="38.25" x14ac:dyDescent="0.2">
      <c r="A82" s="37" t="s">
        <v>212</v>
      </c>
      <c r="B82" s="5" t="s">
        <v>372</v>
      </c>
      <c r="C82" s="8" t="s">
        <v>308</v>
      </c>
      <c r="D82" s="6">
        <v>3</v>
      </c>
      <c r="E82" s="6">
        <v>3</v>
      </c>
      <c r="F82" s="6">
        <v>2</v>
      </c>
      <c r="G82" s="6">
        <v>2</v>
      </c>
      <c r="H82" s="6">
        <v>1</v>
      </c>
      <c r="I82" s="6">
        <v>1</v>
      </c>
      <c r="J82" s="6">
        <v>2</v>
      </c>
      <c r="K82" s="58">
        <v>2165389.6759784999</v>
      </c>
      <c r="L82" s="58">
        <v>912559.21</v>
      </c>
      <c r="M82" s="58">
        <v>1710232.1828212866</v>
      </c>
      <c r="N82" s="58">
        <f t="shared" si="47"/>
        <v>0</v>
      </c>
      <c r="O82" s="60">
        <f t="shared" si="48"/>
        <v>2165389.6759784999</v>
      </c>
      <c r="P82" s="57">
        <v>579219.62</v>
      </c>
      <c r="Q82" s="57">
        <v>583823.30000000005</v>
      </c>
      <c r="R82" s="57">
        <v>632910.31000000006</v>
      </c>
      <c r="S82" s="61">
        <v>355251.4</v>
      </c>
      <c r="T82" s="57">
        <v>0</v>
      </c>
      <c r="U82" s="57">
        <v>0</v>
      </c>
      <c r="V82" s="62">
        <f t="shared" si="62"/>
        <v>2151204.63</v>
      </c>
      <c r="W82" s="63">
        <f t="shared" si="49"/>
        <v>14185.045978500042</v>
      </c>
      <c r="X82" s="64">
        <f t="shared" si="50"/>
        <v>0</v>
      </c>
      <c r="Y82" s="57">
        <f t="shared" si="51"/>
        <v>164.33852051203348</v>
      </c>
      <c r="Z82" s="57">
        <f t="shared" si="52"/>
        <v>244.98884989867844</v>
      </c>
      <c r="AA82" s="57">
        <f t="shared" si="53"/>
        <v>80.650329386644955</v>
      </c>
      <c r="AB82" s="57">
        <f t="shared" si="54"/>
        <v>0</v>
      </c>
      <c r="AC82" s="57">
        <f t="shared" si="55"/>
        <v>0</v>
      </c>
      <c r="AD82" s="57">
        <f t="shared" si="56"/>
        <v>164.34</v>
      </c>
      <c r="AE82" s="57">
        <f t="shared" si="57"/>
        <v>0</v>
      </c>
      <c r="AF82" s="57">
        <f t="shared" si="58"/>
        <v>0</v>
      </c>
      <c r="AG82" s="57">
        <f t="shared" si="59"/>
        <v>0</v>
      </c>
      <c r="AH82" s="64">
        <f t="shared" si="60"/>
        <v>0</v>
      </c>
      <c r="AI82" s="112">
        <f t="shared" si="61"/>
        <v>0</v>
      </c>
    </row>
    <row r="83" spans="1:35" ht="25.5" x14ac:dyDescent="0.2">
      <c r="A83" s="37" t="s">
        <v>287</v>
      </c>
      <c r="B83" s="5" t="s">
        <v>288</v>
      </c>
      <c r="C83" s="8" t="s">
        <v>60</v>
      </c>
      <c r="D83" s="6">
        <v>3</v>
      </c>
      <c r="E83" s="6">
        <v>3</v>
      </c>
      <c r="F83" s="6">
        <v>2</v>
      </c>
      <c r="G83" s="6">
        <v>2</v>
      </c>
      <c r="H83" s="6">
        <v>2</v>
      </c>
      <c r="I83" s="6">
        <v>2</v>
      </c>
      <c r="J83" s="6">
        <v>2</v>
      </c>
      <c r="K83" s="58">
        <v>4416213.5065280097</v>
      </c>
      <c r="L83" s="58">
        <v>3342912.9299999997</v>
      </c>
      <c r="M83" s="58">
        <v>1859303.054927056</v>
      </c>
      <c r="N83" s="58">
        <f t="shared" si="47"/>
        <v>1483609.8750729437</v>
      </c>
      <c r="O83" s="60">
        <f t="shared" si="48"/>
        <v>2932603.6314550657</v>
      </c>
      <c r="P83" s="57">
        <v>87234.77</v>
      </c>
      <c r="Q83" s="57">
        <v>87936.79</v>
      </c>
      <c r="R83" s="57">
        <v>104103.92</v>
      </c>
      <c r="S83" s="61">
        <v>387729.96</v>
      </c>
      <c r="T83" s="57">
        <v>0</v>
      </c>
      <c r="U83" s="57">
        <v>0</v>
      </c>
      <c r="V83" s="62">
        <f t="shared" si="62"/>
        <v>667005.43999999994</v>
      </c>
      <c r="W83" s="63">
        <f t="shared" si="49"/>
        <v>2265598.1914550657</v>
      </c>
      <c r="X83" s="64">
        <f t="shared" si="50"/>
        <v>0</v>
      </c>
      <c r="Y83" s="57">
        <f t="shared" si="51"/>
        <v>26247.715758044709</v>
      </c>
      <c r="Z83" s="57">
        <f t="shared" si="52"/>
        <v>39128.973998277746</v>
      </c>
      <c r="AA83" s="57">
        <f t="shared" si="53"/>
        <v>12881.258240233037</v>
      </c>
      <c r="AB83" s="57">
        <f t="shared" si="54"/>
        <v>0</v>
      </c>
      <c r="AC83" s="57">
        <f t="shared" si="55"/>
        <v>0</v>
      </c>
      <c r="AD83" s="57">
        <f t="shared" si="56"/>
        <v>26247.72</v>
      </c>
      <c r="AE83" s="57">
        <f t="shared" si="57"/>
        <v>0</v>
      </c>
      <c r="AF83" s="57">
        <f t="shared" si="58"/>
        <v>0</v>
      </c>
      <c r="AG83" s="57">
        <f t="shared" si="59"/>
        <v>0</v>
      </c>
      <c r="AH83" s="64">
        <f t="shared" si="60"/>
        <v>0</v>
      </c>
      <c r="AI83" s="112">
        <f t="shared" si="61"/>
        <v>0</v>
      </c>
    </row>
    <row r="84" spans="1:35" ht="38.25" x14ac:dyDescent="0.2">
      <c r="A84" s="37" t="s">
        <v>289</v>
      </c>
      <c r="B84" s="5" t="s">
        <v>290</v>
      </c>
      <c r="C84" s="8" t="s">
        <v>49</v>
      </c>
      <c r="D84" s="6">
        <v>3</v>
      </c>
      <c r="E84" s="6">
        <v>3</v>
      </c>
      <c r="F84" s="6">
        <v>2</v>
      </c>
      <c r="G84" s="6">
        <v>2</v>
      </c>
      <c r="H84" s="6">
        <v>3</v>
      </c>
      <c r="I84" s="6">
        <v>2</v>
      </c>
      <c r="J84" s="6">
        <v>2</v>
      </c>
      <c r="K84" s="58">
        <v>11223497.768195</v>
      </c>
      <c r="L84" s="58">
        <v>3336584.76</v>
      </c>
      <c r="M84" s="58">
        <v>1790755.1197693413</v>
      </c>
      <c r="N84" s="58">
        <f t="shared" si="47"/>
        <v>1545829.6402306585</v>
      </c>
      <c r="O84" s="60">
        <f t="shared" si="48"/>
        <v>9677668.1279643402</v>
      </c>
      <c r="P84" s="57">
        <v>0</v>
      </c>
      <c r="Q84" s="57">
        <v>0</v>
      </c>
      <c r="R84" s="57">
        <v>0</v>
      </c>
      <c r="S84" s="61">
        <v>1608886.48</v>
      </c>
      <c r="T84" s="57">
        <v>0</v>
      </c>
      <c r="U84" s="57">
        <v>0</v>
      </c>
      <c r="V84" s="62">
        <f t="shared" si="62"/>
        <v>1608886.48</v>
      </c>
      <c r="W84" s="63">
        <f t="shared" si="49"/>
        <v>8068781.6479643397</v>
      </c>
      <c r="X84" s="64">
        <f t="shared" si="50"/>
        <v>0</v>
      </c>
      <c r="Y84" s="57">
        <f t="shared" si="51"/>
        <v>93479.544611340214</v>
      </c>
      <c r="Z84" s="57">
        <f t="shared" si="52"/>
        <v>139355.31397039388</v>
      </c>
      <c r="AA84" s="57">
        <f t="shared" si="53"/>
        <v>45875.769359053666</v>
      </c>
      <c r="AB84" s="57">
        <f t="shared" si="54"/>
        <v>0</v>
      </c>
      <c r="AC84" s="57">
        <f t="shared" si="55"/>
        <v>0</v>
      </c>
      <c r="AD84" s="57">
        <f t="shared" si="56"/>
        <v>93479.54</v>
      </c>
      <c r="AE84" s="57">
        <f t="shared" si="57"/>
        <v>0</v>
      </c>
      <c r="AF84" s="57">
        <f t="shared" si="58"/>
        <v>0</v>
      </c>
      <c r="AG84" s="57">
        <f t="shared" si="59"/>
        <v>0</v>
      </c>
      <c r="AH84" s="64">
        <f t="shared" si="60"/>
        <v>0</v>
      </c>
      <c r="AI84" s="112">
        <f t="shared" si="61"/>
        <v>0</v>
      </c>
    </row>
    <row r="85" spans="1:35" x14ac:dyDescent="0.2">
      <c r="A85" s="37" t="s">
        <v>259</v>
      </c>
      <c r="B85" s="5" t="s">
        <v>379</v>
      </c>
      <c r="C85" s="8" t="s">
        <v>514</v>
      </c>
      <c r="D85" s="6">
        <v>3</v>
      </c>
      <c r="E85" s="6">
        <v>3</v>
      </c>
      <c r="F85" s="6">
        <v>2</v>
      </c>
      <c r="G85" s="6">
        <v>2</v>
      </c>
      <c r="H85" s="6">
        <v>2</v>
      </c>
      <c r="I85" s="6">
        <v>2</v>
      </c>
      <c r="J85" s="6">
        <v>2</v>
      </c>
      <c r="K85" s="58">
        <v>3024290.4202197902</v>
      </c>
      <c r="L85" s="58">
        <v>3538930.11</v>
      </c>
      <c r="M85" s="58">
        <v>1837484.3276192471</v>
      </c>
      <c r="N85" s="58">
        <f t="shared" si="47"/>
        <v>1701445.7823807527</v>
      </c>
      <c r="O85" s="60">
        <f t="shared" si="48"/>
        <v>1322844.6378390375</v>
      </c>
      <c r="P85" s="57">
        <v>36841.43</v>
      </c>
      <c r="Q85" s="57">
        <v>37144.93</v>
      </c>
      <c r="R85" s="57">
        <v>52860.18</v>
      </c>
      <c r="S85" s="61">
        <v>160574.47</v>
      </c>
      <c r="T85" s="57">
        <v>0</v>
      </c>
      <c r="U85" s="57">
        <v>0</v>
      </c>
      <c r="V85" s="62">
        <f t="shared" si="62"/>
        <v>287421.01</v>
      </c>
      <c r="W85" s="63">
        <f t="shared" si="49"/>
        <v>1035423.6278390375</v>
      </c>
      <c r="X85" s="64">
        <f t="shared" si="50"/>
        <v>0</v>
      </c>
      <c r="Y85" s="57">
        <f t="shared" si="51"/>
        <v>11995.730388197364</v>
      </c>
      <c r="Z85" s="57">
        <f t="shared" si="52"/>
        <v>17882.72270154646</v>
      </c>
      <c r="AA85" s="57">
        <f t="shared" si="53"/>
        <v>5886.9923133490956</v>
      </c>
      <c r="AB85" s="57">
        <f t="shared" si="54"/>
        <v>0</v>
      </c>
      <c r="AC85" s="57">
        <f t="shared" si="55"/>
        <v>0</v>
      </c>
      <c r="AD85" s="57">
        <f t="shared" si="56"/>
        <v>11995.73</v>
      </c>
      <c r="AE85" s="57">
        <f t="shared" si="57"/>
        <v>0</v>
      </c>
      <c r="AF85" s="57">
        <f t="shared" si="58"/>
        <v>0</v>
      </c>
      <c r="AG85" s="57">
        <f t="shared" si="59"/>
        <v>0</v>
      </c>
      <c r="AH85" s="64">
        <f t="shared" si="60"/>
        <v>0</v>
      </c>
      <c r="AI85" s="112">
        <f t="shared" si="61"/>
        <v>0</v>
      </c>
    </row>
    <row r="86" spans="1:35" ht="51" x14ac:dyDescent="0.2">
      <c r="A86" s="37" t="s">
        <v>163</v>
      </c>
      <c r="B86" s="5" t="s">
        <v>164</v>
      </c>
      <c r="C86" s="8" t="s">
        <v>515</v>
      </c>
      <c r="D86" s="6">
        <v>3</v>
      </c>
      <c r="E86" s="6">
        <v>3</v>
      </c>
      <c r="F86" s="6">
        <v>2</v>
      </c>
      <c r="G86" s="6">
        <v>2</v>
      </c>
      <c r="H86" s="6">
        <v>2</v>
      </c>
      <c r="I86" s="6">
        <v>2</v>
      </c>
      <c r="J86" s="6">
        <v>2</v>
      </c>
      <c r="K86" s="58">
        <v>5117633.33830419</v>
      </c>
      <c r="L86" s="58">
        <v>4010213.59</v>
      </c>
      <c r="M86" s="58">
        <v>1783647.2971923673</v>
      </c>
      <c r="N86" s="58">
        <f t="shared" si="47"/>
        <v>2226566.2928076326</v>
      </c>
      <c r="O86" s="60">
        <f t="shared" si="48"/>
        <v>2891067.0454965574</v>
      </c>
      <c r="P86" s="57">
        <v>155503.29</v>
      </c>
      <c r="Q86" s="57">
        <v>156753.94</v>
      </c>
      <c r="R86" s="57">
        <v>179384.06</v>
      </c>
      <c r="S86" s="61">
        <v>594098.37</v>
      </c>
      <c r="T86" s="57">
        <v>0</v>
      </c>
      <c r="U86" s="57">
        <v>0</v>
      </c>
      <c r="V86" s="62">
        <f t="shared" si="62"/>
        <v>1085739.6599999999</v>
      </c>
      <c r="W86" s="63">
        <f t="shared" si="49"/>
        <v>1805327.3854965575</v>
      </c>
      <c r="X86" s="64">
        <f t="shared" si="50"/>
        <v>0</v>
      </c>
      <c r="Y86" s="57">
        <f t="shared" si="51"/>
        <v>20915.323927891412</v>
      </c>
      <c r="Z86" s="57">
        <f t="shared" si="52"/>
        <v>31179.67192589656</v>
      </c>
      <c r="AA86" s="57">
        <f t="shared" si="53"/>
        <v>10264.347998005149</v>
      </c>
      <c r="AB86" s="57">
        <f t="shared" si="54"/>
        <v>0</v>
      </c>
      <c r="AC86" s="57">
        <f t="shared" si="55"/>
        <v>0</v>
      </c>
      <c r="AD86" s="57">
        <f t="shared" si="56"/>
        <v>20915.32</v>
      </c>
      <c r="AE86" s="57">
        <f t="shared" si="57"/>
        <v>0</v>
      </c>
      <c r="AF86" s="57">
        <f t="shared" si="58"/>
        <v>0</v>
      </c>
      <c r="AG86" s="57">
        <f t="shared" si="59"/>
        <v>0</v>
      </c>
      <c r="AH86" s="64">
        <f t="shared" si="60"/>
        <v>0</v>
      </c>
      <c r="AI86" s="112">
        <f t="shared" si="61"/>
        <v>0</v>
      </c>
    </row>
    <row r="87" spans="1:35" ht="51" x14ac:dyDescent="0.2">
      <c r="A87" s="37" t="s">
        <v>197</v>
      </c>
      <c r="B87" s="5" t="s">
        <v>198</v>
      </c>
      <c r="C87" s="8" t="s">
        <v>462</v>
      </c>
      <c r="D87" s="6">
        <v>3</v>
      </c>
      <c r="E87" s="6">
        <v>3</v>
      </c>
      <c r="F87" s="6">
        <v>2</v>
      </c>
      <c r="G87" s="6">
        <v>2</v>
      </c>
      <c r="H87" s="6">
        <v>1</v>
      </c>
      <c r="I87" s="6">
        <v>2</v>
      </c>
      <c r="J87" s="6">
        <v>2</v>
      </c>
      <c r="K87" s="58">
        <v>10550469.9646008</v>
      </c>
      <c r="L87" s="58">
        <v>2347073.31</v>
      </c>
      <c r="M87" s="58">
        <v>1916476.4132880347</v>
      </c>
      <c r="N87" s="58">
        <f t="shared" si="47"/>
        <v>430596.89671196532</v>
      </c>
      <c r="O87" s="60">
        <f t="shared" si="48"/>
        <v>10119873.067888834</v>
      </c>
      <c r="P87" s="57">
        <v>143985.88</v>
      </c>
      <c r="Q87" s="57">
        <v>145148.54</v>
      </c>
      <c r="R87" s="57">
        <v>171266.61</v>
      </c>
      <c r="S87" s="61">
        <v>755585.86</v>
      </c>
      <c r="T87" s="57">
        <v>0</v>
      </c>
      <c r="U87" s="57">
        <v>0</v>
      </c>
      <c r="V87" s="62">
        <f t="shared" si="62"/>
        <v>1215986.8900000001</v>
      </c>
      <c r="W87" s="63">
        <f t="shared" si="49"/>
        <v>8903886.177888833</v>
      </c>
      <c r="X87" s="64">
        <f t="shared" si="50"/>
        <v>0</v>
      </c>
      <c r="Y87" s="57">
        <f t="shared" si="51"/>
        <v>103154.51098992651</v>
      </c>
      <c r="Z87" s="57">
        <f t="shared" si="52"/>
        <v>153778.34077210273</v>
      </c>
      <c r="AA87" s="57">
        <f t="shared" si="53"/>
        <v>50623.829782176224</v>
      </c>
      <c r="AB87" s="57">
        <f t="shared" si="54"/>
        <v>0</v>
      </c>
      <c r="AC87" s="57">
        <f t="shared" si="55"/>
        <v>0</v>
      </c>
      <c r="AD87" s="57">
        <f t="shared" si="56"/>
        <v>103154.51</v>
      </c>
      <c r="AE87" s="57">
        <f t="shared" si="57"/>
        <v>0</v>
      </c>
      <c r="AF87" s="57">
        <f t="shared" si="58"/>
        <v>0</v>
      </c>
      <c r="AG87" s="57">
        <f t="shared" si="59"/>
        <v>0</v>
      </c>
      <c r="AH87" s="64">
        <f t="shared" si="60"/>
        <v>0</v>
      </c>
      <c r="AI87" s="112">
        <f t="shared" si="61"/>
        <v>0</v>
      </c>
    </row>
    <row r="88" spans="1:35" ht="25.5" x14ac:dyDescent="0.2">
      <c r="A88" s="37" t="s">
        <v>262</v>
      </c>
      <c r="B88" s="5" t="s">
        <v>400</v>
      </c>
      <c r="C88" s="8" t="s">
        <v>516</v>
      </c>
      <c r="D88" s="6">
        <v>3</v>
      </c>
      <c r="E88" s="6">
        <v>3</v>
      </c>
      <c r="F88" s="6">
        <v>2</v>
      </c>
      <c r="G88" s="6">
        <v>2</v>
      </c>
      <c r="H88" s="6">
        <v>1</v>
      </c>
      <c r="I88" s="6">
        <v>2</v>
      </c>
      <c r="J88" s="6">
        <v>2</v>
      </c>
      <c r="K88" s="58">
        <v>11061367.589444</v>
      </c>
      <c r="L88" s="58">
        <v>1409825.84</v>
      </c>
      <c r="M88" s="58">
        <v>2491809.3371518818</v>
      </c>
      <c r="N88" s="58">
        <f t="shared" si="47"/>
        <v>0</v>
      </c>
      <c r="O88" s="60">
        <f t="shared" si="48"/>
        <v>11061367.589444</v>
      </c>
      <c r="P88" s="57">
        <v>131930.51</v>
      </c>
      <c r="Q88" s="57">
        <v>132995.35999999999</v>
      </c>
      <c r="R88" s="57">
        <v>156388.15</v>
      </c>
      <c r="S88" s="61">
        <v>629276.86</v>
      </c>
      <c r="T88" s="57">
        <v>0</v>
      </c>
      <c r="U88" s="57">
        <v>0</v>
      </c>
      <c r="V88" s="62">
        <f t="shared" si="62"/>
        <v>1050590.8799999999</v>
      </c>
      <c r="W88" s="63">
        <f t="shared" si="49"/>
        <v>10010776.709444001</v>
      </c>
      <c r="X88" s="64">
        <f t="shared" si="50"/>
        <v>0</v>
      </c>
      <c r="Y88" s="57">
        <f t="shared" si="51"/>
        <v>115978.20945380625</v>
      </c>
      <c r="Z88" s="57">
        <f t="shared" si="52"/>
        <v>172895.36293054005</v>
      </c>
      <c r="AA88" s="57">
        <f t="shared" si="53"/>
        <v>56917.153476733802</v>
      </c>
      <c r="AB88" s="57">
        <f t="shared" si="54"/>
        <v>0</v>
      </c>
      <c r="AC88" s="57">
        <f t="shared" si="55"/>
        <v>0</v>
      </c>
      <c r="AD88" s="57">
        <f t="shared" si="56"/>
        <v>115978.21</v>
      </c>
      <c r="AE88" s="57">
        <f t="shared" si="57"/>
        <v>0</v>
      </c>
      <c r="AF88" s="57">
        <f t="shared" si="58"/>
        <v>0</v>
      </c>
      <c r="AG88" s="57">
        <f t="shared" si="59"/>
        <v>0</v>
      </c>
      <c r="AH88" s="64">
        <f t="shared" si="60"/>
        <v>0</v>
      </c>
      <c r="AI88" s="112">
        <f t="shared" si="61"/>
        <v>0</v>
      </c>
    </row>
    <row r="89" spans="1:35" ht="51" x14ac:dyDescent="0.2">
      <c r="A89" s="37" t="s">
        <v>168</v>
      </c>
      <c r="B89" s="5" t="s">
        <v>331</v>
      </c>
      <c r="C89" s="8" t="s">
        <v>517</v>
      </c>
      <c r="D89" s="6">
        <v>3</v>
      </c>
      <c r="E89" s="6">
        <v>3</v>
      </c>
      <c r="F89" s="6">
        <v>2</v>
      </c>
      <c r="G89" s="6">
        <v>2</v>
      </c>
      <c r="H89" s="6">
        <v>1</v>
      </c>
      <c r="I89" s="6">
        <v>2</v>
      </c>
      <c r="J89" s="6">
        <v>2</v>
      </c>
      <c r="K89" s="58">
        <v>20821179.563365899</v>
      </c>
      <c r="L89" s="58">
        <v>3626873.14</v>
      </c>
      <c r="M89" s="58">
        <v>2560295.5290634735</v>
      </c>
      <c r="N89" s="58">
        <f t="shared" si="47"/>
        <v>1066577.6109365267</v>
      </c>
      <c r="O89" s="60">
        <f t="shared" si="48"/>
        <v>19754601.952429373</v>
      </c>
      <c r="P89" s="57">
        <v>241790.94</v>
      </c>
      <c r="Q89" s="57">
        <v>243734.54</v>
      </c>
      <c r="R89" s="57">
        <v>284590.09000000003</v>
      </c>
      <c r="S89" s="61">
        <v>1163259.93</v>
      </c>
      <c r="T89" s="57">
        <v>0</v>
      </c>
      <c r="U89" s="57">
        <v>0</v>
      </c>
      <c r="V89" s="62">
        <f t="shared" si="62"/>
        <v>1933375.5</v>
      </c>
      <c r="W89" s="63">
        <f t="shared" si="49"/>
        <v>17821226.452429373</v>
      </c>
      <c r="X89" s="64">
        <f t="shared" si="50"/>
        <v>0</v>
      </c>
      <c r="Y89" s="57">
        <f t="shared" si="51"/>
        <v>206464.89220698646</v>
      </c>
      <c r="Z89" s="57">
        <f t="shared" si="52"/>
        <v>307789.04622389161</v>
      </c>
      <c r="AA89" s="57">
        <f t="shared" si="53"/>
        <v>101324.15401690514</v>
      </c>
      <c r="AB89" s="57">
        <f t="shared" si="54"/>
        <v>0</v>
      </c>
      <c r="AC89" s="57">
        <f t="shared" si="55"/>
        <v>0</v>
      </c>
      <c r="AD89" s="57">
        <f t="shared" si="56"/>
        <v>206464.89</v>
      </c>
      <c r="AE89" s="57">
        <f t="shared" si="57"/>
        <v>0</v>
      </c>
      <c r="AF89" s="57">
        <f t="shared" si="58"/>
        <v>0</v>
      </c>
      <c r="AG89" s="57">
        <f t="shared" si="59"/>
        <v>0</v>
      </c>
      <c r="AH89" s="64">
        <f t="shared" si="60"/>
        <v>0</v>
      </c>
      <c r="AI89" s="112">
        <f t="shared" si="61"/>
        <v>0</v>
      </c>
    </row>
    <row r="90" spans="1:35" ht="76.5" x14ac:dyDescent="0.2">
      <c r="A90" s="37" t="s">
        <v>276</v>
      </c>
      <c r="B90" s="22" t="s">
        <v>277</v>
      </c>
      <c r="C90" s="5" t="s">
        <v>555</v>
      </c>
      <c r="D90" s="88">
        <v>3</v>
      </c>
      <c r="E90" s="88">
        <v>3</v>
      </c>
      <c r="F90" s="6">
        <v>2</v>
      </c>
      <c r="G90" s="6">
        <v>2</v>
      </c>
      <c r="H90" s="5" t="s">
        <v>545</v>
      </c>
      <c r="I90" s="5" t="s">
        <v>545</v>
      </c>
      <c r="J90" s="5" t="s">
        <v>545</v>
      </c>
      <c r="K90" s="58">
        <v>0</v>
      </c>
      <c r="L90" s="58">
        <v>3906646.44</v>
      </c>
      <c r="M90" s="58">
        <v>2182983.866296323</v>
      </c>
      <c r="N90" s="58">
        <f t="shared" si="47"/>
        <v>1723662.5737036769</v>
      </c>
      <c r="O90" s="60">
        <f t="shared" si="48"/>
        <v>0</v>
      </c>
      <c r="P90" s="57">
        <v>72927.839999999997</v>
      </c>
      <c r="Q90" s="57">
        <v>73515.11</v>
      </c>
      <c r="R90" s="57">
        <v>86914.43</v>
      </c>
      <c r="S90" s="61">
        <v>0</v>
      </c>
      <c r="T90" s="57">
        <v>0</v>
      </c>
      <c r="U90" s="57">
        <v>233357.38</v>
      </c>
      <c r="V90" s="62">
        <f t="shared" si="62"/>
        <v>0</v>
      </c>
      <c r="W90" s="63">
        <f t="shared" si="49"/>
        <v>0</v>
      </c>
      <c r="X90" s="64">
        <f t="shared" si="50"/>
        <v>0</v>
      </c>
      <c r="Y90" s="57">
        <f t="shared" si="51"/>
        <v>0</v>
      </c>
      <c r="Z90" s="57">
        <f t="shared" si="52"/>
        <v>0</v>
      </c>
      <c r="AA90" s="57">
        <f t="shared" si="53"/>
        <v>0</v>
      </c>
      <c r="AB90" s="57">
        <f t="shared" si="54"/>
        <v>0</v>
      </c>
      <c r="AC90" s="57">
        <f t="shared" si="55"/>
        <v>0</v>
      </c>
      <c r="AD90" s="57">
        <f t="shared" si="56"/>
        <v>0</v>
      </c>
      <c r="AE90" s="57">
        <f t="shared" si="57"/>
        <v>0</v>
      </c>
      <c r="AF90" s="57">
        <f t="shared" si="58"/>
        <v>0</v>
      </c>
      <c r="AG90" s="57">
        <f t="shared" si="59"/>
        <v>0</v>
      </c>
      <c r="AH90" s="64">
        <f t="shared" si="60"/>
        <v>0</v>
      </c>
      <c r="AI90" s="112">
        <f t="shared" si="61"/>
        <v>0</v>
      </c>
    </row>
    <row r="91" spans="1:35" ht="38.25" x14ac:dyDescent="0.2">
      <c r="A91" s="37" t="s">
        <v>234</v>
      </c>
      <c r="B91" s="5" t="s">
        <v>235</v>
      </c>
      <c r="C91" s="8" t="s">
        <v>462</v>
      </c>
      <c r="D91" s="6">
        <v>3</v>
      </c>
      <c r="E91" s="6">
        <v>3</v>
      </c>
      <c r="F91" s="6">
        <v>2</v>
      </c>
      <c r="G91" s="6">
        <v>2</v>
      </c>
      <c r="H91" s="6">
        <v>1</v>
      </c>
      <c r="I91" s="6">
        <v>2</v>
      </c>
      <c r="J91" s="6">
        <v>2</v>
      </c>
      <c r="K91" s="58">
        <v>35684663.807324603</v>
      </c>
      <c r="L91" s="58">
        <v>6164030.8599999994</v>
      </c>
      <c r="M91" s="58">
        <v>2003766.4760390725</v>
      </c>
      <c r="N91" s="58">
        <f t="shared" si="47"/>
        <v>4160264.3839609269</v>
      </c>
      <c r="O91" s="60">
        <f t="shared" si="48"/>
        <v>31524399.423363678</v>
      </c>
      <c r="P91" s="57">
        <v>358363.2</v>
      </c>
      <c r="Q91" s="57">
        <v>361268.9</v>
      </c>
      <c r="R91" s="57">
        <v>431041.4</v>
      </c>
      <c r="S91" s="61">
        <v>3194480.83</v>
      </c>
      <c r="T91" s="57">
        <v>0</v>
      </c>
      <c r="U91" s="57">
        <v>0</v>
      </c>
      <c r="V91" s="62">
        <f t="shared" si="62"/>
        <v>4345154.33</v>
      </c>
      <c r="W91" s="63">
        <f t="shared" si="49"/>
        <v>27179245.09336368</v>
      </c>
      <c r="X91" s="64">
        <f t="shared" si="50"/>
        <v>0</v>
      </c>
      <c r="Y91" s="57">
        <f t="shared" si="51"/>
        <v>314880.68026337412</v>
      </c>
      <c r="Z91" s="57">
        <f t="shared" si="52"/>
        <v>469410.67421492864</v>
      </c>
      <c r="AA91" s="57">
        <f t="shared" si="53"/>
        <v>154529.99395155453</v>
      </c>
      <c r="AB91" s="57">
        <f t="shared" si="54"/>
        <v>0</v>
      </c>
      <c r="AC91" s="57">
        <f t="shared" si="55"/>
        <v>0</v>
      </c>
      <c r="AD91" s="57">
        <f t="shared" si="56"/>
        <v>314880.68</v>
      </c>
      <c r="AE91" s="57">
        <f t="shared" si="57"/>
        <v>0</v>
      </c>
      <c r="AF91" s="57">
        <f t="shared" si="58"/>
        <v>0</v>
      </c>
      <c r="AG91" s="57">
        <f t="shared" si="59"/>
        <v>0</v>
      </c>
      <c r="AH91" s="64">
        <f t="shared" si="60"/>
        <v>0</v>
      </c>
      <c r="AI91" s="112">
        <f t="shared" si="61"/>
        <v>0</v>
      </c>
    </row>
    <row r="92" spans="1:35" ht="25.5" x14ac:dyDescent="0.2">
      <c r="A92" s="37" t="s">
        <v>176</v>
      </c>
      <c r="B92" s="5" t="s">
        <v>177</v>
      </c>
      <c r="C92" s="8" t="s">
        <v>519</v>
      </c>
      <c r="D92" s="6">
        <v>3</v>
      </c>
      <c r="E92" s="6">
        <v>3</v>
      </c>
      <c r="F92" s="6">
        <v>2</v>
      </c>
      <c r="G92" s="6">
        <v>2</v>
      </c>
      <c r="H92" s="6">
        <v>1</v>
      </c>
      <c r="I92" s="6">
        <v>2</v>
      </c>
      <c r="J92" s="6">
        <v>2</v>
      </c>
      <c r="K92" s="58">
        <v>12454285.3977948</v>
      </c>
      <c r="L92" s="58">
        <v>3311116.34</v>
      </c>
      <c r="M92" s="58">
        <v>2185300.8455456048</v>
      </c>
      <c r="N92" s="58">
        <f t="shared" si="47"/>
        <v>1125815.494454395</v>
      </c>
      <c r="O92" s="60">
        <f t="shared" si="48"/>
        <v>11328469.903340405</v>
      </c>
      <c r="P92" s="57">
        <v>267089.05</v>
      </c>
      <c r="Q92" s="57">
        <v>269251.5</v>
      </c>
      <c r="R92" s="57">
        <v>323877.15999999997</v>
      </c>
      <c r="S92" s="61">
        <v>1949138.82</v>
      </c>
      <c r="T92" s="57">
        <v>0</v>
      </c>
      <c r="U92" s="57">
        <v>0</v>
      </c>
      <c r="V92" s="62">
        <f t="shared" si="62"/>
        <v>2809356.5300000003</v>
      </c>
      <c r="W92" s="63">
        <f t="shared" si="49"/>
        <v>8519113.3733404055</v>
      </c>
      <c r="X92" s="64">
        <f t="shared" si="50"/>
        <v>0</v>
      </c>
      <c r="Y92" s="57">
        <f t="shared" si="51"/>
        <v>98696.788855744133</v>
      </c>
      <c r="Z92" s="57">
        <f t="shared" si="52"/>
        <v>147132.95893819939</v>
      </c>
      <c r="AA92" s="57">
        <f t="shared" si="53"/>
        <v>48436.170082455254</v>
      </c>
      <c r="AB92" s="57">
        <f t="shared" si="54"/>
        <v>0</v>
      </c>
      <c r="AC92" s="57">
        <f t="shared" si="55"/>
        <v>0</v>
      </c>
      <c r="AD92" s="57">
        <f t="shared" si="56"/>
        <v>98696.79</v>
      </c>
      <c r="AE92" s="57">
        <f t="shared" si="57"/>
        <v>0</v>
      </c>
      <c r="AF92" s="57">
        <f t="shared" si="58"/>
        <v>0</v>
      </c>
      <c r="AG92" s="57">
        <f t="shared" si="59"/>
        <v>0</v>
      </c>
      <c r="AH92" s="64">
        <f t="shared" si="60"/>
        <v>0</v>
      </c>
      <c r="AI92" s="112">
        <f t="shared" si="61"/>
        <v>0</v>
      </c>
    </row>
    <row r="93" spans="1:35" ht="51" x14ac:dyDescent="0.2">
      <c r="A93" s="37" t="s">
        <v>116</v>
      </c>
      <c r="B93" s="5" t="s">
        <v>425</v>
      </c>
      <c r="C93" s="8" t="s">
        <v>520</v>
      </c>
      <c r="D93" s="6">
        <v>3</v>
      </c>
      <c r="E93" s="6">
        <v>3</v>
      </c>
      <c r="F93" s="6">
        <v>1</v>
      </c>
      <c r="G93" s="6">
        <v>1</v>
      </c>
      <c r="H93" s="6">
        <v>2</v>
      </c>
      <c r="I93" s="6">
        <v>2</v>
      </c>
      <c r="J93" s="6">
        <v>2</v>
      </c>
      <c r="K93" s="58">
        <v>2939799.5730185099</v>
      </c>
      <c r="L93" s="58">
        <v>4321200.47</v>
      </c>
      <c r="M93" s="58">
        <v>3147285.6665199352</v>
      </c>
      <c r="N93" s="58">
        <f t="shared" si="47"/>
        <v>1173914.8034800645</v>
      </c>
      <c r="O93" s="60">
        <f t="shared" si="48"/>
        <v>1765884.7695384454</v>
      </c>
      <c r="P93" s="57">
        <v>142657.09</v>
      </c>
      <c r="Q93" s="57">
        <v>143798.85</v>
      </c>
      <c r="R93" s="57">
        <v>166319.20000000001</v>
      </c>
      <c r="S93" s="61">
        <v>978287.14</v>
      </c>
      <c r="T93" s="57">
        <v>229923.03</v>
      </c>
      <c r="U93" s="57">
        <v>0</v>
      </c>
      <c r="V93" s="62">
        <f t="shared" si="62"/>
        <v>1660985.31</v>
      </c>
      <c r="W93" s="63">
        <f t="shared" si="49"/>
        <v>104899.45953844534</v>
      </c>
      <c r="X93" s="64">
        <f t="shared" si="50"/>
        <v>0</v>
      </c>
      <c r="Y93" s="57">
        <f t="shared" si="51"/>
        <v>1215.2954603875678</v>
      </c>
      <c r="Z93" s="57">
        <f t="shared" si="52"/>
        <v>1811.7105849546331</v>
      </c>
      <c r="AA93" s="57">
        <f t="shared" si="53"/>
        <v>596.41512456706528</v>
      </c>
      <c r="AB93" s="57">
        <f t="shared" si="54"/>
        <v>596.41512456706528</v>
      </c>
      <c r="AC93" s="57">
        <f t="shared" si="55"/>
        <v>0</v>
      </c>
      <c r="AD93" s="57">
        <f t="shared" si="56"/>
        <v>1811.71</v>
      </c>
      <c r="AE93" s="57">
        <f t="shared" si="57"/>
        <v>596.41512456706528</v>
      </c>
      <c r="AF93" s="57">
        <f t="shared" si="58"/>
        <v>0</v>
      </c>
      <c r="AG93" s="57">
        <f t="shared" si="59"/>
        <v>596.41512456706528</v>
      </c>
      <c r="AH93" s="64">
        <f t="shared" si="60"/>
        <v>0</v>
      </c>
      <c r="AI93" s="112">
        <f t="shared" si="61"/>
        <v>596.41999999999996</v>
      </c>
    </row>
    <row r="94" spans="1:35" ht="51" x14ac:dyDescent="0.2">
      <c r="A94" s="37" t="s">
        <v>107</v>
      </c>
      <c r="B94" s="5" t="s">
        <v>351</v>
      </c>
      <c r="C94" s="8" t="s">
        <v>521</v>
      </c>
      <c r="D94" s="6">
        <v>3</v>
      </c>
      <c r="E94" s="6">
        <v>3</v>
      </c>
      <c r="F94" s="6">
        <v>1</v>
      </c>
      <c r="G94" s="6">
        <v>1</v>
      </c>
      <c r="H94" s="6">
        <v>2</v>
      </c>
      <c r="I94" s="6">
        <v>2</v>
      </c>
      <c r="J94" s="6">
        <v>2</v>
      </c>
      <c r="K94" s="58">
        <v>5500684.90733534</v>
      </c>
      <c r="L94" s="58">
        <v>3924003.96</v>
      </c>
      <c r="M94" s="58">
        <v>3329312.5188668403</v>
      </c>
      <c r="N94" s="58">
        <f t="shared" si="47"/>
        <v>594691.44113315968</v>
      </c>
      <c r="O94" s="60">
        <f t="shared" si="48"/>
        <v>4905993.4662021808</v>
      </c>
      <c r="P94" s="57">
        <v>441985.92</v>
      </c>
      <c r="Q94" s="57">
        <v>445506.65</v>
      </c>
      <c r="R94" s="57">
        <v>490176.36</v>
      </c>
      <c r="S94" s="61">
        <v>2079343.89</v>
      </c>
      <c r="T94" s="57">
        <v>306732.57</v>
      </c>
      <c r="U94" s="57">
        <v>0</v>
      </c>
      <c r="V94" s="62">
        <f t="shared" si="62"/>
        <v>3763745.39</v>
      </c>
      <c r="W94" s="63">
        <f t="shared" si="49"/>
        <v>1142248.0762021807</v>
      </c>
      <c r="X94" s="64">
        <f t="shared" si="50"/>
        <v>0</v>
      </c>
      <c r="Y94" s="57">
        <f t="shared" si="51"/>
        <v>13233.327490464171</v>
      </c>
      <c r="Z94" s="57">
        <f t="shared" si="52"/>
        <v>19727.679622039614</v>
      </c>
      <c r="AA94" s="57">
        <f t="shared" si="53"/>
        <v>6494.3521315754424</v>
      </c>
      <c r="AB94" s="57">
        <f t="shared" si="54"/>
        <v>6494.3521315754424</v>
      </c>
      <c r="AC94" s="57">
        <f t="shared" si="55"/>
        <v>0</v>
      </c>
      <c r="AD94" s="57">
        <f t="shared" si="56"/>
        <v>19727.68</v>
      </c>
      <c r="AE94" s="57">
        <f t="shared" si="57"/>
        <v>6494.3521315754424</v>
      </c>
      <c r="AF94" s="57">
        <f t="shared" si="58"/>
        <v>0</v>
      </c>
      <c r="AG94" s="70">
        <f t="shared" si="59"/>
        <v>6494.3521315754424</v>
      </c>
      <c r="AH94" s="64">
        <f t="shared" si="60"/>
        <v>0</v>
      </c>
      <c r="AI94" s="112">
        <f t="shared" si="61"/>
        <v>6494.35</v>
      </c>
    </row>
    <row r="95" spans="1:35" ht="51" x14ac:dyDescent="0.2">
      <c r="A95" s="37" t="s">
        <v>157</v>
      </c>
      <c r="B95" s="5" t="s">
        <v>431</v>
      </c>
      <c r="C95" s="8" t="s">
        <v>522</v>
      </c>
      <c r="D95" s="6">
        <v>3</v>
      </c>
      <c r="E95" s="6">
        <v>3</v>
      </c>
      <c r="F95" s="6">
        <v>2</v>
      </c>
      <c r="G95" s="6">
        <v>2</v>
      </c>
      <c r="H95" s="6">
        <v>2</v>
      </c>
      <c r="I95" s="6">
        <v>2</v>
      </c>
      <c r="J95" s="6">
        <v>2</v>
      </c>
      <c r="K95" s="58">
        <v>3456559.8839868298</v>
      </c>
      <c r="L95" s="58">
        <v>4676931.9000000004</v>
      </c>
      <c r="M95" s="58">
        <v>3370369.1431672182</v>
      </c>
      <c r="N95" s="58">
        <f t="shared" si="47"/>
        <v>1306562.7568327822</v>
      </c>
      <c r="O95" s="60">
        <f t="shared" si="48"/>
        <v>2149997.1271540476</v>
      </c>
      <c r="P95" s="57">
        <v>88850.06</v>
      </c>
      <c r="Q95" s="57">
        <v>89564.42</v>
      </c>
      <c r="R95" s="57">
        <v>104683.08</v>
      </c>
      <c r="S95" s="61">
        <v>561114.78</v>
      </c>
      <c r="T95" s="57">
        <v>0</v>
      </c>
      <c r="U95" s="57">
        <v>0</v>
      </c>
      <c r="V95" s="62">
        <f t="shared" si="62"/>
        <v>844212.34000000008</v>
      </c>
      <c r="W95" s="63">
        <f t="shared" si="49"/>
        <v>1305784.7871540475</v>
      </c>
      <c r="X95" s="64">
        <f t="shared" si="50"/>
        <v>0</v>
      </c>
      <c r="Y95" s="57">
        <f t="shared" si="51"/>
        <v>15127.955196850762</v>
      </c>
      <c r="Z95" s="57">
        <f t="shared" si="52"/>
        <v>22552.10971504288</v>
      </c>
      <c r="AA95" s="57">
        <f t="shared" si="53"/>
        <v>7424.1545181921174</v>
      </c>
      <c r="AB95" s="57">
        <f t="shared" si="54"/>
        <v>0</v>
      </c>
      <c r="AC95" s="57">
        <f t="shared" si="55"/>
        <v>0</v>
      </c>
      <c r="AD95" s="57">
        <f t="shared" si="56"/>
        <v>15127.96</v>
      </c>
      <c r="AE95" s="57">
        <f t="shared" si="57"/>
        <v>0</v>
      </c>
      <c r="AF95" s="57">
        <f t="shared" si="58"/>
        <v>0</v>
      </c>
      <c r="AG95" s="57">
        <f t="shared" si="59"/>
        <v>0</v>
      </c>
      <c r="AH95" s="64">
        <f t="shared" si="60"/>
        <v>0</v>
      </c>
      <c r="AI95" s="112">
        <f t="shared" si="61"/>
        <v>0</v>
      </c>
    </row>
    <row r="96" spans="1:35" ht="38.25" x14ac:dyDescent="0.2">
      <c r="A96" s="37" t="s">
        <v>224</v>
      </c>
      <c r="B96" s="5" t="s">
        <v>225</v>
      </c>
      <c r="C96" s="8" t="s">
        <v>306</v>
      </c>
      <c r="D96" s="6">
        <v>3</v>
      </c>
      <c r="E96" s="6">
        <v>3</v>
      </c>
      <c r="F96" s="6">
        <v>2</v>
      </c>
      <c r="G96" s="6">
        <v>2</v>
      </c>
      <c r="H96" s="6">
        <v>3</v>
      </c>
      <c r="I96" s="6">
        <v>2</v>
      </c>
      <c r="J96" s="6">
        <v>2</v>
      </c>
      <c r="K96" s="58">
        <v>8856568.8637549896</v>
      </c>
      <c r="L96" s="58">
        <v>4164135.53</v>
      </c>
      <c r="M96" s="58">
        <v>3454640.4092268208</v>
      </c>
      <c r="N96" s="58">
        <f t="shared" si="47"/>
        <v>709495.12077317899</v>
      </c>
      <c r="O96" s="60">
        <f t="shared" si="48"/>
        <v>8147073.7429818101</v>
      </c>
      <c r="P96" s="57">
        <v>400579.54</v>
      </c>
      <c r="Q96" s="57">
        <v>403806.04</v>
      </c>
      <c r="R96" s="57">
        <v>453460.68</v>
      </c>
      <c r="S96" s="61">
        <v>3121424.71</v>
      </c>
      <c r="T96" s="57">
        <v>0</v>
      </c>
      <c r="U96" s="57">
        <v>0</v>
      </c>
      <c r="V96" s="62">
        <f t="shared" si="62"/>
        <v>4379270.97</v>
      </c>
      <c r="W96" s="63">
        <f t="shared" si="49"/>
        <v>3767802.7729818104</v>
      </c>
      <c r="X96" s="64">
        <f t="shared" si="50"/>
        <v>0</v>
      </c>
      <c r="Y96" s="57">
        <f t="shared" si="51"/>
        <v>43651.260223722085</v>
      </c>
      <c r="Z96" s="57">
        <f t="shared" si="52"/>
        <v>65073.435038345393</v>
      </c>
      <c r="AA96" s="57">
        <f t="shared" si="53"/>
        <v>21422.174814623308</v>
      </c>
      <c r="AB96" s="57">
        <f t="shared" si="54"/>
        <v>0</v>
      </c>
      <c r="AC96" s="57">
        <f t="shared" si="55"/>
        <v>0</v>
      </c>
      <c r="AD96" s="57">
        <f t="shared" si="56"/>
        <v>43651.26</v>
      </c>
      <c r="AE96" s="57">
        <f t="shared" si="57"/>
        <v>0</v>
      </c>
      <c r="AF96" s="57">
        <f t="shared" si="58"/>
        <v>0</v>
      </c>
      <c r="AG96" s="57">
        <f t="shared" si="59"/>
        <v>0</v>
      </c>
      <c r="AH96" s="64">
        <f t="shared" si="60"/>
        <v>0</v>
      </c>
      <c r="AI96" s="112">
        <f t="shared" si="61"/>
        <v>0</v>
      </c>
    </row>
    <row r="97" spans="1:35" ht="38.25" x14ac:dyDescent="0.2">
      <c r="A97" s="37" t="s">
        <v>263</v>
      </c>
      <c r="B97" s="5" t="s">
        <v>343</v>
      </c>
      <c r="C97" s="8" t="s">
        <v>20</v>
      </c>
      <c r="D97" s="6">
        <v>3</v>
      </c>
      <c r="E97" s="6">
        <v>3</v>
      </c>
      <c r="F97" s="6">
        <v>2</v>
      </c>
      <c r="G97" s="6">
        <v>2</v>
      </c>
      <c r="H97" s="6">
        <v>3</v>
      </c>
      <c r="I97" s="6">
        <v>1</v>
      </c>
      <c r="J97" s="6">
        <v>2</v>
      </c>
      <c r="K97" s="58">
        <v>10823215.860543201</v>
      </c>
      <c r="L97" s="58">
        <v>1981550.75</v>
      </c>
      <c r="M97" s="58">
        <v>3579822.5629188335</v>
      </c>
      <c r="N97" s="58">
        <f t="shared" si="47"/>
        <v>0</v>
      </c>
      <c r="O97" s="60">
        <f t="shared" si="48"/>
        <v>10823215.860543201</v>
      </c>
      <c r="P97" s="57">
        <v>539852.92000000004</v>
      </c>
      <c r="Q97" s="57">
        <v>544160.44999999995</v>
      </c>
      <c r="R97" s="57">
        <v>621968.24</v>
      </c>
      <c r="S97" s="61">
        <v>3554209.47</v>
      </c>
      <c r="T97" s="57">
        <v>0</v>
      </c>
      <c r="U97" s="57">
        <v>0</v>
      </c>
      <c r="V97" s="62">
        <f t="shared" si="62"/>
        <v>5260191.08</v>
      </c>
      <c r="W97" s="63">
        <f t="shared" si="49"/>
        <v>5563024.7805432007</v>
      </c>
      <c r="X97" s="64">
        <f t="shared" si="50"/>
        <v>0</v>
      </c>
      <c r="Y97" s="57">
        <f t="shared" si="51"/>
        <v>64449.509955195848</v>
      </c>
      <c r="Z97" s="57">
        <f t="shared" si="52"/>
        <v>96078.57775073919</v>
      </c>
      <c r="AA97" s="57">
        <f t="shared" si="53"/>
        <v>31629.067795543342</v>
      </c>
      <c r="AB97" s="57">
        <f t="shared" si="54"/>
        <v>0</v>
      </c>
      <c r="AC97" s="57">
        <f t="shared" si="55"/>
        <v>0</v>
      </c>
      <c r="AD97" s="57">
        <f t="shared" si="56"/>
        <v>64449.51</v>
      </c>
      <c r="AE97" s="57">
        <f t="shared" si="57"/>
        <v>0</v>
      </c>
      <c r="AF97" s="57">
        <f t="shared" si="58"/>
        <v>0</v>
      </c>
      <c r="AG97" s="57">
        <f t="shared" si="59"/>
        <v>0</v>
      </c>
      <c r="AH97" s="64">
        <f t="shared" si="60"/>
        <v>0</v>
      </c>
      <c r="AI97" s="112">
        <f t="shared" si="61"/>
        <v>0</v>
      </c>
    </row>
    <row r="98" spans="1:35" ht="25.5" x14ac:dyDescent="0.2">
      <c r="A98" s="37" t="s">
        <v>195</v>
      </c>
      <c r="B98" s="5" t="s">
        <v>196</v>
      </c>
      <c r="C98" s="8" t="s">
        <v>306</v>
      </c>
      <c r="D98" s="6">
        <v>3</v>
      </c>
      <c r="E98" s="6">
        <v>3</v>
      </c>
      <c r="F98" s="6">
        <v>2</v>
      </c>
      <c r="G98" s="6">
        <v>2</v>
      </c>
      <c r="H98" s="6">
        <v>3</v>
      </c>
      <c r="I98" s="6">
        <v>2</v>
      </c>
      <c r="J98" s="6">
        <v>2</v>
      </c>
      <c r="K98" s="58">
        <v>7445020.6551363496</v>
      </c>
      <c r="L98" s="58">
        <v>2972931.99</v>
      </c>
      <c r="M98" s="58">
        <v>3330499.3936648257</v>
      </c>
      <c r="N98" s="58">
        <f t="shared" si="47"/>
        <v>0</v>
      </c>
      <c r="O98" s="60">
        <f t="shared" si="48"/>
        <v>7445020.6551363496</v>
      </c>
      <c r="P98" s="57">
        <v>477789.94</v>
      </c>
      <c r="Q98" s="57">
        <v>481628.48</v>
      </c>
      <c r="R98" s="57">
        <v>547221.69999999995</v>
      </c>
      <c r="S98" s="61">
        <v>3601505.26</v>
      </c>
      <c r="T98" s="57">
        <v>0</v>
      </c>
      <c r="U98" s="57">
        <v>0</v>
      </c>
      <c r="V98" s="62">
        <f t="shared" si="62"/>
        <v>5108145.38</v>
      </c>
      <c r="W98" s="63">
        <f t="shared" si="49"/>
        <v>2336875.2751363497</v>
      </c>
      <c r="X98" s="64">
        <f t="shared" si="50"/>
        <v>0</v>
      </c>
      <c r="Y98" s="57">
        <f t="shared" si="51"/>
        <v>27073.484704888349</v>
      </c>
      <c r="Z98" s="57">
        <f t="shared" si="52"/>
        <v>40359.995087788237</v>
      </c>
      <c r="AA98" s="57">
        <f t="shared" si="53"/>
        <v>13286.510382899887</v>
      </c>
      <c r="AB98" s="57">
        <f t="shared" si="54"/>
        <v>0</v>
      </c>
      <c r="AC98" s="57">
        <f t="shared" si="55"/>
        <v>0</v>
      </c>
      <c r="AD98" s="57">
        <f t="shared" si="56"/>
        <v>27073.48</v>
      </c>
      <c r="AE98" s="57">
        <f t="shared" si="57"/>
        <v>0</v>
      </c>
      <c r="AF98" s="57">
        <f t="shared" si="58"/>
        <v>0</v>
      </c>
      <c r="AG98" s="57">
        <f t="shared" si="59"/>
        <v>0</v>
      </c>
      <c r="AH98" s="64">
        <f t="shared" si="60"/>
        <v>0</v>
      </c>
      <c r="AI98" s="112">
        <f t="shared" si="61"/>
        <v>0</v>
      </c>
    </row>
    <row r="99" spans="1:35" ht="51" x14ac:dyDescent="0.2">
      <c r="A99" s="37" t="s">
        <v>207</v>
      </c>
      <c r="B99" s="5" t="s">
        <v>444</v>
      </c>
      <c r="C99" s="8" t="s">
        <v>523</v>
      </c>
      <c r="D99" s="6">
        <v>3</v>
      </c>
      <c r="E99" s="6">
        <v>3</v>
      </c>
      <c r="F99" s="6">
        <v>2</v>
      </c>
      <c r="G99" s="6">
        <v>2</v>
      </c>
      <c r="H99" s="6">
        <v>1</v>
      </c>
      <c r="I99" s="6">
        <v>2</v>
      </c>
      <c r="J99" s="6">
        <v>2</v>
      </c>
      <c r="K99" s="58">
        <v>10456070.64845</v>
      </c>
      <c r="L99" s="58">
        <v>4224018.1400000006</v>
      </c>
      <c r="M99" s="58">
        <v>3655140.9786154144</v>
      </c>
      <c r="N99" s="58">
        <f t="shared" si="47"/>
        <v>568877.16138458624</v>
      </c>
      <c r="O99" s="60">
        <f t="shared" si="48"/>
        <v>9887193.487065414</v>
      </c>
      <c r="P99" s="57">
        <v>168291.46</v>
      </c>
      <c r="Q99" s="57">
        <v>169648.75</v>
      </c>
      <c r="R99" s="57">
        <v>204204.44</v>
      </c>
      <c r="S99" s="61">
        <v>1201228.1299999999</v>
      </c>
      <c r="T99" s="57">
        <v>0</v>
      </c>
      <c r="U99" s="57">
        <v>0</v>
      </c>
      <c r="V99" s="62">
        <f t="shared" si="62"/>
        <v>1743372.7799999998</v>
      </c>
      <c r="W99" s="63">
        <f t="shared" si="49"/>
        <v>8143820.7070654146</v>
      </c>
      <c r="X99" s="64">
        <f t="shared" si="50"/>
        <v>0</v>
      </c>
      <c r="Y99" s="57">
        <f t="shared" si="51"/>
        <v>94348.897306564235</v>
      </c>
      <c r="Z99" s="57">
        <f t="shared" si="52"/>
        <v>140651.30785116911</v>
      </c>
      <c r="AA99" s="57">
        <f t="shared" si="53"/>
        <v>46302.410544604878</v>
      </c>
      <c r="AB99" s="57">
        <f t="shared" si="54"/>
        <v>0</v>
      </c>
      <c r="AC99" s="57">
        <f t="shared" si="55"/>
        <v>0</v>
      </c>
      <c r="AD99" s="57">
        <f t="shared" si="56"/>
        <v>94348.9</v>
      </c>
      <c r="AE99" s="57">
        <f t="shared" si="57"/>
        <v>0</v>
      </c>
      <c r="AF99" s="57">
        <f t="shared" si="58"/>
        <v>0</v>
      </c>
      <c r="AG99" s="57">
        <f t="shared" si="59"/>
        <v>0</v>
      </c>
      <c r="AH99" s="64">
        <f t="shared" si="60"/>
        <v>0</v>
      </c>
      <c r="AI99" s="112">
        <f t="shared" si="61"/>
        <v>0</v>
      </c>
    </row>
    <row r="100" spans="1:35" ht="51" x14ac:dyDescent="0.2">
      <c r="A100" s="37" t="s">
        <v>229</v>
      </c>
      <c r="B100" s="5" t="s">
        <v>423</v>
      </c>
      <c r="C100" s="8" t="s">
        <v>54</v>
      </c>
      <c r="D100" s="6">
        <v>3</v>
      </c>
      <c r="E100" s="6">
        <v>3</v>
      </c>
      <c r="F100" s="6">
        <v>2</v>
      </c>
      <c r="G100" s="6">
        <v>2</v>
      </c>
      <c r="H100" s="6">
        <v>2</v>
      </c>
      <c r="I100" s="6">
        <v>2</v>
      </c>
      <c r="J100" s="6">
        <v>2</v>
      </c>
      <c r="K100" s="58">
        <v>36235918.915916897</v>
      </c>
      <c r="L100" s="58">
        <v>20159278.879999999</v>
      </c>
      <c r="M100" s="58">
        <v>3468852.781285936</v>
      </c>
      <c r="N100" s="58">
        <f t="shared" si="47"/>
        <v>16690426.098714063</v>
      </c>
      <c r="O100" s="60">
        <f t="shared" si="48"/>
        <v>19545492.817202836</v>
      </c>
      <c r="P100" s="57">
        <v>553444.01</v>
      </c>
      <c r="Q100" s="57">
        <v>557910.80000000005</v>
      </c>
      <c r="R100" s="57">
        <v>655706.52</v>
      </c>
      <c r="S100" s="61">
        <v>3953249.08</v>
      </c>
      <c r="T100" s="57">
        <v>0</v>
      </c>
      <c r="U100" s="57">
        <v>0</v>
      </c>
      <c r="V100" s="62">
        <f t="shared" si="62"/>
        <v>5720310.4100000001</v>
      </c>
      <c r="W100" s="63">
        <f t="shared" si="49"/>
        <v>13825182.407202836</v>
      </c>
      <c r="X100" s="64">
        <f t="shared" si="50"/>
        <v>0</v>
      </c>
      <c r="Y100" s="57">
        <f t="shared" si="51"/>
        <v>160169.38020873125</v>
      </c>
      <c r="Z100" s="57">
        <f t="shared" si="52"/>
        <v>238773.67353716647</v>
      </c>
      <c r="AA100" s="57">
        <f t="shared" si="53"/>
        <v>78604.293328435218</v>
      </c>
      <c r="AB100" s="57">
        <f t="shared" si="54"/>
        <v>0</v>
      </c>
      <c r="AC100" s="57">
        <f t="shared" si="55"/>
        <v>0</v>
      </c>
      <c r="AD100" s="57">
        <f t="shared" si="56"/>
        <v>160169.38</v>
      </c>
      <c r="AE100" s="57">
        <f t="shared" si="57"/>
        <v>0</v>
      </c>
      <c r="AF100" s="57">
        <f t="shared" si="58"/>
        <v>0</v>
      </c>
      <c r="AG100" s="57">
        <f t="shared" si="59"/>
        <v>0</v>
      </c>
      <c r="AH100" s="64">
        <f t="shared" si="60"/>
        <v>0</v>
      </c>
      <c r="AI100" s="112">
        <f t="shared" si="61"/>
        <v>0</v>
      </c>
    </row>
    <row r="101" spans="1:35" ht="51" x14ac:dyDescent="0.2">
      <c r="A101" s="37" t="s">
        <v>184</v>
      </c>
      <c r="B101" s="5" t="s">
        <v>359</v>
      </c>
      <c r="C101" s="8" t="s">
        <v>524</v>
      </c>
      <c r="D101" s="6">
        <v>3</v>
      </c>
      <c r="E101" s="6">
        <v>3</v>
      </c>
      <c r="F101" s="6">
        <v>2</v>
      </c>
      <c r="G101" s="6">
        <v>2</v>
      </c>
      <c r="H101" s="6">
        <v>1</v>
      </c>
      <c r="I101" s="6">
        <v>2</v>
      </c>
      <c r="J101" s="6">
        <v>2</v>
      </c>
      <c r="K101" s="58">
        <v>14421810.238535101</v>
      </c>
      <c r="L101" s="58">
        <v>4620884.68</v>
      </c>
      <c r="M101" s="58">
        <v>3847410.4801789233</v>
      </c>
      <c r="N101" s="58">
        <f t="shared" si="47"/>
        <v>773474.19982107636</v>
      </c>
      <c r="O101" s="60">
        <f t="shared" si="48"/>
        <v>13648336.038714025</v>
      </c>
      <c r="P101" s="57">
        <v>399760.99</v>
      </c>
      <c r="Q101" s="57">
        <v>402970.24</v>
      </c>
      <c r="R101" s="57">
        <v>452341.38</v>
      </c>
      <c r="S101" s="61">
        <v>2751009.03</v>
      </c>
      <c r="T101" s="57">
        <v>0</v>
      </c>
      <c r="U101" s="57">
        <v>0</v>
      </c>
      <c r="V101" s="62">
        <f t="shared" si="62"/>
        <v>4006081.6399999997</v>
      </c>
      <c r="W101" s="63">
        <f t="shared" si="49"/>
        <v>9642254.3987140246</v>
      </c>
      <c r="X101" s="64">
        <f t="shared" si="50"/>
        <v>0</v>
      </c>
      <c r="Y101" s="57">
        <f t="shared" si="51"/>
        <v>111708.75474686817</v>
      </c>
      <c r="Z101" s="57">
        <f t="shared" si="52"/>
        <v>166530.64213904022</v>
      </c>
      <c r="AA101" s="57">
        <f t="shared" si="53"/>
        <v>54821.887392172051</v>
      </c>
      <c r="AB101" s="57">
        <f t="shared" si="54"/>
        <v>0</v>
      </c>
      <c r="AC101" s="57">
        <f t="shared" si="55"/>
        <v>0</v>
      </c>
      <c r="AD101" s="57">
        <f t="shared" si="56"/>
        <v>111708.75</v>
      </c>
      <c r="AE101" s="57">
        <f t="shared" si="57"/>
        <v>0</v>
      </c>
      <c r="AF101" s="57">
        <f t="shared" si="58"/>
        <v>0</v>
      </c>
      <c r="AG101" s="57">
        <f t="shared" si="59"/>
        <v>0</v>
      </c>
      <c r="AH101" s="64">
        <f t="shared" si="60"/>
        <v>0</v>
      </c>
      <c r="AI101" s="112">
        <f t="shared" si="61"/>
        <v>0</v>
      </c>
    </row>
    <row r="102" spans="1:35" ht="51" x14ac:dyDescent="0.2">
      <c r="A102" s="37" t="s">
        <v>231</v>
      </c>
      <c r="B102" s="5" t="s">
        <v>435</v>
      </c>
      <c r="C102" s="8" t="s">
        <v>525</v>
      </c>
      <c r="D102" s="6">
        <v>3</v>
      </c>
      <c r="E102" s="6">
        <v>3</v>
      </c>
      <c r="F102" s="6">
        <v>2</v>
      </c>
      <c r="G102" s="6">
        <v>2</v>
      </c>
      <c r="H102" s="6">
        <v>2</v>
      </c>
      <c r="I102" s="6">
        <v>2</v>
      </c>
      <c r="J102" s="6">
        <v>2</v>
      </c>
      <c r="K102" s="58">
        <v>6505999.7644808898</v>
      </c>
      <c r="L102" s="58">
        <v>6521326.5</v>
      </c>
      <c r="M102" s="58">
        <v>3356500.8184235655</v>
      </c>
      <c r="N102" s="58">
        <f t="shared" si="47"/>
        <v>3164825.6815764345</v>
      </c>
      <c r="O102" s="60">
        <f t="shared" si="48"/>
        <v>3341174.0829044553</v>
      </c>
      <c r="P102" s="57">
        <v>103359.54</v>
      </c>
      <c r="Q102" s="57">
        <v>104191.55</v>
      </c>
      <c r="R102" s="57">
        <v>121883.97</v>
      </c>
      <c r="S102" s="61">
        <v>640044.82999999996</v>
      </c>
      <c r="T102" s="57">
        <v>0</v>
      </c>
      <c r="U102" s="57">
        <v>0</v>
      </c>
      <c r="V102" s="62">
        <f t="shared" si="62"/>
        <v>969479.8899999999</v>
      </c>
      <c r="W102" s="63">
        <f t="shared" si="49"/>
        <v>2371694.1929044556</v>
      </c>
      <c r="X102" s="64">
        <f t="shared" si="50"/>
        <v>0</v>
      </c>
      <c r="Y102" s="57">
        <f t="shared" si="51"/>
        <v>27476.873558228235</v>
      </c>
      <c r="Z102" s="57">
        <f t="shared" si="52"/>
        <v>40961.349967543589</v>
      </c>
      <c r="AA102" s="57">
        <f t="shared" si="53"/>
        <v>13484.476409315354</v>
      </c>
      <c r="AB102" s="57">
        <f t="shared" si="54"/>
        <v>0</v>
      </c>
      <c r="AC102" s="57">
        <f t="shared" si="55"/>
        <v>0</v>
      </c>
      <c r="AD102" s="57">
        <f t="shared" si="56"/>
        <v>27476.87</v>
      </c>
      <c r="AE102" s="57">
        <f t="shared" si="57"/>
        <v>0</v>
      </c>
      <c r="AF102" s="57">
        <f t="shared" si="58"/>
        <v>0</v>
      </c>
      <c r="AG102" s="57">
        <f t="shared" si="59"/>
        <v>0</v>
      </c>
      <c r="AH102" s="64">
        <f t="shared" si="60"/>
        <v>0</v>
      </c>
      <c r="AI102" s="112">
        <f t="shared" si="61"/>
        <v>0</v>
      </c>
    </row>
    <row r="103" spans="1:35" ht="51" x14ac:dyDescent="0.2">
      <c r="A103" s="37" t="s">
        <v>213</v>
      </c>
      <c r="B103" s="5" t="s">
        <v>341</v>
      </c>
      <c r="C103" s="8" t="s">
        <v>20</v>
      </c>
      <c r="D103" s="6">
        <v>3</v>
      </c>
      <c r="E103" s="6">
        <v>3</v>
      </c>
      <c r="F103" s="6">
        <v>2</v>
      </c>
      <c r="G103" s="6">
        <v>2</v>
      </c>
      <c r="H103" s="6">
        <v>3</v>
      </c>
      <c r="I103" s="6">
        <v>2</v>
      </c>
      <c r="J103" s="6">
        <v>2</v>
      </c>
      <c r="K103" s="58">
        <v>22013424.538200699</v>
      </c>
      <c r="L103" s="58">
        <v>3823379.9</v>
      </c>
      <c r="M103" s="58">
        <v>3893396.1048915535</v>
      </c>
      <c r="N103" s="58">
        <f t="shared" ref="N103:N134" si="63">IF(L103-M103&gt;0,L103-M103,0)</f>
        <v>0</v>
      </c>
      <c r="O103" s="60">
        <f t="shared" ref="O103:O134" si="64">MAX(K103-N103,0)</f>
        <v>22013424.538200699</v>
      </c>
      <c r="P103" s="57">
        <v>870787.72</v>
      </c>
      <c r="Q103" s="57">
        <v>877718.19</v>
      </c>
      <c r="R103" s="57">
        <v>955447.79</v>
      </c>
      <c r="S103" s="61">
        <v>5651946.9400000004</v>
      </c>
      <c r="T103" s="57">
        <v>0</v>
      </c>
      <c r="U103" s="57">
        <v>0</v>
      </c>
      <c r="V103" s="62">
        <f t="shared" si="62"/>
        <v>8355900.6400000006</v>
      </c>
      <c r="W103" s="63">
        <f t="shared" ref="W103:W134" si="65">MAX(O103-V103,0)</f>
        <v>13657523.898200698</v>
      </c>
      <c r="X103" s="64">
        <f t="shared" ref="X103:X134" si="66">IF(D103=1,W103,0)/SUMIF(D:D,1,W:W)</f>
        <v>0</v>
      </c>
      <c r="Y103" s="57">
        <f t="shared" ref="Y103:Y134" si="67">W103/$W$4*$Y$4</f>
        <v>158227.0000879741</v>
      </c>
      <c r="Z103" s="57">
        <f t="shared" ref="Z103:Z134" si="68">Y103/FedShr_Enhanced</f>
        <v>235878.05618362271</v>
      </c>
      <c r="AA103" s="57">
        <f t="shared" ref="AA103:AA134" si="69">Z103-Y103</f>
        <v>77651.056095648615</v>
      </c>
      <c r="AB103" s="57">
        <f t="shared" ref="AB103:AB134" si="70">IF(F103=2,0,AA103)</f>
        <v>0</v>
      </c>
      <c r="AC103" s="57">
        <f t="shared" ref="AC103:AC134" si="71">$AA$2*X103</f>
        <v>0</v>
      </c>
      <c r="AD103" s="57">
        <f t="shared" ref="AD103:AD134" si="72">ROUND(IF(F103=2,Y103,Y103+AB103+AC103),2)</f>
        <v>158227</v>
      </c>
      <c r="AE103" s="57">
        <f t="shared" ref="AE103:AE134" si="73">AB103+AC103</f>
        <v>0</v>
      </c>
      <c r="AF103" s="57">
        <f t="shared" ref="AF103:AF134" si="74">$AF$4*X103</f>
        <v>0</v>
      </c>
      <c r="AG103" s="57">
        <f t="shared" ref="AG103:AG134" si="75">AE103-AF103</f>
        <v>0</v>
      </c>
      <c r="AH103" s="64">
        <f t="shared" ref="AH103:AH134" si="76">IF(E103=1,W103,0)/(SUMIF(E:E,1,W:W))</f>
        <v>0</v>
      </c>
      <c r="AI103" s="112">
        <f t="shared" ref="AI103:AI134" si="77">ROUND(AG103+$AG$8*AH103,2)</f>
        <v>0</v>
      </c>
    </row>
    <row r="104" spans="1:35" ht="38.25" x14ac:dyDescent="0.2">
      <c r="A104" s="37" t="s">
        <v>118</v>
      </c>
      <c r="B104" s="5" t="s">
        <v>415</v>
      </c>
      <c r="C104" s="8" t="s">
        <v>526</v>
      </c>
      <c r="D104" s="6">
        <v>3</v>
      </c>
      <c r="E104" s="6">
        <v>3</v>
      </c>
      <c r="F104" s="6">
        <v>1</v>
      </c>
      <c r="G104" s="6">
        <v>1</v>
      </c>
      <c r="H104" s="6">
        <v>2</v>
      </c>
      <c r="I104" s="6">
        <v>2</v>
      </c>
      <c r="J104" s="6">
        <v>2</v>
      </c>
      <c r="K104" s="58">
        <v>3459340.69717712</v>
      </c>
      <c r="L104" s="58">
        <v>4513827.37</v>
      </c>
      <c r="M104" s="58">
        <v>3843164.0715949079</v>
      </c>
      <c r="N104" s="58">
        <f t="shared" si="63"/>
        <v>670663.29840509221</v>
      </c>
      <c r="O104" s="60">
        <f t="shared" si="64"/>
        <v>2788677.3987720278</v>
      </c>
      <c r="P104" s="57">
        <v>315628.65999999997</v>
      </c>
      <c r="Q104" s="57">
        <v>318161.39</v>
      </c>
      <c r="R104" s="57">
        <v>361628.02</v>
      </c>
      <c r="S104" s="61">
        <v>1221834.83</v>
      </c>
      <c r="T104" s="57">
        <v>186685.69</v>
      </c>
      <c r="U104" s="57">
        <v>0</v>
      </c>
      <c r="V104" s="62">
        <f t="shared" si="62"/>
        <v>2403938.5900000003</v>
      </c>
      <c r="W104" s="63">
        <f t="shared" si="65"/>
        <v>384738.80877202749</v>
      </c>
      <c r="X104" s="64">
        <f t="shared" si="66"/>
        <v>0</v>
      </c>
      <c r="Y104" s="57">
        <f t="shared" si="67"/>
        <v>4457.3282816981728</v>
      </c>
      <c r="Z104" s="57">
        <f t="shared" si="68"/>
        <v>6644.7946954355593</v>
      </c>
      <c r="AA104" s="57">
        <f t="shared" si="69"/>
        <v>2187.4664137373866</v>
      </c>
      <c r="AB104" s="57">
        <f t="shared" si="70"/>
        <v>2187.4664137373866</v>
      </c>
      <c r="AC104" s="57">
        <f t="shared" si="71"/>
        <v>0</v>
      </c>
      <c r="AD104" s="57">
        <f t="shared" si="72"/>
        <v>6644.79</v>
      </c>
      <c r="AE104" s="57">
        <f t="shared" si="73"/>
        <v>2187.4664137373866</v>
      </c>
      <c r="AF104" s="57">
        <f t="shared" si="74"/>
        <v>0</v>
      </c>
      <c r="AG104" s="57">
        <f t="shared" si="75"/>
        <v>2187.4664137373866</v>
      </c>
      <c r="AH104" s="64">
        <f t="shared" si="76"/>
        <v>0</v>
      </c>
      <c r="AI104" s="112">
        <f t="shared" si="77"/>
        <v>2187.4699999999998</v>
      </c>
    </row>
    <row r="105" spans="1:35" ht="25.5" x14ac:dyDescent="0.2">
      <c r="A105" s="37" t="s">
        <v>292</v>
      </c>
      <c r="B105" s="5" t="s">
        <v>280</v>
      </c>
      <c r="C105" s="8" t="s">
        <v>523</v>
      </c>
      <c r="D105" s="6">
        <v>3</v>
      </c>
      <c r="E105" s="6">
        <v>3</v>
      </c>
      <c r="F105" s="6">
        <v>2</v>
      </c>
      <c r="G105" s="6">
        <v>2</v>
      </c>
      <c r="H105" s="6">
        <v>3</v>
      </c>
      <c r="I105" s="6">
        <v>2</v>
      </c>
      <c r="J105" s="6">
        <v>2</v>
      </c>
      <c r="K105" s="58">
        <v>19514634.704523999</v>
      </c>
      <c r="L105" s="58">
        <v>7994913.0700000003</v>
      </c>
      <c r="M105" s="58">
        <v>3830651.2189496271</v>
      </c>
      <c r="N105" s="58">
        <f t="shared" si="63"/>
        <v>4164261.8510503732</v>
      </c>
      <c r="O105" s="60">
        <f t="shared" si="64"/>
        <v>15350372.853473626</v>
      </c>
      <c r="P105" s="57">
        <v>0</v>
      </c>
      <c r="Q105" s="57">
        <v>0</v>
      </c>
      <c r="R105" s="57">
        <v>0</v>
      </c>
      <c r="S105" s="61">
        <v>1829968.74</v>
      </c>
      <c r="T105" s="57">
        <v>0</v>
      </c>
      <c r="U105" s="57">
        <v>0</v>
      </c>
      <c r="V105" s="62">
        <f t="shared" si="62"/>
        <v>1829968.74</v>
      </c>
      <c r="W105" s="63">
        <f t="shared" si="65"/>
        <v>13520404.113473626</v>
      </c>
      <c r="X105" s="64">
        <f t="shared" si="66"/>
        <v>0</v>
      </c>
      <c r="Y105" s="57">
        <f t="shared" si="67"/>
        <v>156638.42134179804</v>
      </c>
      <c r="Z105" s="57">
        <f t="shared" si="68"/>
        <v>233509.87081365244</v>
      </c>
      <c r="AA105" s="57">
        <f t="shared" si="69"/>
        <v>76871.449471854401</v>
      </c>
      <c r="AB105" s="57">
        <f t="shared" si="70"/>
        <v>0</v>
      </c>
      <c r="AC105" s="57">
        <f t="shared" si="71"/>
        <v>0</v>
      </c>
      <c r="AD105" s="57">
        <f t="shared" si="72"/>
        <v>156638.42000000001</v>
      </c>
      <c r="AE105" s="57">
        <f t="shared" si="73"/>
        <v>0</v>
      </c>
      <c r="AF105" s="57">
        <f t="shared" si="74"/>
        <v>0</v>
      </c>
      <c r="AG105" s="57">
        <f t="shared" si="75"/>
        <v>0</v>
      </c>
      <c r="AH105" s="64">
        <f t="shared" si="76"/>
        <v>0</v>
      </c>
      <c r="AI105" s="112">
        <f t="shared" si="77"/>
        <v>0</v>
      </c>
    </row>
    <row r="106" spans="1:35" ht="51" x14ac:dyDescent="0.2">
      <c r="A106" s="37" t="s">
        <v>256</v>
      </c>
      <c r="B106" s="5" t="s">
        <v>369</v>
      </c>
      <c r="C106" s="8" t="s">
        <v>307</v>
      </c>
      <c r="D106" s="6">
        <v>3</v>
      </c>
      <c r="E106" s="6">
        <v>3</v>
      </c>
      <c r="F106" s="6">
        <v>2</v>
      </c>
      <c r="G106" s="6">
        <v>2</v>
      </c>
      <c r="H106" s="6">
        <v>1</v>
      </c>
      <c r="I106" s="6">
        <v>2</v>
      </c>
      <c r="J106" s="6">
        <v>2</v>
      </c>
      <c r="K106" s="58">
        <v>13202972.397513101</v>
      </c>
      <c r="L106" s="58">
        <v>2857949.87</v>
      </c>
      <c r="M106" s="58">
        <v>3753776.1386002181</v>
      </c>
      <c r="N106" s="58">
        <f t="shared" si="63"/>
        <v>0</v>
      </c>
      <c r="O106" s="60">
        <f t="shared" si="64"/>
        <v>13202972.397513101</v>
      </c>
      <c r="P106" s="57">
        <v>371609.76</v>
      </c>
      <c r="Q106" s="57">
        <v>374579.03</v>
      </c>
      <c r="R106" s="57">
        <v>417598.73</v>
      </c>
      <c r="S106" s="61">
        <v>2378198.21</v>
      </c>
      <c r="T106" s="57">
        <v>0</v>
      </c>
      <c r="U106" s="57">
        <v>0</v>
      </c>
      <c r="V106" s="62">
        <f t="shared" si="62"/>
        <v>3541985.73</v>
      </c>
      <c r="W106" s="63">
        <f t="shared" si="65"/>
        <v>9660986.6675131004</v>
      </c>
      <c r="X106" s="64">
        <f t="shared" si="66"/>
        <v>0</v>
      </c>
      <c r="Y106" s="57">
        <f t="shared" si="67"/>
        <v>111925.77437055777</v>
      </c>
      <c r="Z106" s="57">
        <f t="shared" si="68"/>
        <v>166854.1657283211</v>
      </c>
      <c r="AA106" s="57">
        <f t="shared" si="69"/>
        <v>54928.391357763321</v>
      </c>
      <c r="AB106" s="57">
        <f t="shared" si="70"/>
        <v>0</v>
      </c>
      <c r="AC106" s="57">
        <f t="shared" si="71"/>
        <v>0</v>
      </c>
      <c r="AD106" s="57">
        <f t="shared" si="72"/>
        <v>111925.77</v>
      </c>
      <c r="AE106" s="57">
        <f t="shared" si="73"/>
        <v>0</v>
      </c>
      <c r="AF106" s="57">
        <f t="shared" si="74"/>
        <v>0</v>
      </c>
      <c r="AG106" s="57">
        <f t="shared" si="75"/>
        <v>0</v>
      </c>
      <c r="AH106" s="64">
        <f t="shared" si="76"/>
        <v>0</v>
      </c>
      <c r="AI106" s="112">
        <f t="shared" si="77"/>
        <v>0</v>
      </c>
    </row>
    <row r="107" spans="1:35" ht="76.5" x14ac:dyDescent="0.2">
      <c r="A107" s="37" t="s">
        <v>272</v>
      </c>
      <c r="B107" s="5" t="s">
        <v>401</v>
      </c>
      <c r="C107" s="8" t="s">
        <v>527</v>
      </c>
      <c r="D107" s="6">
        <v>3</v>
      </c>
      <c r="E107" s="6">
        <v>3</v>
      </c>
      <c r="F107" s="6">
        <v>2</v>
      </c>
      <c r="G107" s="6">
        <v>2</v>
      </c>
      <c r="H107" s="6">
        <v>2</v>
      </c>
      <c r="I107" s="6">
        <v>2</v>
      </c>
      <c r="J107" s="6">
        <v>2</v>
      </c>
      <c r="K107" s="58">
        <v>1976488.2574635299</v>
      </c>
      <c r="L107" s="58">
        <v>6444070.1199999992</v>
      </c>
      <c r="M107" s="58">
        <v>4224174.7875168379</v>
      </c>
      <c r="N107" s="58">
        <f t="shared" si="63"/>
        <v>2219895.3324831612</v>
      </c>
      <c r="O107" s="60">
        <f t="shared" si="64"/>
        <v>0</v>
      </c>
      <c r="P107" s="57">
        <v>111712.31</v>
      </c>
      <c r="Q107" s="57">
        <v>112625.34</v>
      </c>
      <c r="R107" s="57">
        <v>151105.38</v>
      </c>
      <c r="S107" s="61">
        <v>679411.21</v>
      </c>
      <c r="T107" s="57">
        <v>0</v>
      </c>
      <c r="U107" s="57">
        <v>0</v>
      </c>
      <c r="V107" s="62">
        <f t="shared" si="62"/>
        <v>1054854.24</v>
      </c>
      <c r="W107" s="63">
        <f t="shared" si="65"/>
        <v>0</v>
      </c>
      <c r="X107" s="64">
        <f t="shared" si="66"/>
        <v>0</v>
      </c>
      <c r="Y107" s="57">
        <f t="shared" si="67"/>
        <v>0</v>
      </c>
      <c r="Z107" s="57">
        <f t="shared" si="68"/>
        <v>0</v>
      </c>
      <c r="AA107" s="57">
        <f t="shared" si="69"/>
        <v>0</v>
      </c>
      <c r="AB107" s="57">
        <f t="shared" si="70"/>
        <v>0</v>
      </c>
      <c r="AC107" s="57">
        <f t="shared" si="71"/>
        <v>0</v>
      </c>
      <c r="AD107" s="57">
        <f t="shared" si="72"/>
        <v>0</v>
      </c>
      <c r="AE107" s="57">
        <f t="shared" si="73"/>
        <v>0</v>
      </c>
      <c r="AF107" s="57">
        <f t="shared" si="74"/>
        <v>0</v>
      </c>
      <c r="AG107" s="57">
        <f t="shared" si="75"/>
        <v>0</v>
      </c>
      <c r="AH107" s="64">
        <f t="shared" si="76"/>
        <v>0</v>
      </c>
      <c r="AI107" s="112">
        <f t="shared" si="77"/>
        <v>0</v>
      </c>
    </row>
    <row r="108" spans="1:35" ht="38.25" x14ac:dyDescent="0.2">
      <c r="A108" s="37" t="s">
        <v>150</v>
      </c>
      <c r="B108" s="23" t="s">
        <v>151</v>
      </c>
      <c r="C108" s="8" t="s">
        <v>26</v>
      </c>
      <c r="D108" s="6">
        <v>3</v>
      </c>
      <c r="E108" s="6">
        <v>3</v>
      </c>
      <c r="F108" s="6">
        <v>2</v>
      </c>
      <c r="G108" s="6">
        <v>2</v>
      </c>
      <c r="H108" s="6">
        <v>3</v>
      </c>
      <c r="I108" s="6">
        <v>1</v>
      </c>
      <c r="J108" s="6">
        <v>1</v>
      </c>
      <c r="K108" s="58">
        <v>904542.57480424503</v>
      </c>
      <c r="L108" s="58">
        <v>208650.63</v>
      </c>
      <c r="M108" s="58">
        <v>396970.10890851996</v>
      </c>
      <c r="N108" s="58">
        <f t="shared" si="63"/>
        <v>0</v>
      </c>
      <c r="O108" s="60">
        <f t="shared" si="64"/>
        <v>904542.57480424503</v>
      </c>
      <c r="P108" s="57">
        <v>320579.59999999998</v>
      </c>
      <c r="Q108" s="57">
        <v>323123.90000000002</v>
      </c>
      <c r="R108" s="57">
        <v>351794.24</v>
      </c>
      <c r="S108" s="61">
        <v>0</v>
      </c>
      <c r="T108" s="57">
        <v>0</v>
      </c>
      <c r="U108" s="57">
        <v>90955.17</v>
      </c>
      <c r="V108" s="62">
        <f t="shared" si="62"/>
        <v>904542.57</v>
      </c>
      <c r="W108" s="63">
        <f t="shared" si="65"/>
        <v>4.8042450798675418E-3</v>
      </c>
      <c r="X108" s="64">
        <f t="shared" si="66"/>
        <v>0</v>
      </c>
      <c r="Y108" s="57">
        <f t="shared" si="67"/>
        <v>5.5658792350712828E-5</v>
      </c>
      <c r="Z108" s="57">
        <f t="shared" si="68"/>
        <v>8.297375126820637E-5</v>
      </c>
      <c r="AA108" s="57">
        <f t="shared" si="69"/>
        <v>2.7314958917493543E-5</v>
      </c>
      <c r="AB108" s="57">
        <f t="shared" si="70"/>
        <v>0</v>
      </c>
      <c r="AC108" s="57">
        <f t="shared" si="71"/>
        <v>0</v>
      </c>
      <c r="AD108" s="57">
        <f t="shared" si="72"/>
        <v>0</v>
      </c>
      <c r="AE108" s="57">
        <f t="shared" si="73"/>
        <v>0</v>
      </c>
      <c r="AF108" s="57">
        <f t="shared" si="74"/>
        <v>0</v>
      </c>
      <c r="AG108" s="57">
        <f t="shared" si="75"/>
        <v>0</v>
      </c>
      <c r="AH108" s="64">
        <f t="shared" si="76"/>
        <v>0</v>
      </c>
      <c r="AI108" s="112">
        <f t="shared" si="77"/>
        <v>0</v>
      </c>
    </row>
    <row r="109" spans="1:35" ht="51" x14ac:dyDescent="0.2">
      <c r="A109" s="37" t="s">
        <v>191</v>
      </c>
      <c r="B109" s="5" t="s">
        <v>393</v>
      </c>
      <c r="C109" s="8" t="s">
        <v>528</v>
      </c>
      <c r="D109" s="6">
        <v>3</v>
      </c>
      <c r="E109" s="6">
        <v>3</v>
      </c>
      <c r="F109" s="6">
        <v>2</v>
      </c>
      <c r="G109" s="6">
        <v>2</v>
      </c>
      <c r="H109" s="6">
        <v>1</v>
      </c>
      <c r="I109" s="6">
        <v>2</v>
      </c>
      <c r="J109" s="6">
        <v>2</v>
      </c>
      <c r="K109" s="58">
        <v>15374269.641629601</v>
      </c>
      <c r="L109" s="58">
        <v>3696944.3</v>
      </c>
      <c r="M109" s="58">
        <v>3759731.0425669099</v>
      </c>
      <c r="N109" s="58">
        <f t="shared" si="63"/>
        <v>0</v>
      </c>
      <c r="O109" s="60">
        <f t="shared" si="64"/>
        <v>15374269.641629601</v>
      </c>
      <c r="P109" s="57">
        <v>437467.39</v>
      </c>
      <c r="Q109" s="57">
        <v>440962.71</v>
      </c>
      <c r="R109" s="57">
        <v>489402.97</v>
      </c>
      <c r="S109" s="61">
        <v>2652732.4900000002</v>
      </c>
      <c r="T109" s="57">
        <v>0</v>
      </c>
      <c r="U109" s="57">
        <v>0</v>
      </c>
      <c r="V109" s="62">
        <f t="shared" si="62"/>
        <v>4020565.5600000005</v>
      </c>
      <c r="W109" s="63">
        <f t="shared" si="65"/>
        <v>11353704.0816296</v>
      </c>
      <c r="X109" s="64">
        <f t="shared" si="66"/>
        <v>0</v>
      </c>
      <c r="Y109" s="57">
        <f t="shared" si="67"/>
        <v>131536.47396945156</v>
      </c>
      <c r="Z109" s="57">
        <f t="shared" si="68"/>
        <v>196088.95940586101</v>
      </c>
      <c r="AA109" s="57">
        <f t="shared" si="69"/>
        <v>64552.48543640945</v>
      </c>
      <c r="AB109" s="57">
        <f t="shared" si="70"/>
        <v>0</v>
      </c>
      <c r="AC109" s="57">
        <f t="shared" si="71"/>
        <v>0</v>
      </c>
      <c r="AD109" s="57">
        <f t="shared" si="72"/>
        <v>131536.47</v>
      </c>
      <c r="AE109" s="57">
        <f t="shared" si="73"/>
        <v>0</v>
      </c>
      <c r="AF109" s="57">
        <f t="shared" si="74"/>
        <v>0</v>
      </c>
      <c r="AG109" s="57">
        <f t="shared" si="75"/>
        <v>0</v>
      </c>
      <c r="AH109" s="64">
        <f t="shared" si="76"/>
        <v>0</v>
      </c>
      <c r="AI109" s="112">
        <f t="shared" si="77"/>
        <v>0</v>
      </c>
    </row>
    <row r="110" spans="1:35" ht="51" x14ac:dyDescent="0.2">
      <c r="A110" s="37" t="s">
        <v>255</v>
      </c>
      <c r="B110" s="5" t="s">
        <v>398</v>
      </c>
      <c r="C110" s="8" t="s">
        <v>529</v>
      </c>
      <c r="D110" s="6">
        <v>3</v>
      </c>
      <c r="E110" s="6">
        <v>3</v>
      </c>
      <c r="F110" s="6">
        <v>2</v>
      </c>
      <c r="G110" s="6">
        <v>2</v>
      </c>
      <c r="H110" s="6">
        <v>2</v>
      </c>
      <c r="I110" s="6">
        <v>2</v>
      </c>
      <c r="J110" s="6">
        <v>2</v>
      </c>
      <c r="K110" s="58">
        <v>4949634.3373051398</v>
      </c>
      <c r="L110" s="58">
        <v>6261920.3399999999</v>
      </c>
      <c r="M110" s="58">
        <v>4873858.4520212505</v>
      </c>
      <c r="N110" s="58">
        <f t="shared" si="63"/>
        <v>1388061.8879787493</v>
      </c>
      <c r="O110" s="60">
        <f t="shared" si="64"/>
        <v>3561572.4493263904</v>
      </c>
      <c r="P110" s="57">
        <v>267495.23</v>
      </c>
      <c r="Q110" s="57">
        <v>269644.32</v>
      </c>
      <c r="R110" s="57">
        <v>294940.2</v>
      </c>
      <c r="S110" s="61">
        <v>1265844.1200000001</v>
      </c>
      <c r="T110" s="57">
        <v>0</v>
      </c>
      <c r="U110" s="57">
        <v>0</v>
      </c>
      <c r="V110" s="62">
        <f t="shared" si="62"/>
        <v>2097923.87</v>
      </c>
      <c r="W110" s="63">
        <f t="shared" si="65"/>
        <v>1463648.5793263903</v>
      </c>
      <c r="X110" s="64">
        <f t="shared" si="66"/>
        <v>0</v>
      </c>
      <c r="Y110" s="57">
        <f t="shared" si="67"/>
        <v>16956.860234405332</v>
      </c>
      <c r="Z110" s="57">
        <f t="shared" si="68"/>
        <v>25278.563259399722</v>
      </c>
      <c r="AA110" s="57">
        <f t="shared" si="69"/>
        <v>8321.7030249943891</v>
      </c>
      <c r="AB110" s="57">
        <f t="shared" si="70"/>
        <v>0</v>
      </c>
      <c r="AC110" s="57">
        <f t="shared" si="71"/>
        <v>0</v>
      </c>
      <c r="AD110" s="57">
        <f t="shared" si="72"/>
        <v>16956.86</v>
      </c>
      <c r="AE110" s="57">
        <f t="shared" si="73"/>
        <v>0</v>
      </c>
      <c r="AF110" s="57">
        <f t="shared" si="74"/>
        <v>0</v>
      </c>
      <c r="AG110" s="57">
        <f t="shared" si="75"/>
        <v>0</v>
      </c>
      <c r="AH110" s="64">
        <f t="shared" si="76"/>
        <v>0</v>
      </c>
      <c r="AI110" s="112">
        <f t="shared" si="77"/>
        <v>0</v>
      </c>
    </row>
    <row r="111" spans="1:35" ht="38.25" x14ac:dyDescent="0.2">
      <c r="A111" s="37" t="s">
        <v>124</v>
      </c>
      <c r="B111" s="5" t="s">
        <v>436</v>
      </c>
      <c r="C111" s="8" t="s">
        <v>519</v>
      </c>
      <c r="D111" s="6">
        <v>3</v>
      </c>
      <c r="E111" s="6">
        <v>3</v>
      </c>
      <c r="F111" s="6">
        <v>1</v>
      </c>
      <c r="G111" s="6">
        <v>1</v>
      </c>
      <c r="H111" s="6">
        <v>1</v>
      </c>
      <c r="I111" s="6">
        <v>2</v>
      </c>
      <c r="J111" s="6">
        <v>2</v>
      </c>
      <c r="K111" s="58">
        <v>20713040.42337</v>
      </c>
      <c r="L111" s="58">
        <v>6382987.6899999995</v>
      </c>
      <c r="M111" s="58">
        <v>4543265.3750896715</v>
      </c>
      <c r="N111" s="58">
        <f t="shared" si="63"/>
        <v>1839722.314910328</v>
      </c>
      <c r="O111" s="60">
        <f t="shared" si="64"/>
        <v>18873318.108459674</v>
      </c>
      <c r="P111" s="57">
        <v>387285.74</v>
      </c>
      <c r="Q111" s="57">
        <v>390424.65</v>
      </c>
      <c r="R111" s="57">
        <v>489534.3</v>
      </c>
      <c r="S111" s="61">
        <v>1417434.72</v>
      </c>
      <c r="T111" s="57">
        <v>2811589.84</v>
      </c>
      <c r="U111" s="57">
        <v>0</v>
      </c>
      <c r="V111" s="62">
        <f t="shared" si="62"/>
        <v>5496269.25</v>
      </c>
      <c r="W111" s="63">
        <f t="shared" si="65"/>
        <v>13377048.858459674</v>
      </c>
      <c r="X111" s="64">
        <f t="shared" si="66"/>
        <v>0</v>
      </c>
      <c r="Y111" s="57">
        <f t="shared" si="67"/>
        <v>154977.60257869176</v>
      </c>
      <c r="Z111" s="57">
        <f t="shared" si="68"/>
        <v>231033.99311075101</v>
      </c>
      <c r="AA111" s="57">
        <f t="shared" si="69"/>
        <v>76056.390532059246</v>
      </c>
      <c r="AB111" s="57">
        <f t="shared" si="70"/>
        <v>76056.390532059246</v>
      </c>
      <c r="AC111" s="57">
        <f t="shared" si="71"/>
        <v>0</v>
      </c>
      <c r="AD111" s="57">
        <f t="shared" si="72"/>
        <v>231033.99</v>
      </c>
      <c r="AE111" s="57">
        <f t="shared" si="73"/>
        <v>76056.390532059246</v>
      </c>
      <c r="AF111" s="57">
        <f t="shared" si="74"/>
        <v>0</v>
      </c>
      <c r="AG111" s="57">
        <f t="shared" si="75"/>
        <v>76056.390532059246</v>
      </c>
      <c r="AH111" s="64">
        <f t="shared" si="76"/>
        <v>0</v>
      </c>
      <c r="AI111" s="112">
        <f t="shared" si="77"/>
        <v>76056.39</v>
      </c>
    </row>
    <row r="112" spans="1:35" ht="51" x14ac:dyDescent="0.2">
      <c r="A112" s="37" t="s">
        <v>260</v>
      </c>
      <c r="B112" s="5" t="s">
        <v>313</v>
      </c>
      <c r="C112" s="8" t="s">
        <v>530</v>
      </c>
      <c r="D112" s="6">
        <v>3</v>
      </c>
      <c r="E112" s="6">
        <v>3</v>
      </c>
      <c r="F112" s="6">
        <v>2</v>
      </c>
      <c r="G112" s="6">
        <v>2</v>
      </c>
      <c r="H112" s="6">
        <v>1</v>
      </c>
      <c r="I112" s="6">
        <v>2</v>
      </c>
      <c r="J112" s="6">
        <v>2</v>
      </c>
      <c r="K112" s="58">
        <v>20380420.585056599</v>
      </c>
      <c r="L112" s="58">
        <v>3035309.22</v>
      </c>
      <c r="M112" s="58">
        <v>5026728.1278170049</v>
      </c>
      <c r="N112" s="58">
        <f t="shared" si="63"/>
        <v>0</v>
      </c>
      <c r="O112" s="60">
        <f t="shared" si="64"/>
        <v>20380420.585056599</v>
      </c>
      <c r="P112" s="57">
        <v>318232.39</v>
      </c>
      <c r="Q112" s="57">
        <v>320785.13</v>
      </c>
      <c r="R112" s="57">
        <v>374196.92</v>
      </c>
      <c r="S112" s="61">
        <v>2338540.7599999998</v>
      </c>
      <c r="T112" s="57">
        <v>0</v>
      </c>
      <c r="U112" s="57">
        <v>0</v>
      </c>
      <c r="V112" s="62">
        <f t="shared" si="62"/>
        <v>3351755.1999999997</v>
      </c>
      <c r="W112" s="63">
        <f t="shared" si="65"/>
        <v>17028665.3850566</v>
      </c>
      <c r="X112" s="64">
        <f t="shared" si="66"/>
        <v>0</v>
      </c>
      <c r="Y112" s="57">
        <f t="shared" si="67"/>
        <v>197282.80612669501</v>
      </c>
      <c r="Z112" s="57">
        <f t="shared" si="68"/>
        <v>294100.78432721383</v>
      </c>
      <c r="AA112" s="57">
        <f t="shared" si="69"/>
        <v>96817.978200518817</v>
      </c>
      <c r="AB112" s="57">
        <f t="shared" si="70"/>
        <v>0</v>
      </c>
      <c r="AC112" s="57">
        <f t="shared" si="71"/>
        <v>0</v>
      </c>
      <c r="AD112" s="57">
        <f t="shared" si="72"/>
        <v>197282.81</v>
      </c>
      <c r="AE112" s="57">
        <f t="shared" si="73"/>
        <v>0</v>
      </c>
      <c r="AF112" s="57">
        <f t="shared" si="74"/>
        <v>0</v>
      </c>
      <c r="AG112" s="57">
        <f t="shared" si="75"/>
        <v>0</v>
      </c>
      <c r="AH112" s="64">
        <f t="shared" si="76"/>
        <v>0</v>
      </c>
      <c r="AI112" s="112">
        <f t="shared" si="77"/>
        <v>0</v>
      </c>
    </row>
    <row r="113" spans="1:35" ht="25.5" x14ac:dyDescent="0.2">
      <c r="A113" s="37" t="s">
        <v>291</v>
      </c>
      <c r="B113" s="5" t="s">
        <v>280</v>
      </c>
      <c r="C113" s="8" t="s">
        <v>14</v>
      </c>
      <c r="D113" s="6">
        <v>3</v>
      </c>
      <c r="E113" s="6">
        <v>3</v>
      </c>
      <c r="F113" s="6">
        <v>2</v>
      </c>
      <c r="G113" s="6">
        <v>2</v>
      </c>
      <c r="H113" s="6">
        <v>3</v>
      </c>
      <c r="I113" s="6">
        <v>2</v>
      </c>
      <c r="J113" s="6">
        <v>2</v>
      </c>
      <c r="K113" s="58">
        <v>47795681.521277599</v>
      </c>
      <c r="L113" s="58">
        <v>16601059.75</v>
      </c>
      <c r="M113" s="58">
        <v>10239988</v>
      </c>
      <c r="N113" s="58">
        <f t="shared" si="63"/>
        <v>6361071.75</v>
      </c>
      <c r="O113" s="60">
        <f t="shared" si="64"/>
        <v>41434609.771277599</v>
      </c>
      <c r="P113" s="57">
        <v>0</v>
      </c>
      <c r="Q113" s="57">
        <v>0</v>
      </c>
      <c r="R113" s="57">
        <v>0</v>
      </c>
      <c r="S113" s="61">
        <v>6897861.1399999997</v>
      </c>
      <c r="T113" s="57">
        <v>0</v>
      </c>
      <c r="U113" s="57">
        <v>0</v>
      </c>
      <c r="V113" s="62">
        <f t="shared" si="62"/>
        <v>6897861.1399999997</v>
      </c>
      <c r="W113" s="63">
        <f t="shared" si="65"/>
        <v>34536748.631277598</v>
      </c>
      <c r="X113" s="64">
        <f t="shared" si="66"/>
        <v>0</v>
      </c>
      <c r="Y113" s="57">
        <f t="shared" si="67"/>
        <v>400119.82914702687</v>
      </c>
      <c r="Z113" s="57">
        <f t="shared" si="68"/>
        <v>596481.5580605648</v>
      </c>
      <c r="AA113" s="57">
        <f t="shared" si="69"/>
        <v>196361.72891353793</v>
      </c>
      <c r="AB113" s="57">
        <f t="shared" si="70"/>
        <v>0</v>
      </c>
      <c r="AC113" s="57">
        <f t="shared" si="71"/>
        <v>0</v>
      </c>
      <c r="AD113" s="57">
        <f t="shared" si="72"/>
        <v>400119.83</v>
      </c>
      <c r="AE113" s="57">
        <f t="shared" si="73"/>
        <v>0</v>
      </c>
      <c r="AF113" s="57">
        <f t="shared" si="74"/>
        <v>0</v>
      </c>
      <c r="AG113" s="57">
        <f t="shared" si="75"/>
        <v>0</v>
      </c>
      <c r="AH113" s="64">
        <f t="shared" si="76"/>
        <v>0</v>
      </c>
      <c r="AI113" s="112">
        <f t="shared" si="77"/>
        <v>0</v>
      </c>
    </row>
    <row r="114" spans="1:35" ht="38.25" x14ac:dyDescent="0.2">
      <c r="A114" s="37" t="s">
        <v>187</v>
      </c>
      <c r="B114" s="5" t="s">
        <v>433</v>
      </c>
      <c r="C114" s="8" t="s">
        <v>531</v>
      </c>
      <c r="D114" s="6">
        <v>3</v>
      </c>
      <c r="E114" s="6">
        <v>3</v>
      </c>
      <c r="F114" s="6">
        <v>2</v>
      </c>
      <c r="G114" s="6">
        <v>2</v>
      </c>
      <c r="H114" s="6">
        <v>2</v>
      </c>
      <c r="I114" s="6">
        <v>2</v>
      </c>
      <c r="J114" s="6">
        <v>2</v>
      </c>
      <c r="K114" s="58">
        <v>8636522.0226311199</v>
      </c>
      <c r="L114" s="58">
        <v>9445317.4399999995</v>
      </c>
      <c r="M114" s="58">
        <v>4908440.7801441494</v>
      </c>
      <c r="N114" s="58">
        <f t="shared" si="63"/>
        <v>4536876.65985585</v>
      </c>
      <c r="O114" s="60">
        <f t="shared" si="64"/>
        <v>4099645.3627752699</v>
      </c>
      <c r="P114" s="57">
        <v>128283.89</v>
      </c>
      <c r="Q114" s="57">
        <v>129318.84</v>
      </c>
      <c r="R114" s="57">
        <v>153245.20000000001</v>
      </c>
      <c r="S114" s="61">
        <v>494995.23</v>
      </c>
      <c r="T114" s="57">
        <v>0</v>
      </c>
      <c r="U114" s="57">
        <v>0</v>
      </c>
      <c r="V114" s="62">
        <f t="shared" si="62"/>
        <v>905843.15999999992</v>
      </c>
      <c r="W114" s="63">
        <f t="shared" si="65"/>
        <v>3193802.2027752697</v>
      </c>
      <c r="X114" s="64">
        <f t="shared" si="66"/>
        <v>0</v>
      </c>
      <c r="Y114" s="57">
        <f t="shared" si="67"/>
        <v>37001.270888207706</v>
      </c>
      <c r="Z114" s="57">
        <f t="shared" si="68"/>
        <v>55159.914860178455</v>
      </c>
      <c r="AA114" s="57">
        <f t="shared" si="69"/>
        <v>18158.643971970749</v>
      </c>
      <c r="AB114" s="57">
        <f t="shared" si="70"/>
        <v>0</v>
      </c>
      <c r="AC114" s="57">
        <f t="shared" si="71"/>
        <v>0</v>
      </c>
      <c r="AD114" s="57">
        <f t="shared" si="72"/>
        <v>37001.269999999997</v>
      </c>
      <c r="AE114" s="57">
        <f t="shared" si="73"/>
        <v>0</v>
      </c>
      <c r="AF114" s="57">
        <f t="shared" si="74"/>
        <v>0</v>
      </c>
      <c r="AG114" s="57">
        <f t="shared" si="75"/>
        <v>0</v>
      </c>
      <c r="AH114" s="64">
        <f t="shared" si="76"/>
        <v>0</v>
      </c>
      <c r="AI114" s="112">
        <f t="shared" si="77"/>
        <v>0</v>
      </c>
    </row>
    <row r="115" spans="1:35" ht="51" x14ac:dyDescent="0.2">
      <c r="A115" s="37" t="s">
        <v>161</v>
      </c>
      <c r="B115" s="5" t="s">
        <v>323</v>
      </c>
      <c r="C115" s="8" t="s">
        <v>26</v>
      </c>
      <c r="D115" s="6">
        <v>3</v>
      </c>
      <c r="E115" s="6">
        <v>3</v>
      </c>
      <c r="F115" s="6">
        <v>2</v>
      </c>
      <c r="G115" s="6">
        <v>2</v>
      </c>
      <c r="H115" s="6">
        <v>3</v>
      </c>
      <c r="I115" s="6">
        <v>2</v>
      </c>
      <c r="J115" s="6">
        <v>2</v>
      </c>
      <c r="K115" s="58">
        <v>21712109.282118399</v>
      </c>
      <c r="L115" s="58">
        <v>3964918.96</v>
      </c>
      <c r="M115" s="58">
        <v>5688507.2464025421</v>
      </c>
      <c r="N115" s="58">
        <f t="shared" si="63"/>
        <v>0</v>
      </c>
      <c r="O115" s="60">
        <f t="shared" si="64"/>
        <v>21712109.282118399</v>
      </c>
      <c r="P115" s="57">
        <v>1064460.23</v>
      </c>
      <c r="Q115" s="57">
        <v>1072959.57</v>
      </c>
      <c r="R115" s="57">
        <v>1231173.55</v>
      </c>
      <c r="S115" s="61">
        <v>6594417.7400000002</v>
      </c>
      <c r="T115" s="57">
        <v>0</v>
      </c>
      <c r="U115" s="57">
        <v>0</v>
      </c>
      <c r="V115" s="62">
        <f t="shared" si="62"/>
        <v>9963011.0899999999</v>
      </c>
      <c r="W115" s="63">
        <f t="shared" si="65"/>
        <v>11749098.192118399</v>
      </c>
      <c r="X115" s="64">
        <f t="shared" si="66"/>
        <v>0</v>
      </c>
      <c r="Y115" s="57">
        <f t="shared" si="67"/>
        <v>136117.24749922275</v>
      </c>
      <c r="Z115" s="57">
        <f t="shared" si="68"/>
        <v>202917.78100659326</v>
      </c>
      <c r="AA115" s="57">
        <f t="shared" si="69"/>
        <v>66800.533507370506</v>
      </c>
      <c r="AB115" s="57">
        <f t="shared" si="70"/>
        <v>0</v>
      </c>
      <c r="AC115" s="57">
        <f t="shared" si="71"/>
        <v>0</v>
      </c>
      <c r="AD115" s="57">
        <f t="shared" si="72"/>
        <v>136117.25</v>
      </c>
      <c r="AE115" s="57">
        <f t="shared" si="73"/>
        <v>0</v>
      </c>
      <c r="AF115" s="57">
        <f t="shared" si="74"/>
        <v>0</v>
      </c>
      <c r="AG115" s="57">
        <f t="shared" si="75"/>
        <v>0</v>
      </c>
      <c r="AH115" s="64">
        <f t="shared" si="76"/>
        <v>0</v>
      </c>
      <c r="AI115" s="112">
        <f t="shared" si="77"/>
        <v>0</v>
      </c>
    </row>
    <row r="116" spans="1:35" ht="51" x14ac:dyDescent="0.2">
      <c r="A116" s="37" t="s">
        <v>204</v>
      </c>
      <c r="B116" s="5" t="s">
        <v>316</v>
      </c>
      <c r="C116" s="8" t="s">
        <v>461</v>
      </c>
      <c r="D116" s="6">
        <v>3</v>
      </c>
      <c r="E116" s="6">
        <v>3</v>
      </c>
      <c r="F116" s="6">
        <v>2</v>
      </c>
      <c r="G116" s="6">
        <v>2</v>
      </c>
      <c r="H116" s="6">
        <v>1</v>
      </c>
      <c r="I116" s="6">
        <v>2</v>
      </c>
      <c r="J116" s="6">
        <v>2</v>
      </c>
      <c r="K116" s="58">
        <v>13400153.591034999</v>
      </c>
      <c r="L116" s="58">
        <v>3189896.85</v>
      </c>
      <c r="M116" s="58">
        <v>5073114.130187599</v>
      </c>
      <c r="N116" s="58">
        <f t="shared" si="63"/>
        <v>0</v>
      </c>
      <c r="O116" s="60">
        <f t="shared" si="64"/>
        <v>13400153.591034999</v>
      </c>
      <c r="P116" s="57">
        <v>444705.14</v>
      </c>
      <c r="Q116" s="57">
        <v>448255.16</v>
      </c>
      <c r="R116" s="57">
        <v>497824.49</v>
      </c>
      <c r="S116" s="61">
        <v>2941901.46</v>
      </c>
      <c r="T116" s="57">
        <v>0</v>
      </c>
      <c r="U116" s="57">
        <v>0</v>
      </c>
      <c r="V116" s="62">
        <f t="shared" si="62"/>
        <v>4332686.25</v>
      </c>
      <c r="W116" s="63">
        <f t="shared" si="65"/>
        <v>9067467.3410349991</v>
      </c>
      <c r="X116" s="64">
        <f t="shared" si="66"/>
        <v>0</v>
      </c>
      <c r="Y116" s="57">
        <f t="shared" si="67"/>
        <v>105049.65368990957</v>
      </c>
      <c r="Z116" s="57">
        <f t="shared" si="68"/>
        <v>156603.53859557182</v>
      </c>
      <c r="AA116" s="57">
        <f t="shared" si="69"/>
        <v>51553.884905662257</v>
      </c>
      <c r="AB116" s="57">
        <f t="shared" si="70"/>
        <v>0</v>
      </c>
      <c r="AC116" s="57">
        <f t="shared" si="71"/>
        <v>0</v>
      </c>
      <c r="AD116" s="57">
        <f t="shared" si="72"/>
        <v>105049.65</v>
      </c>
      <c r="AE116" s="57">
        <f t="shared" si="73"/>
        <v>0</v>
      </c>
      <c r="AF116" s="57">
        <f t="shared" si="74"/>
        <v>0</v>
      </c>
      <c r="AG116" s="57">
        <f t="shared" si="75"/>
        <v>0</v>
      </c>
      <c r="AH116" s="64">
        <f t="shared" si="76"/>
        <v>0</v>
      </c>
      <c r="AI116" s="112">
        <f t="shared" si="77"/>
        <v>0</v>
      </c>
    </row>
    <row r="117" spans="1:35" ht="25.5" x14ac:dyDescent="0.2">
      <c r="A117" s="37" t="s">
        <v>258</v>
      </c>
      <c r="B117" s="5" t="s">
        <v>399</v>
      </c>
      <c r="C117" s="8" t="s">
        <v>516</v>
      </c>
      <c r="D117" s="6">
        <v>3</v>
      </c>
      <c r="E117" s="6">
        <v>3</v>
      </c>
      <c r="F117" s="6">
        <v>2</v>
      </c>
      <c r="G117" s="6">
        <v>2</v>
      </c>
      <c r="H117" s="6">
        <v>1</v>
      </c>
      <c r="I117" s="6">
        <v>2</v>
      </c>
      <c r="J117" s="6">
        <v>2</v>
      </c>
      <c r="K117" s="58">
        <v>28951101.380817801</v>
      </c>
      <c r="L117" s="58">
        <v>7962642.7299999995</v>
      </c>
      <c r="M117" s="58">
        <v>6465485.367006707</v>
      </c>
      <c r="N117" s="58">
        <f t="shared" si="63"/>
        <v>1497157.3629932925</v>
      </c>
      <c r="O117" s="60">
        <f t="shared" si="64"/>
        <v>27453944.017824508</v>
      </c>
      <c r="P117" s="57">
        <v>368826.13</v>
      </c>
      <c r="Q117" s="57">
        <v>371798.61</v>
      </c>
      <c r="R117" s="57">
        <v>427991.93</v>
      </c>
      <c r="S117" s="61">
        <v>3772649.26</v>
      </c>
      <c r="T117" s="57">
        <v>0</v>
      </c>
      <c r="U117" s="57">
        <v>0</v>
      </c>
      <c r="V117" s="62">
        <f t="shared" si="62"/>
        <v>4941265.93</v>
      </c>
      <c r="W117" s="63">
        <f t="shared" si="65"/>
        <v>22512678.087824509</v>
      </c>
      <c r="X117" s="64">
        <f t="shared" si="66"/>
        <v>0</v>
      </c>
      <c r="Y117" s="57">
        <f t="shared" si="67"/>
        <v>260816.93463132283</v>
      </c>
      <c r="Z117" s="57">
        <f t="shared" si="68"/>
        <v>388814.75049392198</v>
      </c>
      <c r="AA117" s="57">
        <f t="shared" si="69"/>
        <v>127997.81586259915</v>
      </c>
      <c r="AB117" s="57">
        <f t="shared" si="70"/>
        <v>0</v>
      </c>
      <c r="AC117" s="57">
        <f t="shared" si="71"/>
        <v>0</v>
      </c>
      <c r="AD117" s="57">
        <f t="shared" si="72"/>
        <v>260816.93</v>
      </c>
      <c r="AE117" s="57">
        <f t="shared" si="73"/>
        <v>0</v>
      </c>
      <c r="AF117" s="57">
        <f t="shared" si="74"/>
        <v>0</v>
      </c>
      <c r="AG117" s="57">
        <f t="shared" si="75"/>
        <v>0</v>
      </c>
      <c r="AH117" s="64">
        <f t="shared" si="76"/>
        <v>0</v>
      </c>
      <c r="AI117" s="112">
        <f t="shared" si="77"/>
        <v>0</v>
      </c>
    </row>
    <row r="118" spans="1:35" ht="38.25" x14ac:dyDescent="0.2">
      <c r="A118" s="37" t="s">
        <v>293</v>
      </c>
      <c r="B118" s="5" t="s">
        <v>445</v>
      </c>
      <c r="C118" s="8" t="s">
        <v>532</v>
      </c>
      <c r="D118" s="6">
        <v>3</v>
      </c>
      <c r="E118" s="6">
        <v>3</v>
      </c>
      <c r="F118" s="6">
        <v>2</v>
      </c>
      <c r="G118" s="6">
        <v>2</v>
      </c>
      <c r="H118" s="6">
        <v>2</v>
      </c>
      <c r="I118" s="6">
        <v>2</v>
      </c>
      <c r="J118" s="6">
        <v>2</v>
      </c>
      <c r="K118" s="58">
        <v>8765450.2544978894</v>
      </c>
      <c r="L118" s="58">
        <v>9701479.3200000003</v>
      </c>
      <c r="M118" s="58">
        <v>5107953.7838439792</v>
      </c>
      <c r="N118" s="58">
        <f t="shared" si="63"/>
        <v>4593525.5361560211</v>
      </c>
      <c r="O118" s="60">
        <f t="shared" si="64"/>
        <v>4171924.7183418684</v>
      </c>
      <c r="P118" s="57">
        <v>0</v>
      </c>
      <c r="Q118" s="57">
        <v>0</v>
      </c>
      <c r="R118" s="57">
        <v>0</v>
      </c>
      <c r="S118" s="61">
        <v>290182.55</v>
      </c>
      <c r="T118" s="57">
        <v>0</v>
      </c>
      <c r="U118" s="57">
        <v>0</v>
      </c>
      <c r="V118" s="62">
        <f t="shared" si="62"/>
        <v>290182.55</v>
      </c>
      <c r="W118" s="63">
        <f t="shared" si="65"/>
        <v>3881742.1683418686</v>
      </c>
      <c r="X118" s="64">
        <f t="shared" si="66"/>
        <v>0</v>
      </c>
      <c r="Y118" s="57">
        <f t="shared" si="67"/>
        <v>44971.286375902928</v>
      </c>
      <c r="Z118" s="57">
        <f t="shared" si="68"/>
        <v>67041.273667118265</v>
      </c>
      <c r="AA118" s="57">
        <f t="shared" si="69"/>
        <v>22069.987291215337</v>
      </c>
      <c r="AB118" s="57">
        <f t="shared" si="70"/>
        <v>0</v>
      </c>
      <c r="AC118" s="57">
        <f t="shared" si="71"/>
        <v>0</v>
      </c>
      <c r="AD118" s="57">
        <f t="shared" si="72"/>
        <v>44971.29</v>
      </c>
      <c r="AE118" s="57">
        <f t="shared" si="73"/>
        <v>0</v>
      </c>
      <c r="AF118" s="57">
        <f t="shared" si="74"/>
        <v>0</v>
      </c>
      <c r="AG118" s="57">
        <f t="shared" si="75"/>
        <v>0</v>
      </c>
      <c r="AH118" s="64">
        <f t="shared" si="76"/>
        <v>0</v>
      </c>
      <c r="AI118" s="112">
        <f t="shared" si="77"/>
        <v>0</v>
      </c>
    </row>
    <row r="119" spans="1:35" ht="25.5" x14ac:dyDescent="0.2">
      <c r="A119" s="37" t="s">
        <v>192</v>
      </c>
      <c r="B119" s="5" t="s">
        <v>382</v>
      </c>
      <c r="C119" s="8" t="s">
        <v>533</v>
      </c>
      <c r="D119" s="6">
        <v>3</v>
      </c>
      <c r="E119" s="6">
        <v>3</v>
      </c>
      <c r="F119" s="6">
        <v>2</v>
      </c>
      <c r="G119" s="6">
        <v>2</v>
      </c>
      <c r="H119" s="6">
        <v>1</v>
      </c>
      <c r="I119" s="6">
        <v>2</v>
      </c>
      <c r="J119" s="6">
        <v>2</v>
      </c>
      <c r="K119" s="58">
        <v>24523817.3341415</v>
      </c>
      <c r="L119" s="58">
        <v>12728769.07</v>
      </c>
      <c r="M119" s="58">
        <v>6502270.9458383173</v>
      </c>
      <c r="N119" s="58">
        <f t="shared" si="63"/>
        <v>6226498.124161683</v>
      </c>
      <c r="O119" s="60">
        <f t="shared" si="64"/>
        <v>18297319.209979817</v>
      </c>
      <c r="P119" s="57">
        <v>316100.03000000003</v>
      </c>
      <c r="Q119" s="57">
        <v>318653.5</v>
      </c>
      <c r="R119" s="57">
        <v>368204.85</v>
      </c>
      <c r="S119" s="61">
        <v>2498723.31</v>
      </c>
      <c r="T119" s="57">
        <v>0</v>
      </c>
      <c r="U119" s="57">
        <v>0</v>
      </c>
      <c r="V119" s="62">
        <f t="shared" si="62"/>
        <v>3501681.69</v>
      </c>
      <c r="W119" s="63">
        <f t="shared" si="65"/>
        <v>14795637.519979818</v>
      </c>
      <c r="X119" s="64">
        <f t="shared" si="66"/>
        <v>0</v>
      </c>
      <c r="Y119" s="57">
        <f t="shared" si="67"/>
        <v>171412.42853573937</v>
      </c>
      <c r="Z119" s="57">
        <f t="shared" si="68"/>
        <v>255534.32995787027</v>
      </c>
      <c r="AA119" s="57">
        <f t="shared" si="69"/>
        <v>84121.901422130904</v>
      </c>
      <c r="AB119" s="57">
        <f t="shared" si="70"/>
        <v>0</v>
      </c>
      <c r="AC119" s="57">
        <f t="shared" si="71"/>
        <v>0</v>
      </c>
      <c r="AD119" s="57">
        <f t="shared" si="72"/>
        <v>171412.43</v>
      </c>
      <c r="AE119" s="57">
        <f t="shared" si="73"/>
        <v>0</v>
      </c>
      <c r="AF119" s="57">
        <f t="shared" si="74"/>
        <v>0</v>
      </c>
      <c r="AG119" s="57">
        <f t="shared" si="75"/>
        <v>0</v>
      </c>
      <c r="AH119" s="64">
        <f t="shared" si="76"/>
        <v>0</v>
      </c>
      <c r="AI119" s="112">
        <f t="shared" si="77"/>
        <v>0</v>
      </c>
    </row>
    <row r="120" spans="1:35" ht="38.25" x14ac:dyDescent="0.2">
      <c r="A120" s="37" t="s">
        <v>178</v>
      </c>
      <c r="B120" s="5" t="s">
        <v>381</v>
      </c>
      <c r="C120" s="8" t="s">
        <v>534</v>
      </c>
      <c r="D120" s="6">
        <v>3</v>
      </c>
      <c r="E120" s="6">
        <v>3</v>
      </c>
      <c r="F120" s="6">
        <v>2</v>
      </c>
      <c r="G120" s="6">
        <v>2</v>
      </c>
      <c r="H120" s="6">
        <v>1</v>
      </c>
      <c r="I120" s="6">
        <v>2</v>
      </c>
      <c r="J120" s="6">
        <v>2</v>
      </c>
      <c r="K120" s="58">
        <v>11628542.5253154</v>
      </c>
      <c r="L120" s="58">
        <v>5706280.5099999998</v>
      </c>
      <c r="M120" s="58">
        <v>6825774.1773415841</v>
      </c>
      <c r="N120" s="58">
        <f t="shared" si="63"/>
        <v>0</v>
      </c>
      <c r="O120" s="60">
        <f t="shared" si="64"/>
        <v>11628542.5253154</v>
      </c>
      <c r="P120" s="57">
        <v>303411.12</v>
      </c>
      <c r="Q120" s="57">
        <v>305849.40999999997</v>
      </c>
      <c r="R120" s="57">
        <v>363693.76</v>
      </c>
      <c r="S120" s="61">
        <v>2119809.1800000002</v>
      </c>
      <c r="T120" s="57">
        <v>0</v>
      </c>
      <c r="U120" s="57">
        <v>0</v>
      </c>
      <c r="V120" s="62">
        <f t="shared" si="62"/>
        <v>3092763.47</v>
      </c>
      <c r="W120" s="63">
        <f t="shared" si="65"/>
        <v>8535779.0553153995</v>
      </c>
      <c r="X120" s="64">
        <f t="shared" si="66"/>
        <v>0</v>
      </c>
      <c r="Y120" s="57">
        <f t="shared" si="67"/>
        <v>98889.866377187893</v>
      </c>
      <c r="Z120" s="57">
        <f t="shared" si="68"/>
        <v>147420.79066366711</v>
      </c>
      <c r="AA120" s="57">
        <f t="shared" si="69"/>
        <v>48530.924286479218</v>
      </c>
      <c r="AB120" s="57">
        <f t="shared" si="70"/>
        <v>0</v>
      </c>
      <c r="AC120" s="57">
        <f t="shared" si="71"/>
        <v>0</v>
      </c>
      <c r="AD120" s="57">
        <f t="shared" si="72"/>
        <v>98889.87</v>
      </c>
      <c r="AE120" s="57">
        <f t="shared" si="73"/>
        <v>0</v>
      </c>
      <c r="AF120" s="57">
        <f t="shared" si="74"/>
        <v>0</v>
      </c>
      <c r="AG120" s="57">
        <f t="shared" si="75"/>
        <v>0</v>
      </c>
      <c r="AH120" s="64">
        <f t="shared" si="76"/>
        <v>0</v>
      </c>
      <c r="AI120" s="112">
        <f t="shared" si="77"/>
        <v>0</v>
      </c>
    </row>
    <row r="121" spans="1:35" ht="38.25" x14ac:dyDescent="0.2">
      <c r="A121" s="37" t="s">
        <v>206</v>
      </c>
      <c r="B121" s="5" t="s">
        <v>360</v>
      </c>
      <c r="C121" s="8" t="s">
        <v>306</v>
      </c>
      <c r="D121" s="6">
        <v>3</v>
      </c>
      <c r="E121" s="6">
        <v>3</v>
      </c>
      <c r="F121" s="6">
        <v>2</v>
      </c>
      <c r="G121" s="6">
        <v>2</v>
      </c>
      <c r="H121" s="6">
        <v>3</v>
      </c>
      <c r="I121" s="6">
        <v>2</v>
      </c>
      <c r="J121" s="6">
        <v>2</v>
      </c>
      <c r="K121" s="58">
        <v>30874520.2813107</v>
      </c>
      <c r="L121" s="58">
        <v>15192730.32</v>
      </c>
      <c r="M121" s="58">
        <v>7804597.1261896091</v>
      </c>
      <c r="N121" s="58">
        <f t="shared" si="63"/>
        <v>7388133.1938103912</v>
      </c>
      <c r="O121" s="60">
        <f t="shared" si="64"/>
        <v>23486387.087500308</v>
      </c>
      <c r="P121" s="57">
        <v>869087.07</v>
      </c>
      <c r="Q121" s="57">
        <v>876067.3</v>
      </c>
      <c r="R121" s="57">
        <v>985498.09</v>
      </c>
      <c r="S121" s="61">
        <v>5988408.6100000003</v>
      </c>
      <c r="T121" s="57">
        <v>0</v>
      </c>
      <c r="U121" s="57">
        <v>0</v>
      </c>
      <c r="V121" s="62">
        <f t="shared" si="62"/>
        <v>8719061.0700000003</v>
      </c>
      <c r="W121" s="63">
        <f t="shared" si="65"/>
        <v>14767326.017500307</v>
      </c>
      <c r="X121" s="64">
        <f t="shared" si="66"/>
        <v>0</v>
      </c>
      <c r="Y121" s="57">
        <f t="shared" si="67"/>
        <v>171084.43027348435</v>
      </c>
      <c r="Z121" s="57">
        <f t="shared" si="68"/>
        <v>255045.36415248117</v>
      </c>
      <c r="AA121" s="57">
        <f t="shared" si="69"/>
        <v>83960.933878996817</v>
      </c>
      <c r="AB121" s="57">
        <f t="shared" si="70"/>
        <v>0</v>
      </c>
      <c r="AC121" s="57">
        <f t="shared" si="71"/>
        <v>0</v>
      </c>
      <c r="AD121" s="57">
        <f t="shared" si="72"/>
        <v>171084.43</v>
      </c>
      <c r="AE121" s="57">
        <f t="shared" si="73"/>
        <v>0</v>
      </c>
      <c r="AF121" s="57">
        <f t="shared" si="74"/>
        <v>0</v>
      </c>
      <c r="AG121" s="57">
        <f t="shared" si="75"/>
        <v>0</v>
      </c>
      <c r="AH121" s="64">
        <f t="shared" si="76"/>
        <v>0</v>
      </c>
      <c r="AI121" s="112">
        <f t="shared" si="77"/>
        <v>0</v>
      </c>
    </row>
    <row r="122" spans="1:35" ht="38.25" x14ac:dyDescent="0.2">
      <c r="A122" s="37" t="s">
        <v>185</v>
      </c>
      <c r="B122" s="5" t="s">
        <v>346</v>
      </c>
      <c r="C122" s="8" t="s">
        <v>11</v>
      </c>
      <c r="D122" s="6">
        <v>3</v>
      </c>
      <c r="E122" s="6">
        <v>3</v>
      </c>
      <c r="F122" s="6">
        <v>2</v>
      </c>
      <c r="G122" s="6">
        <v>2</v>
      </c>
      <c r="H122" s="6">
        <v>3</v>
      </c>
      <c r="I122" s="6">
        <v>2</v>
      </c>
      <c r="J122" s="6">
        <v>2</v>
      </c>
      <c r="K122" s="58">
        <v>28915688.585498899</v>
      </c>
      <c r="L122" s="58">
        <v>12794997</v>
      </c>
      <c r="M122" s="58">
        <v>7694531.1133393701</v>
      </c>
      <c r="N122" s="58">
        <f t="shared" si="63"/>
        <v>5100465.8866606299</v>
      </c>
      <c r="O122" s="60">
        <f t="shared" si="64"/>
        <v>23815222.698838271</v>
      </c>
      <c r="P122" s="57">
        <v>580659.87</v>
      </c>
      <c r="Q122" s="57">
        <v>585333.99</v>
      </c>
      <c r="R122" s="57">
        <v>680830.55</v>
      </c>
      <c r="S122" s="61">
        <v>4483943.91</v>
      </c>
      <c r="T122" s="57">
        <v>0</v>
      </c>
      <c r="U122" s="57">
        <v>0</v>
      </c>
      <c r="V122" s="62">
        <f t="shared" si="62"/>
        <v>6330768.3200000003</v>
      </c>
      <c r="W122" s="63">
        <f t="shared" si="65"/>
        <v>17484454.378838271</v>
      </c>
      <c r="X122" s="64">
        <f t="shared" si="66"/>
        <v>0</v>
      </c>
      <c r="Y122" s="57">
        <f t="shared" si="67"/>
        <v>202563.2746579411</v>
      </c>
      <c r="Z122" s="57">
        <f t="shared" si="68"/>
        <v>301972.68136246438</v>
      </c>
      <c r="AA122" s="57">
        <f t="shared" si="69"/>
        <v>99409.40670452328</v>
      </c>
      <c r="AB122" s="57">
        <f t="shared" si="70"/>
        <v>0</v>
      </c>
      <c r="AC122" s="57">
        <f t="shared" si="71"/>
        <v>0</v>
      </c>
      <c r="AD122" s="57">
        <f t="shared" si="72"/>
        <v>202563.27</v>
      </c>
      <c r="AE122" s="57">
        <f t="shared" si="73"/>
        <v>0</v>
      </c>
      <c r="AF122" s="57">
        <f t="shared" si="74"/>
        <v>0</v>
      </c>
      <c r="AG122" s="57">
        <f t="shared" si="75"/>
        <v>0</v>
      </c>
      <c r="AH122" s="64">
        <f t="shared" si="76"/>
        <v>0</v>
      </c>
      <c r="AI122" s="112">
        <f t="shared" si="77"/>
        <v>0</v>
      </c>
    </row>
    <row r="123" spans="1:35" ht="25.5" x14ac:dyDescent="0.2">
      <c r="A123" s="37" t="s">
        <v>294</v>
      </c>
      <c r="B123" s="5" t="s">
        <v>295</v>
      </c>
      <c r="C123" s="8" t="s">
        <v>535</v>
      </c>
      <c r="D123" s="6">
        <v>3</v>
      </c>
      <c r="E123" s="6">
        <v>3</v>
      </c>
      <c r="F123" s="6">
        <v>2</v>
      </c>
      <c r="G123" s="6">
        <v>1</v>
      </c>
      <c r="H123" s="6">
        <v>1</v>
      </c>
      <c r="I123" s="6">
        <v>2</v>
      </c>
      <c r="J123" s="6">
        <v>2</v>
      </c>
      <c r="K123" s="58">
        <v>17820491.908296999</v>
      </c>
      <c r="L123" s="58">
        <v>5183946.3</v>
      </c>
      <c r="M123" s="58">
        <v>8154673.0324131493</v>
      </c>
      <c r="N123" s="58">
        <f t="shared" si="63"/>
        <v>0</v>
      </c>
      <c r="O123" s="60">
        <f t="shared" si="64"/>
        <v>17820491.908296999</v>
      </c>
      <c r="P123" s="57">
        <v>250577.79</v>
      </c>
      <c r="Q123" s="57">
        <v>252588.75</v>
      </c>
      <c r="R123" s="57">
        <v>291160.56</v>
      </c>
      <c r="S123" s="61">
        <v>1121770.95</v>
      </c>
      <c r="T123" s="57">
        <v>0</v>
      </c>
      <c r="U123" s="57">
        <v>0</v>
      </c>
      <c r="V123" s="62">
        <f t="shared" si="62"/>
        <v>1916098.05</v>
      </c>
      <c r="W123" s="63">
        <f t="shared" si="65"/>
        <v>15904393.858296998</v>
      </c>
      <c r="X123" s="64">
        <f t="shared" si="66"/>
        <v>0</v>
      </c>
      <c r="Y123" s="57">
        <f t="shared" si="67"/>
        <v>184257.74299743085</v>
      </c>
      <c r="Z123" s="57">
        <f t="shared" si="68"/>
        <v>274683.57632294402</v>
      </c>
      <c r="AA123" s="57">
        <f t="shared" si="69"/>
        <v>90425.833325513173</v>
      </c>
      <c r="AB123" s="57">
        <f t="shared" si="70"/>
        <v>0</v>
      </c>
      <c r="AC123" s="57">
        <f t="shared" si="71"/>
        <v>0</v>
      </c>
      <c r="AD123" s="57">
        <f t="shared" si="72"/>
        <v>184257.74</v>
      </c>
      <c r="AE123" s="57">
        <f t="shared" si="73"/>
        <v>0</v>
      </c>
      <c r="AF123" s="57">
        <f t="shared" si="74"/>
        <v>0</v>
      </c>
      <c r="AG123" s="57">
        <f t="shared" si="75"/>
        <v>0</v>
      </c>
      <c r="AH123" s="64">
        <f t="shared" si="76"/>
        <v>0</v>
      </c>
      <c r="AI123" s="112">
        <f t="shared" si="77"/>
        <v>0</v>
      </c>
    </row>
    <row r="124" spans="1:35" ht="51" x14ac:dyDescent="0.2">
      <c r="A124" s="37" t="s">
        <v>244</v>
      </c>
      <c r="B124" s="5" t="s">
        <v>245</v>
      </c>
      <c r="C124" s="8" t="s">
        <v>533</v>
      </c>
      <c r="D124" s="6">
        <v>3</v>
      </c>
      <c r="E124" s="6">
        <v>3</v>
      </c>
      <c r="F124" s="6">
        <v>2</v>
      </c>
      <c r="G124" s="6">
        <v>2</v>
      </c>
      <c r="H124" s="6">
        <v>1</v>
      </c>
      <c r="I124" s="6">
        <v>2</v>
      </c>
      <c r="J124" s="6">
        <v>2</v>
      </c>
      <c r="K124" s="58">
        <v>29576463.484363701</v>
      </c>
      <c r="L124" s="58">
        <v>11859456.68</v>
      </c>
      <c r="M124" s="58">
        <v>6856131.9820514061</v>
      </c>
      <c r="N124" s="58">
        <f t="shared" si="63"/>
        <v>5003324.6979485936</v>
      </c>
      <c r="O124" s="60">
        <f t="shared" si="64"/>
        <v>24573138.786415108</v>
      </c>
      <c r="P124" s="57">
        <v>624696.61</v>
      </c>
      <c r="Q124" s="57">
        <v>629705.03</v>
      </c>
      <c r="R124" s="57">
        <v>700880.93</v>
      </c>
      <c r="S124" s="61">
        <v>4830463.05</v>
      </c>
      <c r="T124" s="57">
        <v>0</v>
      </c>
      <c r="U124" s="57">
        <v>0</v>
      </c>
      <c r="V124" s="62">
        <f t="shared" si="62"/>
        <v>6785745.6200000001</v>
      </c>
      <c r="W124" s="63">
        <f t="shared" si="65"/>
        <v>17787393.166415107</v>
      </c>
      <c r="X124" s="64">
        <f t="shared" si="66"/>
        <v>0</v>
      </c>
      <c r="Y124" s="57">
        <f t="shared" si="67"/>
        <v>206072.9222284561</v>
      </c>
      <c r="Z124" s="57">
        <f t="shared" si="68"/>
        <v>307204.71411517012</v>
      </c>
      <c r="AA124" s="57">
        <f t="shared" si="69"/>
        <v>101131.79188671403</v>
      </c>
      <c r="AB124" s="57">
        <f t="shared" si="70"/>
        <v>0</v>
      </c>
      <c r="AC124" s="57">
        <f t="shared" si="71"/>
        <v>0</v>
      </c>
      <c r="AD124" s="57">
        <f t="shared" si="72"/>
        <v>206072.92</v>
      </c>
      <c r="AE124" s="57">
        <f t="shared" si="73"/>
        <v>0</v>
      </c>
      <c r="AF124" s="57">
        <f t="shared" si="74"/>
        <v>0</v>
      </c>
      <c r="AG124" s="57">
        <f t="shared" si="75"/>
        <v>0</v>
      </c>
      <c r="AH124" s="64">
        <f t="shared" si="76"/>
        <v>0</v>
      </c>
      <c r="AI124" s="112">
        <f t="shared" si="77"/>
        <v>0</v>
      </c>
    </row>
    <row r="125" spans="1:35" ht="38.25" x14ac:dyDescent="0.2">
      <c r="A125" s="37" t="s">
        <v>232</v>
      </c>
      <c r="B125" s="5" t="s">
        <v>233</v>
      </c>
      <c r="C125" s="8" t="s">
        <v>26</v>
      </c>
      <c r="D125" s="6">
        <v>3</v>
      </c>
      <c r="E125" s="6">
        <v>3</v>
      </c>
      <c r="F125" s="6">
        <v>2</v>
      </c>
      <c r="G125" s="6">
        <v>2</v>
      </c>
      <c r="H125" s="6">
        <v>3</v>
      </c>
      <c r="I125" s="6">
        <v>2</v>
      </c>
      <c r="J125" s="6">
        <v>2</v>
      </c>
      <c r="K125" s="58">
        <v>19653852.119022001</v>
      </c>
      <c r="L125" s="58">
        <v>5451447.2800000003</v>
      </c>
      <c r="M125" s="58">
        <v>8285775.3585970979</v>
      </c>
      <c r="N125" s="58">
        <f t="shared" si="63"/>
        <v>0</v>
      </c>
      <c r="O125" s="60">
        <f t="shared" si="64"/>
        <v>19653852.119022001</v>
      </c>
      <c r="P125" s="57">
        <v>589735.92000000004</v>
      </c>
      <c r="Q125" s="57">
        <v>594453.16</v>
      </c>
      <c r="R125" s="57">
        <v>664947.76</v>
      </c>
      <c r="S125" s="61">
        <v>4123703.3</v>
      </c>
      <c r="T125" s="57">
        <v>0</v>
      </c>
      <c r="U125" s="57">
        <v>0</v>
      </c>
      <c r="V125" s="62">
        <f t="shared" si="62"/>
        <v>5972840.1399999997</v>
      </c>
      <c r="W125" s="63">
        <f t="shared" si="65"/>
        <v>13681011.979022</v>
      </c>
      <c r="X125" s="64">
        <f t="shared" si="66"/>
        <v>0</v>
      </c>
      <c r="Y125" s="57">
        <f t="shared" si="67"/>
        <v>158499.11739077949</v>
      </c>
      <c r="Z125" s="57">
        <f t="shared" si="68"/>
        <v>236283.71704051804</v>
      </c>
      <c r="AA125" s="57">
        <f t="shared" si="69"/>
        <v>77784.599649738549</v>
      </c>
      <c r="AB125" s="57">
        <f t="shared" si="70"/>
        <v>0</v>
      </c>
      <c r="AC125" s="57">
        <f t="shared" si="71"/>
        <v>0</v>
      </c>
      <c r="AD125" s="57">
        <f t="shared" si="72"/>
        <v>158499.12</v>
      </c>
      <c r="AE125" s="57">
        <f t="shared" si="73"/>
        <v>0</v>
      </c>
      <c r="AF125" s="57">
        <f t="shared" si="74"/>
        <v>0</v>
      </c>
      <c r="AG125" s="57">
        <f t="shared" si="75"/>
        <v>0</v>
      </c>
      <c r="AH125" s="64">
        <f t="shared" si="76"/>
        <v>0</v>
      </c>
      <c r="AI125" s="112">
        <f t="shared" si="77"/>
        <v>0</v>
      </c>
    </row>
    <row r="126" spans="1:35" ht="51" x14ac:dyDescent="0.2">
      <c r="A126" s="37" t="s">
        <v>109</v>
      </c>
      <c r="B126" s="5" t="s">
        <v>334</v>
      </c>
      <c r="C126" s="8" t="s">
        <v>536</v>
      </c>
      <c r="D126" s="6">
        <v>3</v>
      </c>
      <c r="E126" s="6">
        <v>3</v>
      </c>
      <c r="F126" s="6">
        <v>1</v>
      </c>
      <c r="G126" s="6">
        <v>1</v>
      </c>
      <c r="H126" s="6">
        <v>1</v>
      </c>
      <c r="I126" s="6">
        <v>2</v>
      </c>
      <c r="J126" s="6">
        <v>2</v>
      </c>
      <c r="K126" s="58">
        <v>17170803.624257602</v>
      </c>
      <c r="L126" s="58">
        <v>5306023.8100000005</v>
      </c>
      <c r="M126" s="58">
        <v>9813248.8372985478</v>
      </c>
      <c r="N126" s="58">
        <f t="shared" si="63"/>
        <v>0</v>
      </c>
      <c r="O126" s="60">
        <f t="shared" si="64"/>
        <v>17170803.624257602</v>
      </c>
      <c r="P126" s="57">
        <v>855998.84</v>
      </c>
      <c r="Q126" s="57">
        <v>862825.34</v>
      </c>
      <c r="R126" s="57">
        <v>952091.05</v>
      </c>
      <c r="S126" s="61">
        <v>5647683.4500000002</v>
      </c>
      <c r="T126" s="57">
        <v>1349602.01</v>
      </c>
      <c r="U126" s="57">
        <v>0</v>
      </c>
      <c r="V126" s="62">
        <f t="shared" si="62"/>
        <v>9668200.6899999995</v>
      </c>
      <c r="W126" s="63">
        <f t="shared" si="65"/>
        <v>7502602.9342576023</v>
      </c>
      <c r="X126" s="64">
        <f t="shared" si="66"/>
        <v>0</v>
      </c>
      <c r="Y126" s="57">
        <f t="shared" si="67"/>
        <v>86920.174109686748</v>
      </c>
      <c r="Z126" s="57">
        <f t="shared" si="68"/>
        <v>129576.88448074949</v>
      </c>
      <c r="AA126" s="57">
        <f t="shared" si="69"/>
        <v>42656.710371062742</v>
      </c>
      <c r="AB126" s="57">
        <f t="shared" si="70"/>
        <v>42656.710371062742</v>
      </c>
      <c r="AC126" s="57">
        <f t="shared" si="71"/>
        <v>0</v>
      </c>
      <c r="AD126" s="57">
        <f t="shared" si="72"/>
        <v>129576.88</v>
      </c>
      <c r="AE126" s="57">
        <f t="shared" si="73"/>
        <v>42656.710371062742</v>
      </c>
      <c r="AF126" s="57">
        <f t="shared" si="74"/>
        <v>0</v>
      </c>
      <c r="AG126" s="57">
        <f t="shared" si="75"/>
        <v>42656.710371062742</v>
      </c>
      <c r="AH126" s="64">
        <f t="shared" si="76"/>
        <v>0</v>
      </c>
      <c r="AI126" s="112">
        <f t="shared" si="77"/>
        <v>42656.71</v>
      </c>
    </row>
    <row r="127" spans="1:35" ht="51" x14ac:dyDescent="0.2">
      <c r="A127" s="37" t="s">
        <v>296</v>
      </c>
      <c r="B127" s="5" t="s">
        <v>297</v>
      </c>
      <c r="C127" s="8" t="s">
        <v>537</v>
      </c>
      <c r="D127" s="6">
        <v>3</v>
      </c>
      <c r="E127" s="6">
        <v>3</v>
      </c>
      <c r="F127" s="6">
        <v>2</v>
      </c>
      <c r="G127" s="6">
        <v>2</v>
      </c>
      <c r="H127" s="6">
        <v>2</v>
      </c>
      <c r="I127" s="6">
        <v>2</v>
      </c>
      <c r="J127" s="6">
        <v>2</v>
      </c>
      <c r="K127" s="58">
        <v>3357636.4822673602</v>
      </c>
      <c r="L127" s="58">
        <v>2886404.87</v>
      </c>
      <c r="M127" s="58">
        <v>5633802.8786658896</v>
      </c>
      <c r="N127" s="58">
        <f t="shared" si="63"/>
        <v>0</v>
      </c>
      <c r="O127" s="60">
        <f t="shared" si="64"/>
        <v>3357636.4822673602</v>
      </c>
      <c r="P127" s="57">
        <v>0</v>
      </c>
      <c r="Q127" s="57">
        <v>0</v>
      </c>
      <c r="R127" s="57">
        <v>0</v>
      </c>
      <c r="S127" s="61">
        <v>478167.63</v>
      </c>
      <c r="T127" s="57">
        <v>0</v>
      </c>
      <c r="U127" s="57">
        <v>0</v>
      </c>
      <c r="V127" s="62">
        <f t="shared" si="62"/>
        <v>478167.63</v>
      </c>
      <c r="W127" s="63">
        <f t="shared" si="65"/>
        <v>2879468.8522673603</v>
      </c>
      <c r="X127" s="64">
        <f t="shared" si="66"/>
        <v>0</v>
      </c>
      <c r="Y127" s="57">
        <f t="shared" si="67"/>
        <v>33359.613480233435</v>
      </c>
      <c r="Z127" s="57">
        <f t="shared" si="68"/>
        <v>49731.087477986635</v>
      </c>
      <c r="AA127" s="57">
        <f t="shared" si="69"/>
        <v>16371.473997753201</v>
      </c>
      <c r="AB127" s="57">
        <f t="shared" si="70"/>
        <v>0</v>
      </c>
      <c r="AC127" s="57">
        <f t="shared" si="71"/>
        <v>0</v>
      </c>
      <c r="AD127" s="57">
        <f t="shared" si="72"/>
        <v>33359.61</v>
      </c>
      <c r="AE127" s="57">
        <f t="shared" si="73"/>
        <v>0</v>
      </c>
      <c r="AF127" s="57">
        <f t="shared" si="74"/>
        <v>0</v>
      </c>
      <c r="AG127" s="57">
        <f t="shared" si="75"/>
        <v>0</v>
      </c>
      <c r="AH127" s="64">
        <f t="shared" si="76"/>
        <v>0</v>
      </c>
      <c r="AI127" s="112">
        <f t="shared" si="77"/>
        <v>0</v>
      </c>
    </row>
    <row r="128" spans="1:35" ht="51" x14ac:dyDescent="0.2">
      <c r="A128" s="37" t="s">
        <v>170</v>
      </c>
      <c r="B128" s="5" t="s">
        <v>390</v>
      </c>
      <c r="C128" s="8" t="s">
        <v>530</v>
      </c>
      <c r="D128" s="6">
        <v>3</v>
      </c>
      <c r="E128" s="6">
        <v>3</v>
      </c>
      <c r="F128" s="6">
        <v>2</v>
      </c>
      <c r="G128" s="6">
        <v>2</v>
      </c>
      <c r="H128" s="6">
        <v>1</v>
      </c>
      <c r="I128" s="6">
        <v>2</v>
      </c>
      <c r="J128" s="6">
        <v>2</v>
      </c>
      <c r="K128" s="58">
        <v>46863115.512012899</v>
      </c>
      <c r="L128" s="58">
        <v>10021321.440000001</v>
      </c>
      <c r="M128" s="58">
        <v>9940624.5508718286</v>
      </c>
      <c r="N128" s="58">
        <f t="shared" si="63"/>
        <v>80696.88912817277</v>
      </c>
      <c r="O128" s="60">
        <f t="shared" si="64"/>
        <v>46782418.622884728</v>
      </c>
      <c r="P128" s="57">
        <v>635197.6</v>
      </c>
      <c r="Q128" s="57">
        <v>640326.91</v>
      </c>
      <c r="R128" s="57">
        <v>772161.53</v>
      </c>
      <c r="S128" s="61">
        <v>3928932.42</v>
      </c>
      <c r="T128" s="57">
        <v>0</v>
      </c>
      <c r="U128" s="57">
        <v>0</v>
      </c>
      <c r="V128" s="62">
        <f t="shared" si="62"/>
        <v>5976618.46</v>
      </c>
      <c r="W128" s="63">
        <f t="shared" si="65"/>
        <v>40805800.162884727</v>
      </c>
      <c r="X128" s="64">
        <f t="shared" si="66"/>
        <v>0</v>
      </c>
      <c r="Y128" s="57">
        <f t="shared" si="67"/>
        <v>472748.89607282571</v>
      </c>
      <c r="Z128" s="57">
        <f t="shared" si="68"/>
        <v>704753.87011452857</v>
      </c>
      <c r="AA128" s="57">
        <f t="shared" si="69"/>
        <v>232004.97404170287</v>
      </c>
      <c r="AB128" s="57">
        <f t="shared" si="70"/>
        <v>0</v>
      </c>
      <c r="AC128" s="57">
        <f t="shared" si="71"/>
        <v>0</v>
      </c>
      <c r="AD128" s="57">
        <f t="shared" si="72"/>
        <v>472748.9</v>
      </c>
      <c r="AE128" s="57">
        <f t="shared" si="73"/>
        <v>0</v>
      </c>
      <c r="AF128" s="57">
        <f t="shared" si="74"/>
        <v>0</v>
      </c>
      <c r="AG128" s="57">
        <f t="shared" si="75"/>
        <v>0</v>
      </c>
      <c r="AH128" s="64">
        <f t="shared" si="76"/>
        <v>0</v>
      </c>
      <c r="AI128" s="112">
        <f t="shared" si="77"/>
        <v>0</v>
      </c>
    </row>
    <row r="129" spans="1:35" ht="38.25" x14ac:dyDescent="0.2">
      <c r="A129" s="37" t="s">
        <v>182</v>
      </c>
      <c r="B129" s="5" t="s">
        <v>442</v>
      </c>
      <c r="C129" s="8" t="s">
        <v>14</v>
      </c>
      <c r="D129" s="6">
        <v>3</v>
      </c>
      <c r="E129" s="6">
        <v>3</v>
      </c>
      <c r="F129" s="6">
        <v>2</v>
      </c>
      <c r="G129" s="6">
        <v>2</v>
      </c>
      <c r="H129" s="6">
        <v>3</v>
      </c>
      <c r="I129" s="6">
        <v>2</v>
      </c>
      <c r="J129" s="6">
        <v>2</v>
      </c>
      <c r="K129" s="58">
        <v>42440621.048363402</v>
      </c>
      <c r="L129" s="58">
        <v>17964047.41</v>
      </c>
      <c r="M129" s="58">
        <v>10002231.943830702</v>
      </c>
      <c r="N129" s="58">
        <f t="shared" si="63"/>
        <v>7961815.4661692977</v>
      </c>
      <c r="O129" s="60">
        <f t="shared" si="64"/>
        <v>34478805.582194105</v>
      </c>
      <c r="P129" s="57">
        <v>1583084.32</v>
      </c>
      <c r="Q129" s="57">
        <v>1595702.2</v>
      </c>
      <c r="R129" s="57">
        <v>1766031.81</v>
      </c>
      <c r="S129" s="61">
        <v>7476736.3200000003</v>
      </c>
      <c r="T129" s="57">
        <v>0</v>
      </c>
      <c r="U129" s="57">
        <v>0</v>
      </c>
      <c r="V129" s="62">
        <f t="shared" si="62"/>
        <v>12421554.65</v>
      </c>
      <c r="W129" s="63">
        <f t="shared" si="65"/>
        <v>22057250.932194106</v>
      </c>
      <c r="X129" s="64">
        <f t="shared" si="66"/>
        <v>0</v>
      </c>
      <c r="Y129" s="57">
        <f t="shared" si="67"/>
        <v>255540.65811655205</v>
      </c>
      <c r="Z129" s="57">
        <f t="shared" si="68"/>
        <v>380949.10273785342</v>
      </c>
      <c r="AA129" s="57">
        <f t="shared" si="69"/>
        <v>125408.44462130137</v>
      </c>
      <c r="AB129" s="57">
        <f t="shared" si="70"/>
        <v>0</v>
      </c>
      <c r="AC129" s="57">
        <f t="shared" si="71"/>
        <v>0</v>
      </c>
      <c r="AD129" s="57">
        <f t="shared" si="72"/>
        <v>255540.66</v>
      </c>
      <c r="AE129" s="57">
        <f t="shared" si="73"/>
        <v>0</v>
      </c>
      <c r="AF129" s="57">
        <f t="shared" si="74"/>
        <v>0</v>
      </c>
      <c r="AG129" s="57">
        <f t="shared" si="75"/>
        <v>0</v>
      </c>
      <c r="AH129" s="64">
        <f t="shared" si="76"/>
        <v>0</v>
      </c>
      <c r="AI129" s="112">
        <f t="shared" si="77"/>
        <v>0</v>
      </c>
    </row>
    <row r="130" spans="1:35" ht="51" x14ac:dyDescent="0.2">
      <c r="A130" s="37" t="s">
        <v>264</v>
      </c>
      <c r="B130" s="5" t="s">
        <v>364</v>
      </c>
      <c r="C130" s="8" t="s">
        <v>49</v>
      </c>
      <c r="D130" s="6">
        <v>3</v>
      </c>
      <c r="E130" s="6">
        <v>3</v>
      </c>
      <c r="F130" s="6">
        <v>2</v>
      </c>
      <c r="G130" s="6">
        <v>2</v>
      </c>
      <c r="H130" s="6">
        <v>1</v>
      </c>
      <c r="I130" s="6">
        <v>2</v>
      </c>
      <c r="J130" s="6">
        <v>2</v>
      </c>
      <c r="K130" s="58">
        <v>34121271.704674304</v>
      </c>
      <c r="L130" s="58">
        <v>8418375.5700000003</v>
      </c>
      <c r="M130" s="58">
        <v>9824023.3859852478</v>
      </c>
      <c r="N130" s="58">
        <f t="shared" si="63"/>
        <v>0</v>
      </c>
      <c r="O130" s="60">
        <f t="shared" si="64"/>
        <v>34121271.704674304</v>
      </c>
      <c r="P130" s="57">
        <v>577067.65</v>
      </c>
      <c r="Q130" s="57">
        <v>581707.18000000005</v>
      </c>
      <c r="R130" s="57">
        <v>664435.9</v>
      </c>
      <c r="S130" s="61">
        <v>3003849.82</v>
      </c>
      <c r="T130" s="57">
        <v>0</v>
      </c>
      <c r="U130" s="57">
        <v>0</v>
      </c>
      <c r="V130" s="62">
        <f t="shared" si="62"/>
        <v>4827060.55</v>
      </c>
      <c r="W130" s="63">
        <f t="shared" si="65"/>
        <v>29294211.154674303</v>
      </c>
      <c r="X130" s="64">
        <f t="shared" si="66"/>
        <v>0</v>
      </c>
      <c r="Y130" s="57">
        <f t="shared" si="67"/>
        <v>339383.27221660112</v>
      </c>
      <c r="Z130" s="57">
        <f t="shared" si="68"/>
        <v>505938.09215354972</v>
      </c>
      <c r="AA130" s="57">
        <f t="shared" si="69"/>
        <v>166554.8199369486</v>
      </c>
      <c r="AB130" s="57">
        <f t="shared" si="70"/>
        <v>0</v>
      </c>
      <c r="AC130" s="57">
        <f t="shared" si="71"/>
        <v>0</v>
      </c>
      <c r="AD130" s="57">
        <f t="shared" si="72"/>
        <v>339383.27</v>
      </c>
      <c r="AE130" s="57">
        <f t="shared" si="73"/>
        <v>0</v>
      </c>
      <c r="AF130" s="57">
        <f t="shared" si="74"/>
        <v>0</v>
      </c>
      <c r="AG130" s="57">
        <f t="shared" si="75"/>
        <v>0</v>
      </c>
      <c r="AH130" s="64">
        <f t="shared" si="76"/>
        <v>0</v>
      </c>
      <c r="AI130" s="112">
        <f t="shared" si="77"/>
        <v>0</v>
      </c>
    </row>
    <row r="131" spans="1:35" ht="51" x14ac:dyDescent="0.2">
      <c r="A131" s="37" t="s">
        <v>230</v>
      </c>
      <c r="B131" s="5" t="s">
        <v>363</v>
      </c>
      <c r="C131" s="8" t="s">
        <v>49</v>
      </c>
      <c r="D131" s="6">
        <v>3</v>
      </c>
      <c r="E131" s="6">
        <v>3</v>
      </c>
      <c r="F131" s="6">
        <v>2</v>
      </c>
      <c r="G131" s="6">
        <v>2</v>
      </c>
      <c r="H131" s="6">
        <v>1</v>
      </c>
      <c r="I131" s="6">
        <v>2</v>
      </c>
      <c r="J131" s="6">
        <v>2</v>
      </c>
      <c r="K131" s="58">
        <v>33156641.2324651</v>
      </c>
      <c r="L131" s="58">
        <v>12416975.99</v>
      </c>
      <c r="M131" s="58">
        <v>10280090.244548522</v>
      </c>
      <c r="N131" s="58">
        <f t="shared" si="63"/>
        <v>2136885.7454514783</v>
      </c>
      <c r="O131" s="60">
        <f t="shared" si="64"/>
        <v>31019755.487013623</v>
      </c>
      <c r="P131" s="57">
        <v>578744.99</v>
      </c>
      <c r="Q131" s="57">
        <v>583426.63</v>
      </c>
      <c r="R131" s="57">
        <v>684288.48</v>
      </c>
      <c r="S131" s="61">
        <v>5567406.9299999997</v>
      </c>
      <c r="T131" s="57">
        <v>0</v>
      </c>
      <c r="U131" s="57">
        <v>0</v>
      </c>
      <c r="V131" s="62">
        <f t="shared" si="62"/>
        <v>7413867.0299999993</v>
      </c>
      <c r="W131" s="63">
        <f t="shared" si="65"/>
        <v>23605888.457013622</v>
      </c>
      <c r="X131" s="64">
        <f t="shared" si="66"/>
        <v>0</v>
      </c>
      <c r="Y131" s="57">
        <f t="shared" si="67"/>
        <v>273482.14382086333</v>
      </c>
      <c r="Z131" s="57">
        <f t="shared" si="68"/>
        <v>407695.50360891974</v>
      </c>
      <c r="AA131" s="57">
        <f t="shared" si="69"/>
        <v>134213.3597880564</v>
      </c>
      <c r="AB131" s="57">
        <f t="shared" si="70"/>
        <v>0</v>
      </c>
      <c r="AC131" s="57">
        <f t="shared" si="71"/>
        <v>0</v>
      </c>
      <c r="AD131" s="57">
        <f t="shared" si="72"/>
        <v>273482.14</v>
      </c>
      <c r="AE131" s="57">
        <f t="shared" si="73"/>
        <v>0</v>
      </c>
      <c r="AF131" s="57">
        <f t="shared" si="74"/>
        <v>0</v>
      </c>
      <c r="AG131" s="57">
        <f t="shared" si="75"/>
        <v>0</v>
      </c>
      <c r="AH131" s="64">
        <f t="shared" si="76"/>
        <v>0</v>
      </c>
      <c r="AI131" s="112">
        <f t="shared" si="77"/>
        <v>0</v>
      </c>
    </row>
    <row r="132" spans="1:35" ht="38.25" x14ac:dyDescent="0.2">
      <c r="A132" s="37" t="s">
        <v>254</v>
      </c>
      <c r="B132" s="5" t="s">
        <v>362</v>
      </c>
      <c r="C132" s="8" t="s">
        <v>524</v>
      </c>
      <c r="D132" s="6">
        <v>3</v>
      </c>
      <c r="E132" s="6">
        <v>3</v>
      </c>
      <c r="F132" s="6">
        <v>2</v>
      </c>
      <c r="G132" s="6">
        <v>2</v>
      </c>
      <c r="H132" s="6">
        <v>1</v>
      </c>
      <c r="I132" s="6">
        <v>2</v>
      </c>
      <c r="J132" s="6">
        <v>2</v>
      </c>
      <c r="K132" s="58">
        <v>32146021.254919101</v>
      </c>
      <c r="L132" s="58">
        <v>10161650.629999999</v>
      </c>
      <c r="M132" s="58">
        <v>10045479.95966582</v>
      </c>
      <c r="N132" s="58">
        <f t="shared" si="63"/>
        <v>116170.67033417895</v>
      </c>
      <c r="O132" s="60">
        <f t="shared" si="64"/>
        <v>32029850.584584922</v>
      </c>
      <c r="P132" s="57">
        <v>816117.35</v>
      </c>
      <c r="Q132" s="57">
        <v>822706.56</v>
      </c>
      <c r="R132" s="57">
        <v>963775.97</v>
      </c>
      <c r="S132" s="61">
        <v>6263334.8200000003</v>
      </c>
      <c r="T132" s="57">
        <v>0</v>
      </c>
      <c r="U132" s="57">
        <v>0</v>
      </c>
      <c r="V132" s="62">
        <f t="shared" si="62"/>
        <v>8865934.6999999993</v>
      </c>
      <c r="W132" s="63">
        <f t="shared" si="65"/>
        <v>23163915.884584922</v>
      </c>
      <c r="X132" s="64">
        <f t="shared" si="66"/>
        <v>0</v>
      </c>
      <c r="Y132" s="57">
        <f t="shared" si="67"/>
        <v>268361.74317007104</v>
      </c>
      <c r="Z132" s="57">
        <f t="shared" si="68"/>
        <v>400062.22893570521</v>
      </c>
      <c r="AA132" s="57">
        <f t="shared" si="69"/>
        <v>131700.48576563416</v>
      </c>
      <c r="AB132" s="57">
        <f t="shared" si="70"/>
        <v>0</v>
      </c>
      <c r="AC132" s="57">
        <f t="shared" si="71"/>
        <v>0</v>
      </c>
      <c r="AD132" s="57">
        <f t="shared" si="72"/>
        <v>268361.74</v>
      </c>
      <c r="AE132" s="57">
        <f t="shared" si="73"/>
        <v>0</v>
      </c>
      <c r="AF132" s="57">
        <f t="shared" si="74"/>
        <v>0</v>
      </c>
      <c r="AG132" s="57">
        <f t="shared" si="75"/>
        <v>0</v>
      </c>
      <c r="AH132" s="64">
        <f t="shared" si="76"/>
        <v>0</v>
      </c>
      <c r="AI132" s="112">
        <f t="shared" si="77"/>
        <v>0</v>
      </c>
    </row>
    <row r="133" spans="1:35" ht="51" x14ac:dyDescent="0.2">
      <c r="A133" s="37" t="s">
        <v>166</v>
      </c>
      <c r="B133" s="5" t="s">
        <v>357</v>
      </c>
      <c r="C133" s="8" t="s">
        <v>49</v>
      </c>
      <c r="D133" s="6">
        <v>3</v>
      </c>
      <c r="E133" s="6">
        <v>3</v>
      </c>
      <c r="F133" s="6">
        <v>2</v>
      </c>
      <c r="G133" s="6">
        <v>2</v>
      </c>
      <c r="H133" s="6">
        <v>1</v>
      </c>
      <c r="I133" s="6">
        <v>2</v>
      </c>
      <c r="J133" s="6">
        <v>2</v>
      </c>
      <c r="K133" s="58">
        <v>15646585.563542699</v>
      </c>
      <c r="L133" s="58">
        <v>7399280.7199999997</v>
      </c>
      <c r="M133" s="58">
        <v>10699983.806403393</v>
      </c>
      <c r="N133" s="58">
        <f t="shared" si="63"/>
        <v>0</v>
      </c>
      <c r="O133" s="60">
        <f t="shared" si="64"/>
        <v>15646585.563542699</v>
      </c>
      <c r="P133" s="57">
        <v>745364.72</v>
      </c>
      <c r="Q133" s="57">
        <v>751317.01</v>
      </c>
      <c r="R133" s="57">
        <v>811837.07</v>
      </c>
      <c r="S133" s="61">
        <v>3375101.24</v>
      </c>
      <c r="T133" s="57">
        <v>0</v>
      </c>
      <c r="U133" s="57">
        <v>0</v>
      </c>
      <c r="V133" s="62">
        <f t="shared" si="62"/>
        <v>5683620.04</v>
      </c>
      <c r="W133" s="63">
        <f t="shared" si="65"/>
        <v>9962965.5235426985</v>
      </c>
      <c r="X133" s="64">
        <f t="shared" si="66"/>
        <v>0</v>
      </c>
      <c r="Y133" s="57">
        <f t="shared" si="67"/>
        <v>115424.30081178599</v>
      </c>
      <c r="Z133" s="57">
        <f t="shared" si="68"/>
        <v>172069.61957630591</v>
      </c>
      <c r="AA133" s="57">
        <f t="shared" si="69"/>
        <v>56645.318764519921</v>
      </c>
      <c r="AB133" s="57">
        <f t="shared" si="70"/>
        <v>0</v>
      </c>
      <c r="AC133" s="57">
        <f t="shared" si="71"/>
        <v>0</v>
      </c>
      <c r="AD133" s="57">
        <f t="shared" si="72"/>
        <v>115424.3</v>
      </c>
      <c r="AE133" s="57">
        <f t="shared" si="73"/>
        <v>0</v>
      </c>
      <c r="AF133" s="57">
        <f t="shared" si="74"/>
        <v>0</v>
      </c>
      <c r="AG133" s="57">
        <f t="shared" si="75"/>
        <v>0</v>
      </c>
      <c r="AH133" s="64">
        <f t="shared" si="76"/>
        <v>0</v>
      </c>
      <c r="AI133" s="112">
        <f t="shared" si="77"/>
        <v>0</v>
      </c>
    </row>
    <row r="134" spans="1:35" ht="38.25" x14ac:dyDescent="0.2">
      <c r="A134" s="37" t="s">
        <v>186</v>
      </c>
      <c r="B134" s="5" t="s">
        <v>443</v>
      </c>
      <c r="C134" s="8" t="s">
        <v>14</v>
      </c>
      <c r="D134" s="6">
        <v>3</v>
      </c>
      <c r="E134" s="6">
        <v>3</v>
      </c>
      <c r="F134" s="6">
        <v>2</v>
      </c>
      <c r="G134" s="6">
        <v>2</v>
      </c>
      <c r="H134" s="6">
        <v>3</v>
      </c>
      <c r="I134" s="6">
        <v>2</v>
      </c>
      <c r="J134" s="6">
        <v>2</v>
      </c>
      <c r="K134" s="58">
        <v>26937061.783325698</v>
      </c>
      <c r="L134" s="58">
        <v>12619667.609999999</v>
      </c>
      <c r="M134" s="58">
        <v>10812352.935031405</v>
      </c>
      <c r="N134" s="58">
        <f t="shared" si="63"/>
        <v>1807314.6749685947</v>
      </c>
      <c r="O134" s="60">
        <f t="shared" si="64"/>
        <v>25129747.108357102</v>
      </c>
      <c r="P134" s="57">
        <v>1030825.96</v>
      </c>
      <c r="Q134" s="57">
        <v>1039036.69</v>
      </c>
      <c r="R134" s="57">
        <v>1142654.79</v>
      </c>
      <c r="S134" s="61">
        <v>7235133.46</v>
      </c>
      <c r="T134" s="57">
        <v>0</v>
      </c>
      <c r="U134" s="57">
        <v>0</v>
      </c>
      <c r="V134" s="62">
        <f t="shared" si="62"/>
        <v>10447650.9</v>
      </c>
      <c r="W134" s="63">
        <f t="shared" si="65"/>
        <v>14682096.208357101</v>
      </c>
      <c r="X134" s="64">
        <f t="shared" si="66"/>
        <v>0</v>
      </c>
      <c r="Y134" s="57">
        <f t="shared" si="67"/>
        <v>170097.01431731845</v>
      </c>
      <c r="Z134" s="57">
        <f t="shared" si="68"/>
        <v>253573.36660303886</v>
      </c>
      <c r="AA134" s="57">
        <f t="shared" si="69"/>
        <v>83476.352285720408</v>
      </c>
      <c r="AB134" s="57">
        <f t="shared" si="70"/>
        <v>0</v>
      </c>
      <c r="AC134" s="57">
        <f t="shared" si="71"/>
        <v>0</v>
      </c>
      <c r="AD134" s="57">
        <f t="shared" si="72"/>
        <v>170097.01</v>
      </c>
      <c r="AE134" s="57">
        <f t="shared" si="73"/>
        <v>0</v>
      </c>
      <c r="AF134" s="57">
        <f t="shared" si="74"/>
        <v>0</v>
      </c>
      <c r="AG134" s="57">
        <f t="shared" si="75"/>
        <v>0</v>
      </c>
      <c r="AH134" s="64">
        <f t="shared" si="76"/>
        <v>0</v>
      </c>
      <c r="AI134" s="112">
        <f t="shared" si="77"/>
        <v>0</v>
      </c>
    </row>
    <row r="135" spans="1:35" ht="38.25" x14ac:dyDescent="0.2">
      <c r="A135" s="37" t="s">
        <v>249</v>
      </c>
      <c r="B135" s="5" t="s">
        <v>378</v>
      </c>
      <c r="C135" s="8" t="s">
        <v>308</v>
      </c>
      <c r="D135" s="6">
        <v>3</v>
      </c>
      <c r="E135" s="6">
        <v>3</v>
      </c>
      <c r="F135" s="6">
        <v>2</v>
      </c>
      <c r="G135" s="6">
        <v>2</v>
      </c>
      <c r="H135" s="6">
        <v>1</v>
      </c>
      <c r="I135" s="6">
        <v>2</v>
      </c>
      <c r="J135" s="6">
        <v>2</v>
      </c>
      <c r="K135" s="58">
        <v>47037431.056870297</v>
      </c>
      <c r="L135" s="58">
        <v>10502936.039999999</v>
      </c>
      <c r="M135" s="58">
        <v>12645077.942931786</v>
      </c>
      <c r="N135" s="58">
        <f t="shared" ref="N135:N166" si="78">IF(L135-M135&gt;0,L135-M135,0)</f>
        <v>0</v>
      </c>
      <c r="O135" s="60">
        <f t="shared" ref="O135:O166" si="79">MAX(K135-N135,0)</f>
        <v>47037431.056870297</v>
      </c>
      <c r="P135" s="57">
        <v>465951.43</v>
      </c>
      <c r="Q135" s="57">
        <v>469756.46</v>
      </c>
      <c r="R135" s="57">
        <v>608926.01</v>
      </c>
      <c r="S135" s="61">
        <v>2768084.87</v>
      </c>
      <c r="T135" s="57">
        <v>0</v>
      </c>
      <c r="U135" s="57">
        <v>0</v>
      </c>
      <c r="V135" s="62">
        <f t="shared" si="62"/>
        <v>4312718.7699999996</v>
      </c>
      <c r="W135" s="63">
        <f t="shared" ref="W135:W166" si="80">MAX(O135-V135,0)</f>
        <v>42724712.286870301</v>
      </c>
      <c r="X135" s="64">
        <f t="shared" ref="X135:X166" si="81">IF(D135=1,W135,0)/SUMIF(D:D,1,W:W)</f>
        <v>0</v>
      </c>
      <c r="Y135" s="57">
        <f t="shared" ref="Y135:Y166" si="82">W135/$W$4*$Y$4</f>
        <v>494980.13733396534</v>
      </c>
      <c r="Z135" s="57">
        <f t="shared" ref="Z135:Z166" si="83">Y135/FedShr_Enhanced</f>
        <v>737895.25541736046</v>
      </c>
      <c r="AA135" s="57">
        <f t="shared" ref="AA135:AA166" si="84">Z135-Y135</f>
        <v>242915.11808339512</v>
      </c>
      <c r="AB135" s="57">
        <f t="shared" ref="AB135:AB166" si="85">IF(F135=2,0,AA135)</f>
        <v>0</v>
      </c>
      <c r="AC135" s="57">
        <f t="shared" ref="AC135:AC166" si="86">$AA$2*X135</f>
        <v>0</v>
      </c>
      <c r="AD135" s="57">
        <f t="shared" ref="AD135:AD166" si="87">ROUND(IF(F135=2,Y135,Y135+AB135+AC135),2)</f>
        <v>494980.14</v>
      </c>
      <c r="AE135" s="57">
        <f t="shared" ref="AE135:AE166" si="88">AB135+AC135</f>
        <v>0</v>
      </c>
      <c r="AF135" s="57">
        <f t="shared" ref="AF135:AF166" si="89">$AF$4*X135</f>
        <v>0</v>
      </c>
      <c r="AG135" s="57">
        <f t="shared" ref="AG135:AG166" si="90">AE135-AF135</f>
        <v>0</v>
      </c>
      <c r="AH135" s="64">
        <f t="shared" ref="AH135:AH166" si="91">IF(E135=1,W135,0)/(SUMIF(E:E,1,W:W))</f>
        <v>0</v>
      </c>
      <c r="AI135" s="112">
        <f t="shared" ref="AI135:AI166" si="92">ROUND(AG135+$AG$8*AH135,2)</f>
        <v>0</v>
      </c>
    </row>
    <row r="136" spans="1:35" ht="38.25" x14ac:dyDescent="0.2">
      <c r="A136" s="37" t="s">
        <v>159</v>
      </c>
      <c r="B136" s="5" t="s">
        <v>344</v>
      </c>
      <c r="C136" s="8" t="s">
        <v>11</v>
      </c>
      <c r="D136" s="6">
        <v>3</v>
      </c>
      <c r="E136" s="6">
        <v>3</v>
      </c>
      <c r="F136" s="6">
        <v>2</v>
      </c>
      <c r="G136" s="6">
        <v>2</v>
      </c>
      <c r="H136" s="6">
        <v>3</v>
      </c>
      <c r="I136" s="6">
        <v>2</v>
      </c>
      <c r="J136" s="6">
        <v>2</v>
      </c>
      <c r="K136" s="58">
        <v>37977627.649305299</v>
      </c>
      <c r="L136" s="58">
        <v>20894197.369999997</v>
      </c>
      <c r="M136" s="58">
        <v>12602149.847720997</v>
      </c>
      <c r="N136" s="58">
        <f t="shared" si="78"/>
        <v>8292047.5222789999</v>
      </c>
      <c r="O136" s="60">
        <f t="shared" si="79"/>
        <v>29685580.127026297</v>
      </c>
      <c r="P136" s="57">
        <v>1114087.53</v>
      </c>
      <c r="Q136" s="57">
        <v>1123005.3999999999</v>
      </c>
      <c r="R136" s="57">
        <v>1277436.0900000001</v>
      </c>
      <c r="S136" s="61">
        <v>5306947.7</v>
      </c>
      <c r="T136" s="57">
        <v>0</v>
      </c>
      <c r="U136" s="57">
        <v>0</v>
      </c>
      <c r="V136" s="62">
        <f t="shared" ref="V136:V189" si="93">SUM(P136:T136)-U136</f>
        <v>8821476.7199999988</v>
      </c>
      <c r="W136" s="63">
        <f t="shared" si="80"/>
        <v>20864103.407026298</v>
      </c>
      <c r="X136" s="64">
        <f t="shared" si="81"/>
        <v>0</v>
      </c>
      <c r="Y136" s="57">
        <f t="shared" si="82"/>
        <v>241717.64341953475</v>
      </c>
      <c r="Z136" s="57">
        <f t="shared" si="83"/>
        <v>360342.34260515025</v>
      </c>
      <c r="AA136" s="57">
        <f t="shared" si="84"/>
        <v>118624.69918561549</v>
      </c>
      <c r="AB136" s="57">
        <f t="shared" si="85"/>
        <v>0</v>
      </c>
      <c r="AC136" s="57">
        <f t="shared" si="86"/>
        <v>0</v>
      </c>
      <c r="AD136" s="57">
        <f t="shared" si="87"/>
        <v>241717.64</v>
      </c>
      <c r="AE136" s="57">
        <f t="shared" si="88"/>
        <v>0</v>
      </c>
      <c r="AF136" s="57">
        <f t="shared" si="89"/>
        <v>0</v>
      </c>
      <c r="AG136" s="57">
        <f t="shared" si="90"/>
        <v>0</v>
      </c>
      <c r="AH136" s="64">
        <f t="shared" si="91"/>
        <v>0</v>
      </c>
      <c r="AI136" s="112">
        <f t="shared" si="92"/>
        <v>0</v>
      </c>
    </row>
    <row r="137" spans="1:35" ht="51" x14ac:dyDescent="0.2">
      <c r="A137" s="37" t="s">
        <v>269</v>
      </c>
      <c r="B137" s="5" t="s">
        <v>380</v>
      </c>
      <c r="C137" s="8" t="s">
        <v>538</v>
      </c>
      <c r="D137" s="6">
        <v>3</v>
      </c>
      <c r="E137" s="6">
        <v>3</v>
      </c>
      <c r="F137" s="6">
        <v>2</v>
      </c>
      <c r="G137" s="6">
        <v>2</v>
      </c>
      <c r="H137" s="6">
        <v>1</v>
      </c>
      <c r="I137" s="6">
        <v>2</v>
      </c>
      <c r="J137" s="6">
        <v>2</v>
      </c>
      <c r="K137" s="58">
        <v>35471332.392163701</v>
      </c>
      <c r="L137" s="58">
        <v>11259125.07</v>
      </c>
      <c r="M137" s="58">
        <v>13255355.356978893</v>
      </c>
      <c r="N137" s="58">
        <f t="shared" si="78"/>
        <v>0</v>
      </c>
      <c r="O137" s="60">
        <f t="shared" si="79"/>
        <v>35471332.392163701</v>
      </c>
      <c r="P137" s="57">
        <v>423349.48</v>
      </c>
      <c r="Q137" s="57">
        <v>426777.47</v>
      </c>
      <c r="R137" s="57">
        <v>527523.44999999995</v>
      </c>
      <c r="S137" s="61">
        <v>2788504.61</v>
      </c>
      <c r="T137" s="57">
        <v>0</v>
      </c>
      <c r="U137" s="57">
        <v>0</v>
      </c>
      <c r="V137" s="62">
        <f t="shared" si="93"/>
        <v>4166155.01</v>
      </c>
      <c r="W137" s="63">
        <f t="shared" si="80"/>
        <v>31305177.382163703</v>
      </c>
      <c r="X137" s="64">
        <f t="shared" si="81"/>
        <v>0</v>
      </c>
      <c r="Y137" s="57">
        <f t="shared" si="82"/>
        <v>362680.99117543799</v>
      </c>
      <c r="Z137" s="57">
        <f t="shared" si="83"/>
        <v>540669.33687453496</v>
      </c>
      <c r="AA137" s="57">
        <f t="shared" si="84"/>
        <v>177988.34569909697</v>
      </c>
      <c r="AB137" s="57">
        <f t="shared" si="85"/>
        <v>0</v>
      </c>
      <c r="AC137" s="57">
        <f t="shared" si="86"/>
        <v>0</v>
      </c>
      <c r="AD137" s="57">
        <f t="shared" si="87"/>
        <v>362680.99</v>
      </c>
      <c r="AE137" s="57">
        <f t="shared" si="88"/>
        <v>0</v>
      </c>
      <c r="AF137" s="57">
        <f t="shared" si="89"/>
        <v>0</v>
      </c>
      <c r="AG137" s="57">
        <f t="shared" si="90"/>
        <v>0</v>
      </c>
      <c r="AH137" s="64">
        <f t="shared" si="91"/>
        <v>0</v>
      </c>
      <c r="AI137" s="112">
        <f t="shared" si="92"/>
        <v>0</v>
      </c>
    </row>
    <row r="138" spans="1:35" ht="38.25" x14ac:dyDescent="0.2">
      <c r="A138" s="37" t="s">
        <v>115</v>
      </c>
      <c r="B138" s="5" t="s">
        <v>424</v>
      </c>
      <c r="C138" s="8" t="s">
        <v>539</v>
      </c>
      <c r="D138" s="6">
        <v>3</v>
      </c>
      <c r="E138" s="6">
        <v>3</v>
      </c>
      <c r="F138" s="6">
        <v>1</v>
      </c>
      <c r="G138" s="6">
        <v>1</v>
      </c>
      <c r="H138" s="6">
        <v>1</v>
      </c>
      <c r="I138" s="6">
        <v>2</v>
      </c>
      <c r="J138" s="6">
        <v>2</v>
      </c>
      <c r="K138" s="58">
        <v>32426751.736384202</v>
      </c>
      <c r="L138" s="58">
        <v>15264711.49</v>
      </c>
      <c r="M138" s="58">
        <v>15538441.495145738</v>
      </c>
      <c r="N138" s="58">
        <f t="shared" si="78"/>
        <v>0</v>
      </c>
      <c r="O138" s="60">
        <f t="shared" si="79"/>
        <v>32426751.736384202</v>
      </c>
      <c r="P138" s="57">
        <v>1380742.91</v>
      </c>
      <c r="Q138" s="57">
        <v>1391800.61</v>
      </c>
      <c r="R138" s="57">
        <v>1621335.37</v>
      </c>
      <c r="S138" s="61">
        <v>6745925.8499999996</v>
      </c>
      <c r="T138" s="57">
        <v>3288092.89</v>
      </c>
      <c r="U138" s="57">
        <v>0</v>
      </c>
      <c r="V138" s="62">
        <f t="shared" si="93"/>
        <v>14427897.630000001</v>
      </c>
      <c r="W138" s="63">
        <f t="shared" si="80"/>
        <v>17998854.106384203</v>
      </c>
      <c r="X138" s="64">
        <f t="shared" si="81"/>
        <v>0</v>
      </c>
      <c r="Y138" s="57">
        <f t="shared" si="82"/>
        <v>208522.76821931696</v>
      </c>
      <c r="Z138" s="57">
        <f t="shared" si="83"/>
        <v>310856.83992146241</v>
      </c>
      <c r="AA138" s="57">
        <f t="shared" si="84"/>
        <v>102334.07170214545</v>
      </c>
      <c r="AB138" s="57">
        <f t="shared" si="85"/>
        <v>102334.07170214545</v>
      </c>
      <c r="AC138" s="57">
        <f t="shared" si="86"/>
        <v>0</v>
      </c>
      <c r="AD138" s="57">
        <f t="shared" si="87"/>
        <v>310856.84000000003</v>
      </c>
      <c r="AE138" s="57">
        <f t="shared" si="88"/>
        <v>102334.07170214545</v>
      </c>
      <c r="AF138" s="57">
        <f t="shared" si="89"/>
        <v>0</v>
      </c>
      <c r="AG138" s="57">
        <f t="shared" si="90"/>
        <v>102334.07170214545</v>
      </c>
      <c r="AH138" s="64">
        <f t="shared" si="91"/>
        <v>0</v>
      </c>
      <c r="AI138" s="112">
        <f t="shared" si="92"/>
        <v>102334.07</v>
      </c>
    </row>
    <row r="139" spans="1:35" ht="38.25" x14ac:dyDescent="0.2">
      <c r="A139" s="37" t="s">
        <v>211</v>
      </c>
      <c r="B139" s="5" t="s">
        <v>310</v>
      </c>
      <c r="C139" s="8" t="s">
        <v>540</v>
      </c>
      <c r="D139" s="6">
        <v>3</v>
      </c>
      <c r="E139" s="6">
        <v>3</v>
      </c>
      <c r="F139" s="6">
        <v>2</v>
      </c>
      <c r="G139" s="6">
        <v>2</v>
      </c>
      <c r="H139" s="6">
        <v>1</v>
      </c>
      <c r="I139" s="6">
        <v>2</v>
      </c>
      <c r="J139" s="6">
        <v>2</v>
      </c>
      <c r="K139" s="58">
        <v>43683614.112132601</v>
      </c>
      <c r="L139" s="58">
        <v>15642740.640000001</v>
      </c>
      <c r="M139" s="58">
        <v>15167807.699866945</v>
      </c>
      <c r="N139" s="58">
        <f t="shared" si="78"/>
        <v>474932.94013305567</v>
      </c>
      <c r="O139" s="60">
        <f t="shared" si="79"/>
        <v>43208681.171999544</v>
      </c>
      <c r="P139" s="57">
        <v>385889.17</v>
      </c>
      <c r="Q139" s="57">
        <v>389027.85</v>
      </c>
      <c r="R139" s="57">
        <v>492165.15</v>
      </c>
      <c r="S139" s="61">
        <v>2563511.5</v>
      </c>
      <c r="T139" s="57">
        <v>0</v>
      </c>
      <c r="U139" s="57">
        <v>0</v>
      </c>
      <c r="V139" s="62">
        <f t="shared" si="93"/>
        <v>3830593.67</v>
      </c>
      <c r="W139" s="63">
        <f t="shared" si="80"/>
        <v>39378087.501999542</v>
      </c>
      <c r="X139" s="64">
        <f t="shared" si="81"/>
        <v>0</v>
      </c>
      <c r="Y139" s="57">
        <f t="shared" si="82"/>
        <v>456208.36551960855</v>
      </c>
      <c r="Z139" s="57">
        <f t="shared" si="83"/>
        <v>680095.95336852805</v>
      </c>
      <c r="AA139" s="57">
        <f t="shared" si="84"/>
        <v>223887.5878489195</v>
      </c>
      <c r="AB139" s="57">
        <f t="shared" si="85"/>
        <v>0</v>
      </c>
      <c r="AC139" s="57">
        <f t="shared" si="86"/>
        <v>0</v>
      </c>
      <c r="AD139" s="57">
        <f t="shared" si="87"/>
        <v>456208.37</v>
      </c>
      <c r="AE139" s="57">
        <f t="shared" si="88"/>
        <v>0</v>
      </c>
      <c r="AF139" s="57">
        <f t="shared" si="89"/>
        <v>0</v>
      </c>
      <c r="AG139" s="57">
        <f t="shared" si="90"/>
        <v>0</v>
      </c>
      <c r="AH139" s="64">
        <f t="shared" si="91"/>
        <v>0</v>
      </c>
      <c r="AI139" s="112">
        <f t="shared" si="92"/>
        <v>0</v>
      </c>
    </row>
    <row r="140" spans="1:35" ht="38.25" x14ac:dyDescent="0.2">
      <c r="A140" s="37" t="s">
        <v>208</v>
      </c>
      <c r="B140" s="5" t="s">
        <v>349</v>
      </c>
      <c r="C140" s="8" t="s">
        <v>11</v>
      </c>
      <c r="D140" s="6">
        <v>3</v>
      </c>
      <c r="E140" s="6">
        <v>3</v>
      </c>
      <c r="F140" s="6">
        <v>2</v>
      </c>
      <c r="G140" s="6">
        <v>2</v>
      </c>
      <c r="H140" s="6">
        <v>3</v>
      </c>
      <c r="I140" s="6">
        <v>2</v>
      </c>
      <c r="J140" s="6">
        <v>2</v>
      </c>
      <c r="K140" s="58">
        <v>42932595.533565097</v>
      </c>
      <c r="L140" s="58">
        <v>23819918.41</v>
      </c>
      <c r="M140" s="58">
        <v>14958363.510501022</v>
      </c>
      <c r="N140" s="58">
        <f t="shared" si="78"/>
        <v>8861554.8994989786</v>
      </c>
      <c r="O140" s="60">
        <f t="shared" si="79"/>
        <v>34071040.63406612</v>
      </c>
      <c r="P140" s="57">
        <v>1203385.8400000001</v>
      </c>
      <c r="Q140" s="57">
        <v>1213003.93</v>
      </c>
      <c r="R140" s="57">
        <v>1368991.89</v>
      </c>
      <c r="S140" s="61">
        <v>7702721.2699999996</v>
      </c>
      <c r="T140" s="57">
        <v>0</v>
      </c>
      <c r="U140" s="57">
        <v>0</v>
      </c>
      <c r="V140" s="62">
        <f t="shared" si="93"/>
        <v>11488102.93</v>
      </c>
      <c r="W140" s="63">
        <f t="shared" si="80"/>
        <v>22582937.70406612</v>
      </c>
      <c r="X140" s="64">
        <f t="shared" si="81"/>
        <v>0</v>
      </c>
      <c r="Y140" s="57">
        <f t="shared" si="82"/>
        <v>261630.91587624725</v>
      </c>
      <c r="Z140" s="57">
        <f t="shared" si="83"/>
        <v>390028.19898069062</v>
      </c>
      <c r="AA140" s="57">
        <f t="shared" si="84"/>
        <v>128397.28310444337</v>
      </c>
      <c r="AB140" s="57">
        <f t="shared" si="85"/>
        <v>0</v>
      </c>
      <c r="AC140" s="57">
        <f t="shared" si="86"/>
        <v>0</v>
      </c>
      <c r="AD140" s="57">
        <f t="shared" si="87"/>
        <v>261630.92</v>
      </c>
      <c r="AE140" s="57">
        <f t="shared" si="88"/>
        <v>0</v>
      </c>
      <c r="AF140" s="57">
        <f t="shared" si="89"/>
        <v>0</v>
      </c>
      <c r="AG140" s="57">
        <f t="shared" si="90"/>
        <v>0</v>
      </c>
      <c r="AH140" s="64">
        <f t="shared" si="91"/>
        <v>0</v>
      </c>
      <c r="AI140" s="112">
        <f t="shared" si="92"/>
        <v>0</v>
      </c>
    </row>
    <row r="141" spans="1:35" ht="51" x14ac:dyDescent="0.2">
      <c r="A141" s="37" t="s">
        <v>240</v>
      </c>
      <c r="B141" s="5" t="s">
        <v>368</v>
      </c>
      <c r="C141" s="8" t="s">
        <v>307</v>
      </c>
      <c r="D141" s="6">
        <v>3</v>
      </c>
      <c r="E141" s="6">
        <v>3</v>
      </c>
      <c r="F141" s="6">
        <v>2</v>
      </c>
      <c r="G141" s="6">
        <v>2</v>
      </c>
      <c r="H141" s="6">
        <v>1</v>
      </c>
      <c r="I141" s="6">
        <v>2</v>
      </c>
      <c r="J141" s="6">
        <v>2</v>
      </c>
      <c r="K141" s="58">
        <v>51278607.497507699</v>
      </c>
      <c r="L141" s="58">
        <v>18832942.630000003</v>
      </c>
      <c r="M141" s="58">
        <v>19440109.582554005</v>
      </c>
      <c r="N141" s="58">
        <f t="shared" si="78"/>
        <v>0</v>
      </c>
      <c r="O141" s="60">
        <f t="shared" si="79"/>
        <v>51278607.497507699</v>
      </c>
      <c r="P141" s="57">
        <v>553942.87</v>
      </c>
      <c r="Q141" s="57">
        <v>558421.09</v>
      </c>
      <c r="R141" s="57">
        <v>681821.22</v>
      </c>
      <c r="S141" s="61">
        <v>3771827.5</v>
      </c>
      <c r="T141" s="57">
        <v>0</v>
      </c>
      <c r="U141" s="57">
        <v>0</v>
      </c>
      <c r="V141" s="62">
        <f t="shared" si="93"/>
        <v>5566012.6799999997</v>
      </c>
      <c r="W141" s="63">
        <f t="shared" si="80"/>
        <v>45712594.817507699</v>
      </c>
      <c r="X141" s="64">
        <f t="shared" si="81"/>
        <v>0</v>
      </c>
      <c r="Y141" s="57">
        <f t="shared" si="82"/>
        <v>529595.75967970432</v>
      </c>
      <c r="Z141" s="57">
        <f t="shared" si="83"/>
        <v>789498.74728638097</v>
      </c>
      <c r="AA141" s="57">
        <f t="shared" si="84"/>
        <v>259902.98760667664</v>
      </c>
      <c r="AB141" s="57">
        <f t="shared" si="85"/>
        <v>0</v>
      </c>
      <c r="AC141" s="57">
        <f t="shared" si="86"/>
        <v>0</v>
      </c>
      <c r="AD141" s="57">
        <f t="shared" si="87"/>
        <v>529595.76</v>
      </c>
      <c r="AE141" s="57">
        <f t="shared" si="88"/>
        <v>0</v>
      </c>
      <c r="AF141" s="57">
        <f t="shared" si="89"/>
        <v>0</v>
      </c>
      <c r="AG141" s="57">
        <f t="shared" si="90"/>
        <v>0</v>
      </c>
      <c r="AH141" s="64">
        <f t="shared" si="91"/>
        <v>0</v>
      </c>
      <c r="AI141" s="112">
        <f t="shared" si="92"/>
        <v>0</v>
      </c>
    </row>
    <row r="142" spans="1:35" ht="38.25" x14ac:dyDescent="0.2">
      <c r="A142" s="37" t="s">
        <v>273</v>
      </c>
      <c r="B142" s="5" t="s">
        <v>348</v>
      </c>
      <c r="C142" s="8" t="s">
        <v>11</v>
      </c>
      <c r="D142" s="6">
        <v>3</v>
      </c>
      <c r="E142" s="6">
        <v>3</v>
      </c>
      <c r="F142" s="6">
        <v>2</v>
      </c>
      <c r="G142" s="6">
        <v>2</v>
      </c>
      <c r="H142" s="6">
        <v>3</v>
      </c>
      <c r="I142" s="6">
        <v>2</v>
      </c>
      <c r="J142" s="6">
        <v>2</v>
      </c>
      <c r="K142" s="58">
        <v>37400203.773612</v>
      </c>
      <c r="L142" s="58">
        <v>21935428.460000001</v>
      </c>
      <c r="M142" s="58">
        <v>19925137.340646323</v>
      </c>
      <c r="N142" s="58">
        <f t="shared" si="78"/>
        <v>2010291.1193536781</v>
      </c>
      <c r="O142" s="60">
        <f t="shared" si="79"/>
        <v>35389912.654258326</v>
      </c>
      <c r="P142" s="57">
        <v>759162.83</v>
      </c>
      <c r="Q142" s="57">
        <v>765251.07</v>
      </c>
      <c r="R142" s="57">
        <v>862259.52</v>
      </c>
      <c r="S142" s="61">
        <v>6132436.7400000002</v>
      </c>
      <c r="T142" s="57">
        <v>0</v>
      </c>
      <c r="U142" s="57">
        <v>0</v>
      </c>
      <c r="V142" s="62">
        <f t="shared" si="93"/>
        <v>8519110.1600000001</v>
      </c>
      <c r="W142" s="63">
        <f t="shared" si="80"/>
        <v>26870802.494258326</v>
      </c>
      <c r="X142" s="64">
        <f t="shared" si="81"/>
        <v>0</v>
      </c>
      <c r="Y142" s="57">
        <f t="shared" si="82"/>
        <v>311307.26918831037</v>
      </c>
      <c r="Z142" s="57">
        <f t="shared" si="83"/>
        <v>464083.58555204293</v>
      </c>
      <c r="AA142" s="57">
        <f t="shared" si="84"/>
        <v>152776.31636373256</v>
      </c>
      <c r="AB142" s="57">
        <f t="shared" si="85"/>
        <v>0</v>
      </c>
      <c r="AC142" s="57">
        <f t="shared" si="86"/>
        <v>0</v>
      </c>
      <c r="AD142" s="57">
        <f t="shared" si="87"/>
        <v>311307.27</v>
      </c>
      <c r="AE142" s="57">
        <f t="shared" si="88"/>
        <v>0</v>
      </c>
      <c r="AF142" s="57">
        <f t="shared" si="89"/>
        <v>0</v>
      </c>
      <c r="AG142" s="57">
        <f t="shared" si="90"/>
        <v>0</v>
      </c>
      <c r="AH142" s="64">
        <f t="shared" si="91"/>
        <v>0</v>
      </c>
      <c r="AI142" s="112">
        <f t="shared" si="92"/>
        <v>0</v>
      </c>
    </row>
    <row r="143" spans="1:35" ht="38.25" x14ac:dyDescent="0.2">
      <c r="A143" s="37" t="s">
        <v>241</v>
      </c>
      <c r="B143" s="5" t="s">
        <v>242</v>
      </c>
      <c r="C143" s="8" t="s">
        <v>541</v>
      </c>
      <c r="D143" s="6">
        <v>3</v>
      </c>
      <c r="E143" s="6">
        <v>3</v>
      </c>
      <c r="F143" s="6">
        <v>2</v>
      </c>
      <c r="G143" s="6">
        <v>2</v>
      </c>
      <c r="H143" s="6">
        <v>1</v>
      </c>
      <c r="I143" s="6">
        <v>2</v>
      </c>
      <c r="J143" s="6">
        <v>2</v>
      </c>
      <c r="K143" s="58">
        <v>40255215.035974003</v>
      </c>
      <c r="L143" s="58">
        <v>13603858.99</v>
      </c>
      <c r="M143" s="58">
        <v>20566592.331755988</v>
      </c>
      <c r="N143" s="58">
        <f t="shared" si="78"/>
        <v>0</v>
      </c>
      <c r="O143" s="60">
        <f t="shared" si="79"/>
        <v>40255215.035974003</v>
      </c>
      <c r="P143" s="57">
        <v>447473.99</v>
      </c>
      <c r="Q143" s="57">
        <v>451097.34</v>
      </c>
      <c r="R143" s="57">
        <v>540412.73</v>
      </c>
      <c r="S143" s="61">
        <v>4311736.1900000004</v>
      </c>
      <c r="T143" s="57">
        <v>0</v>
      </c>
      <c r="U143" s="57">
        <v>0</v>
      </c>
      <c r="V143" s="62">
        <f t="shared" si="93"/>
        <v>5750720.25</v>
      </c>
      <c r="W143" s="63">
        <f t="shared" si="80"/>
        <v>34504494.785974003</v>
      </c>
      <c r="X143" s="64">
        <f t="shared" si="81"/>
        <v>0</v>
      </c>
      <c r="Y143" s="57">
        <f t="shared" si="82"/>
        <v>399746.15751945158</v>
      </c>
      <c r="Z143" s="57">
        <f t="shared" si="83"/>
        <v>595924.50435219379</v>
      </c>
      <c r="AA143" s="57">
        <f t="shared" si="84"/>
        <v>196178.34683274222</v>
      </c>
      <c r="AB143" s="57">
        <f t="shared" si="85"/>
        <v>0</v>
      </c>
      <c r="AC143" s="57">
        <f t="shared" si="86"/>
        <v>0</v>
      </c>
      <c r="AD143" s="57">
        <f t="shared" si="87"/>
        <v>399746.16</v>
      </c>
      <c r="AE143" s="57">
        <f t="shared" si="88"/>
        <v>0</v>
      </c>
      <c r="AF143" s="57">
        <f t="shared" si="89"/>
        <v>0</v>
      </c>
      <c r="AG143" s="57">
        <f t="shared" si="90"/>
        <v>0</v>
      </c>
      <c r="AH143" s="64">
        <f t="shared" si="91"/>
        <v>0</v>
      </c>
      <c r="AI143" s="112">
        <f t="shared" si="92"/>
        <v>0</v>
      </c>
    </row>
    <row r="144" spans="1:35" ht="38.25" x14ac:dyDescent="0.2">
      <c r="A144" s="37" t="s">
        <v>169</v>
      </c>
      <c r="B144" s="5" t="s">
        <v>432</v>
      </c>
      <c r="C144" s="8" t="s">
        <v>319</v>
      </c>
      <c r="D144" s="6">
        <v>3</v>
      </c>
      <c r="E144" s="6">
        <v>3</v>
      </c>
      <c r="F144" s="6">
        <v>2</v>
      </c>
      <c r="G144" s="6">
        <v>2</v>
      </c>
      <c r="H144" s="6">
        <v>1</v>
      </c>
      <c r="I144" s="6">
        <v>2</v>
      </c>
      <c r="J144" s="6">
        <v>2</v>
      </c>
      <c r="K144" s="58">
        <v>39400422.780607797</v>
      </c>
      <c r="L144" s="58">
        <v>19559661.23</v>
      </c>
      <c r="M144" s="58">
        <v>19662313.414669205</v>
      </c>
      <c r="N144" s="58">
        <f t="shared" si="78"/>
        <v>0</v>
      </c>
      <c r="O144" s="60">
        <f t="shared" si="79"/>
        <v>39400422.780607797</v>
      </c>
      <c r="P144" s="57">
        <v>999402.72</v>
      </c>
      <c r="Q144" s="57">
        <v>1007385.07</v>
      </c>
      <c r="R144" s="57">
        <v>1138877.04</v>
      </c>
      <c r="S144" s="61">
        <v>7612786.9400000004</v>
      </c>
      <c r="T144" s="57">
        <v>0</v>
      </c>
      <c r="U144" s="57">
        <v>0</v>
      </c>
      <c r="V144" s="62">
        <f t="shared" si="93"/>
        <v>10758451.77</v>
      </c>
      <c r="W144" s="63">
        <f t="shared" si="80"/>
        <v>28641971.010607798</v>
      </c>
      <c r="X144" s="64">
        <f t="shared" si="81"/>
        <v>0</v>
      </c>
      <c r="Y144" s="57">
        <f t="shared" si="82"/>
        <v>331826.85114775808</v>
      </c>
      <c r="Z144" s="57">
        <f t="shared" si="83"/>
        <v>494673.30224770139</v>
      </c>
      <c r="AA144" s="57">
        <f t="shared" si="84"/>
        <v>162846.45109994331</v>
      </c>
      <c r="AB144" s="57">
        <f t="shared" si="85"/>
        <v>0</v>
      </c>
      <c r="AC144" s="57">
        <f t="shared" si="86"/>
        <v>0</v>
      </c>
      <c r="AD144" s="57">
        <f t="shared" si="87"/>
        <v>331826.84999999998</v>
      </c>
      <c r="AE144" s="57">
        <f t="shared" si="88"/>
        <v>0</v>
      </c>
      <c r="AF144" s="57">
        <f t="shared" si="89"/>
        <v>0</v>
      </c>
      <c r="AG144" s="57">
        <f t="shared" si="90"/>
        <v>0</v>
      </c>
      <c r="AH144" s="64">
        <f t="shared" si="91"/>
        <v>0</v>
      </c>
      <c r="AI144" s="112">
        <f t="shared" si="92"/>
        <v>0</v>
      </c>
    </row>
    <row r="145" spans="1:35" ht="25.5" x14ac:dyDescent="0.2">
      <c r="A145" s="37" t="s">
        <v>158</v>
      </c>
      <c r="B145" s="5" t="s">
        <v>402</v>
      </c>
      <c r="C145" s="8" t="s">
        <v>34</v>
      </c>
      <c r="D145" s="6">
        <v>3</v>
      </c>
      <c r="E145" s="6">
        <v>3</v>
      </c>
      <c r="F145" s="6">
        <v>2</v>
      </c>
      <c r="G145" s="6">
        <v>2</v>
      </c>
      <c r="H145" s="6">
        <v>1</v>
      </c>
      <c r="I145" s="6">
        <v>2</v>
      </c>
      <c r="J145" s="6">
        <v>2</v>
      </c>
      <c r="K145" s="58">
        <v>43166463.6845643</v>
      </c>
      <c r="L145" s="58">
        <v>19843819.780000001</v>
      </c>
      <c r="M145" s="58">
        <v>18989098.231779777</v>
      </c>
      <c r="N145" s="58">
        <f t="shared" si="78"/>
        <v>854721.54822022468</v>
      </c>
      <c r="O145" s="60">
        <f t="shared" si="79"/>
        <v>42311742.136344075</v>
      </c>
      <c r="P145" s="57">
        <v>616815.94999999995</v>
      </c>
      <c r="Q145" s="57">
        <v>621793.84</v>
      </c>
      <c r="R145" s="57">
        <v>719521.96</v>
      </c>
      <c r="S145" s="61">
        <v>2952458.78</v>
      </c>
      <c r="T145" s="57">
        <v>0</v>
      </c>
      <c r="U145" s="57">
        <v>0</v>
      </c>
      <c r="V145" s="62">
        <f t="shared" si="93"/>
        <v>4910590.5299999993</v>
      </c>
      <c r="W145" s="63">
        <f t="shared" si="80"/>
        <v>37401151.606344074</v>
      </c>
      <c r="X145" s="64">
        <f t="shared" si="81"/>
        <v>0</v>
      </c>
      <c r="Y145" s="57">
        <f t="shared" si="82"/>
        <v>433304.89938128408</v>
      </c>
      <c r="Z145" s="57">
        <f t="shared" si="83"/>
        <v>645952.44391962443</v>
      </c>
      <c r="AA145" s="57">
        <f t="shared" si="84"/>
        <v>212647.54453834036</v>
      </c>
      <c r="AB145" s="57">
        <f t="shared" si="85"/>
        <v>0</v>
      </c>
      <c r="AC145" s="57">
        <f t="shared" si="86"/>
        <v>0</v>
      </c>
      <c r="AD145" s="57">
        <f t="shared" si="87"/>
        <v>433304.9</v>
      </c>
      <c r="AE145" s="57">
        <f t="shared" si="88"/>
        <v>0</v>
      </c>
      <c r="AF145" s="57">
        <f t="shared" si="89"/>
        <v>0</v>
      </c>
      <c r="AG145" s="57">
        <f t="shared" si="90"/>
        <v>0</v>
      </c>
      <c r="AH145" s="64">
        <f t="shared" si="91"/>
        <v>0</v>
      </c>
      <c r="AI145" s="112">
        <f t="shared" si="92"/>
        <v>0</v>
      </c>
    </row>
    <row r="146" spans="1:35" ht="38.25" x14ac:dyDescent="0.2">
      <c r="A146" s="37" t="s">
        <v>252</v>
      </c>
      <c r="B146" s="5" t="s">
        <v>253</v>
      </c>
      <c r="C146" s="8" t="s">
        <v>306</v>
      </c>
      <c r="D146" s="6">
        <v>3</v>
      </c>
      <c r="E146" s="6">
        <v>3</v>
      </c>
      <c r="F146" s="6">
        <v>2</v>
      </c>
      <c r="G146" s="6">
        <v>2</v>
      </c>
      <c r="H146" s="6">
        <v>3</v>
      </c>
      <c r="I146" s="6">
        <v>2</v>
      </c>
      <c r="J146" s="6">
        <v>2</v>
      </c>
      <c r="K146" s="58">
        <v>39859746.010391504</v>
      </c>
      <c r="L146" s="58">
        <v>16722648.050000001</v>
      </c>
      <c r="M146" s="58">
        <v>21616970.910010085</v>
      </c>
      <c r="N146" s="58">
        <f t="shared" si="78"/>
        <v>0</v>
      </c>
      <c r="O146" s="60">
        <f t="shared" si="79"/>
        <v>39859746.010391504</v>
      </c>
      <c r="P146" s="57">
        <v>2332013.21</v>
      </c>
      <c r="Q146" s="57">
        <v>2350717.02</v>
      </c>
      <c r="R146" s="57">
        <v>2640351.91</v>
      </c>
      <c r="S146" s="61">
        <v>13285115.710000001</v>
      </c>
      <c r="T146" s="57">
        <v>0</v>
      </c>
      <c r="U146" s="57">
        <v>0</v>
      </c>
      <c r="V146" s="62">
        <f t="shared" si="93"/>
        <v>20608197.850000001</v>
      </c>
      <c r="W146" s="63">
        <f t="shared" si="80"/>
        <v>19251548.160391502</v>
      </c>
      <c r="X146" s="64">
        <f t="shared" si="81"/>
        <v>0</v>
      </c>
      <c r="Y146" s="57">
        <f t="shared" si="82"/>
        <v>223035.64944661836</v>
      </c>
      <c r="Z146" s="57">
        <f t="shared" si="83"/>
        <v>332492.02362346213</v>
      </c>
      <c r="AA146" s="57">
        <f t="shared" si="84"/>
        <v>109456.37417684376</v>
      </c>
      <c r="AB146" s="57">
        <f t="shared" si="85"/>
        <v>0</v>
      </c>
      <c r="AC146" s="57">
        <f t="shared" si="86"/>
        <v>0</v>
      </c>
      <c r="AD146" s="57">
        <f t="shared" si="87"/>
        <v>223035.65</v>
      </c>
      <c r="AE146" s="57">
        <f t="shared" si="88"/>
        <v>0</v>
      </c>
      <c r="AF146" s="57">
        <f t="shared" si="89"/>
        <v>0</v>
      </c>
      <c r="AG146" s="57">
        <f t="shared" si="90"/>
        <v>0</v>
      </c>
      <c r="AH146" s="64">
        <f t="shared" si="91"/>
        <v>0</v>
      </c>
      <c r="AI146" s="112">
        <f t="shared" si="92"/>
        <v>0</v>
      </c>
    </row>
    <row r="147" spans="1:35" ht="63.75" x14ac:dyDescent="0.2">
      <c r="A147" s="37" t="s">
        <v>167</v>
      </c>
      <c r="B147" s="5" t="s">
        <v>437</v>
      </c>
      <c r="C147" s="8" t="s">
        <v>321</v>
      </c>
      <c r="D147" s="6">
        <v>3</v>
      </c>
      <c r="E147" s="6">
        <v>3</v>
      </c>
      <c r="F147" s="6">
        <v>2</v>
      </c>
      <c r="G147" s="6">
        <v>2</v>
      </c>
      <c r="H147" s="6">
        <v>3</v>
      </c>
      <c r="I147" s="6">
        <v>2</v>
      </c>
      <c r="J147" s="6">
        <v>2</v>
      </c>
      <c r="K147" s="58">
        <v>41400746.467121802</v>
      </c>
      <c r="L147" s="58">
        <v>17778133.02</v>
      </c>
      <c r="M147" s="58">
        <v>21313060.044854775</v>
      </c>
      <c r="N147" s="58">
        <f t="shared" si="78"/>
        <v>0</v>
      </c>
      <c r="O147" s="60">
        <f t="shared" si="79"/>
        <v>41400746.467121802</v>
      </c>
      <c r="P147" s="57">
        <v>968534.45</v>
      </c>
      <c r="Q147" s="57">
        <v>976264.59</v>
      </c>
      <c r="R147" s="57">
        <v>1080083.24</v>
      </c>
      <c r="S147" s="61">
        <v>6924240.5599999996</v>
      </c>
      <c r="T147" s="57">
        <v>0</v>
      </c>
      <c r="U147" s="57">
        <v>0</v>
      </c>
      <c r="V147" s="62">
        <f t="shared" si="93"/>
        <v>9949122.8399999999</v>
      </c>
      <c r="W147" s="63">
        <f t="shared" si="80"/>
        <v>31451623.627121802</v>
      </c>
      <c r="X147" s="64">
        <f t="shared" si="81"/>
        <v>0</v>
      </c>
      <c r="Y147" s="57">
        <f t="shared" si="82"/>
        <v>364377.62009489542</v>
      </c>
      <c r="Z147" s="57">
        <f t="shared" si="83"/>
        <v>543198.59882959968</v>
      </c>
      <c r="AA147" s="57">
        <f t="shared" si="84"/>
        <v>178820.97873470426</v>
      </c>
      <c r="AB147" s="57">
        <f t="shared" si="85"/>
        <v>0</v>
      </c>
      <c r="AC147" s="57">
        <f t="shared" si="86"/>
        <v>0</v>
      </c>
      <c r="AD147" s="57">
        <f t="shared" si="87"/>
        <v>364377.62</v>
      </c>
      <c r="AE147" s="57">
        <f t="shared" si="88"/>
        <v>0</v>
      </c>
      <c r="AF147" s="57">
        <f t="shared" si="89"/>
        <v>0</v>
      </c>
      <c r="AG147" s="57">
        <f t="shared" si="90"/>
        <v>0</v>
      </c>
      <c r="AH147" s="64">
        <f t="shared" si="91"/>
        <v>0</v>
      </c>
      <c r="AI147" s="112">
        <f t="shared" si="92"/>
        <v>0</v>
      </c>
    </row>
    <row r="148" spans="1:35" ht="38.25" x14ac:dyDescent="0.2">
      <c r="A148" s="37" t="s">
        <v>220</v>
      </c>
      <c r="B148" s="5" t="s">
        <v>221</v>
      </c>
      <c r="C148" s="8" t="s">
        <v>304</v>
      </c>
      <c r="D148" s="6">
        <v>3</v>
      </c>
      <c r="E148" s="6">
        <v>3</v>
      </c>
      <c r="F148" s="6">
        <v>2</v>
      </c>
      <c r="G148" s="6">
        <v>2</v>
      </c>
      <c r="H148" s="6">
        <v>3</v>
      </c>
      <c r="I148" s="6">
        <v>2</v>
      </c>
      <c r="J148" s="6">
        <v>2</v>
      </c>
      <c r="K148" s="58">
        <v>68611598.464880407</v>
      </c>
      <c r="L148" s="58">
        <v>18302904.550000001</v>
      </c>
      <c r="M148" s="58">
        <v>23019796.484723799</v>
      </c>
      <c r="N148" s="58">
        <f t="shared" si="78"/>
        <v>0</v>
      </c>
      <c r="O148" s="60">
        <f t="shared" si="79"/>
        <v>68611598.464880407</v>
      </c>
      <c r="P148" s="57">
        <v>937019.93</v>
      </c>
      <c r="Q148" s="57">
        <v>944536.35</v>
      </c>
      <c r="R148" s="57">
        <v>1078234.81</v>
      </c>
      <c r="S148" s="61">
        <v>7117513.5099999998</v>
      </c>
      <c r="T148" s="57">
        <v>0</v>
      </c>
      <c r="U148" s="57">
        <v>0</v>
      </c>
      <c r="V148" s="62">
        <f t="shared" si="93"/>
        <v>10077304.6</v>
      </c>
      <c r="W148" s="63">
        <f t="shared" si="80"/>
        <v>58534293.864880405</v>
      </c>
      <c r="X148" s="64">
        <f t="shared" si="81"/>
        <v>0</v>
      </c>
      <c r="Y148" s="57">
        <f t="shared" si="82"/>
        <v>678139.4482295661</v>
      </c>
      <c r="Z148" s="57">
        <f t="shared" si="83"/>
        <v>1010941.3360607724</v>
      </c>
      <c r="AA148" s="57">
        <f t="shared" si="84"/>
        <v>332801.88783120632</v>
      </c>
      <c r="AB148" s="57">
        <f t="shared" si="85"/>
        <v>0</v>
      </c>
      <c r="AC148" s="57">
        <f t="shared" si="86"/>
        <v>0</v>
      </c>
      <c r="AD148" s="57">
        <f t="shared" si="87"/>
        <v>678139.45</v>
      </c>
      <c r="AE148" s="57">
        <f t="shared" si="88"/>
        <v>0</v>
      </c>
      <c r="AF148" s="57">
        <f t="shared" si="89"/>
        <v>0</v>
      </c>
      <c r="AG148" s="57">
        <f t="shared" si="90"/>
        <v>0</v>
      </c>
      <c r="AH148" s="64">
        <f t="shared" si="91"/>
        <v>0</v>
      </c>
      <c r="AI148" s="112">
        <f t="shared" si="92"/>
        <v>0</v>
      </c>
    </row>
    <row r="149" spans="1:35" ht="38.25" x14ac:dyDescent="0.2">
      <c r="A149" s="37" t="s">
        <v>278</v>
      </c>
      <c r="B149" s="5" t="s">
        <v>355</v>
      </c>
      <c r="C149" s="8" t="s">
        <v>11</v>
      </c>
      <c r="D149" s="6">
        <v>3</v>
      </c>
      <c r="E149" s="6">
        <v>3</v>
      </c>
      <c r="F149" s="6">
        <v>2</v>
      </c>
      <c r="G149" s="6">
        <v>2</v>
      </c>
      <c r="H149" s="6">
        <v>3</v>
      </c>
      <c r="I149" s="6">
        <v>2</v>
      </c>
      <c r="J149" s="6">
        <v>2</v>
      </c>
      <c r="K149" s="58">
        <v>47764012.257458597</v>
      </c>
      <c r="L149" s="58">
        <v>13389747.379999999</v>
      </c>
      <c r="M149" s="58">
        <v>20691300.951611429</v>
      </c>
      <c r="N149" s="58">
        <f t="shared" si="78"/>
        <v>0</v>
      </c>
      <c r="O149" s="60">
        <f t="shared" si="79"/>
        <v>47764012.257458597</v>
      </c>
      <c r="P149" s="57">
        <v>1008927.19</v>
      </c>
      <c r="Q149" s="57">
        <v>1017001.82</v>
      </c>
      <c r="R149" s="57">
        <v>1166145.69</v>
      </c>
      <c r="S149" s="61">
        <v>7206380.6100000003</v>
      </c>
      <c r="T149" s="57">
        <v>0</v>
      </c>
      <c r="U149" s="57">
        <v>0</v>
      </c>
      <c r="V149" s="62">
        <f t="shared" si="93"/>
        <v>10398455.310000001</v>
      </c>
      <c r="W149" s="63">
        <f t="shared" si="80"/>
        <v>37365556.947458595</v>
      </c>
      <c r="X149" s="64">
        <f t="shared" si="81"/>
        <v>0</v>
      </c>
      <c r="Y149" s="57">
        <f t="shared" si="82"/>
        <v>432892.52330663218</v>
      </c>
      <c r="Z149" s="57">
        <f t="shared" si="83"/>
        <v>645337.69127404923</v>
      </c>
      <c r="AA149" s="57">
        <f t="shared" si="84"/>
        <v>212445.16796741704</v>
      </c>
      <c r="AB149" s="57">
        <f t="shared" si="85"/>
        <v>0</v>
      </c>
      <c r="AC149" s="57">
        <f t="shared" si="86"/>
        <v>0</v>
      </c>
      <c r="AD149" s="57">
        <f t="shared" si="87"/>
        <v>432892.52</v>
      </c>
      <c r="AE149" s="57">
        <f t="shared" si="88"/>
        <v>0</v>
      </c>
      <c r="AF149" s="57">
        <f t="shared" si="89"/>
        <v>0</v>
      </c>
      <c r="AG149" s="57">
        <f t="shared" si="90"/>
        <v>0</v>
      </c>
      <c r="AH149" s="64">
        <f t="shared" si="91"/>
        <v>0</v>
      </c>
      <c r="AI149" s="112">
        <f t="shared" si="92"/>
        <v>0</v>
      </c>
    </row>
    <row r="150" spans="1:35" ht="38.25" x14ac:dyDescent="0.2">
      <c r="A150" s="37" t="s">
        <v>174</v>
      </c>
      <c r="B150" s="5" t="s">
        <v>340</v>
      </c>
      <c r="C150" s="8" t="s">
        <v>20</v>
      </c>
      <c r="D150" s="6">
        <v>3</v>
      </c>
      <c r="E150" s="6">
        <v>3</v>
      </c>
      <c r="F150" s="6">
        <v>2</v>
      </c>
      <c r="G150" s="6">
        <v>2</v>
      </c>
      <c r="H150" s="6">
        <v>3</v>
      </c>
      <c r="I150" s="6">
        <v>2</v>
      </c>
      <c r="J150" s="6">
        <v>2</v>
      </c>
      <c r="K150" s="58">
        <v>28387461.322685301</v>
      </c>
      <c r="L150" s="58">
        <v>18057044.75</v>
      </c>
      <c r="M150" s="58">
        <v>21717053.139322117</v>
      </c>
      <c r="N150" s="58">
        <f t="shared" si="78"/>
        <v>0</v>
      </c>
      <c r="O150" s="60">
        <f t="shared" si="79"/>
        <v>28387461.322685301</v>
      </c>
      <c r="P150" s="57">
        <v>1553912.68</v>
      </c>
      <c r="Q150" s="57">
        <v>1566331.88</v>
      </c>
      <c r="R150" s="57">
        <v>1710094.13</v>
      </c>
      <c r="S150" s="61">
        <v>10921917.779999999</v>
      </c>
      <c r="T150" s="57">
        <v>0</v>
      </c>
      <c r="U150" s="57">
        <v>0</v>
      </c>
      <c r="V150" s="62">
        <f t="shared" si="93"/>
        <v>15752256.469999999</v>
      </c>
      <c r="W150" s="63">
        <f t="shared" si="80"/>
        <v>12635204.852685302</v>
      </c>
      <c r="X150" s="64">
        <f t="shared" si="81"/>
        <v>0</v>
      </c>
      <c r="Y150" s="57">
        <f t="shared" si="82"/>
        <v>146383.09068606465</v>
      </c>
      <c r="Z150" s="57">
        <f t="shared" si="83"/>
        <v>218221.66172639336</v>
      </c>
      <c r="AA150" s="57">
        <f t="shared" si="84"/>
        <v>71838.571040328708</v>
      </c>
      <c r="AB150" s="57">
        <f t="shared" si="85"/>
        <v>0</v>
      </c>
      <c r="AC150" s="57">
        <f t="shared" si="86"/>
        <v>0</v>
      </c>
      <c r="AD150" s="57">
        <f t="shared" si="87"/>
        <v>146383.09</v>
      </c>
      <c r="AE150" s="57">
        <f t="shared" si="88"/>
        <v>0</v>
      </c>
      <c r="AF150" s="57">
        <f t="shared" si="89"/>
        <v>0</v>
      </c>
      <c r="AG150" s="57">
        <f t="shared" si="90"/>
        <v>0</v>
      </c>
      <c r="AH150" s="64">
        <f t="shared" si="91"/>
        <v>0</v>
      </c>
      <c r="AI150" s="112">
        <f t="shared" si="92"/>
        <v>0</v>
      </c>
    </row>
    <row r="151" spans="1:35" ht="51" x14ac:dyDescent="0.2">
      <c r="A151" s="37" t="s">
        <v>236</v>
      </c>
      <c r="B151" s="5" t="s">
        <v>376</v>
      </c>
      <c r="C151" s="8" t="s">
        <v>538</v>
      </c>
      <c r="D151" s="6">
        <v>3</v>
      </c>
      <c r="E151" s="6">
        <v>3</v>
      </c>
      <c r="F151" s="6">
        <v>2</v>
      </c>
      <c r="G151" s="6">
        <v>2</v>
      </c>
      <c r="H151" s="6">
        <v>1</v>
      </c>
      <c r="I151" s="6">
        <v>2</v>
      </c>
      <c r="J151" s="6">
        <v>2</v>
      </c>
      <c r="K151" s="58">
        <v>43618219.640422098</v>
      </c>
      <c r="L151" s="58">
        <v>21051828.780000001</v>
      </c>
      <c r="M151" s="58">
        <v>17001016.648878761</v>
      </c>
      <c r="N151" s="58">
        <f t="shared" si="78"/>
        <v>4050812.1311212406</v>
      </c>
      <c r="O151" s="60">
        <f t="shared" si="79"/>
        <v>39567407.509300858</v>
      </c>
      <c r="P151" s="57">
        <v>1139513.52</v>
      </c>
      <c r="Q151" s="57">
        <v>1148638.24</v>
      </c>
      <c r="R151" s="57">
        <v>1328706.04</v>
      </c>
      <c r="S151" s="61">
        <v>8216165.1299999999</v>
      </c>
      <c r="T151" s="57">
        <v>0</v>
      </c>
      <c r="U151" s="57">
        <v>0</v>
      </c>
      <c r="V151" s="62">
        <f t="shared" si="93"/>
        <v>11833022.93</v>
      </c>
      <c r="W151" s="63">
        <f t="shared" si="80"/>
        <v>27734384.579300858</v>
      </c>
      <c r="X151" s="64">
        <f t="shared" si="81"/>
        <v>0</v>
      </c>
      <c r="Y151" s="57">
        <f t="shared" si="82"/>
        <v>321312.15760472382</v>
      </c>
      <c r="Z151" s="57">
        <f t="shared" si="83"/>
        <v>478998.44604162767</v>
      </c>
      <c r="AA151" s="57">
        <f t="shared" si="84"/>
        <v>157686.28843690385</v>
      </c>
      <c r="AB151" s="57">
        <f t="shared" si="85"/>
        <v>0</v>
      </c>
      <c r="AC151" s="57">
        <f t="shared" si="86"/>
        <v>0</v>
      </c>
      <c r="AD151" s="57">
        <f t="shared" si="87"/>
        <v>321312.15999999997</v>
      </c>
      <c r="AE151" s="57">
        <f t="shared" si="88"/>
        <v>0</v>
      </c>
      <c r="AF151" s="57">
        <f t="shared" si="89"/>
        <v>0</v>
      </c>
      <c r="AG151" s="57">
        <f t="shared" si="90"/>
        <v>0</v>
      </c>
      <c r="AH151" s="64">
        <f t="shared" si="91"/>
        <v>0</v>
      </c>
      <c r="AI151" s="112">
        <f t="shared" si="92"/>
        <v>0</v>
      </c>
    </row>
    <row r="152" spans="1:35" ht="38.25" x14ac:dyDescent="0.2">
      <c r="A152" s="37" t="s">
        <v>251</v>
      </c>
      <c r="B152" s="5" t="s">
        <v>327</v>
      </c>
      <c r="C152" s="8" t="s">
        <v>26</v>
      </c>
      <c r="D152" s="6">
        <v>3</v>
      </c>
      <c r="E152" s="6">
        <v>3</v>
      </c>
      <c r="F152" s="6">
        <v>2</v>
      </c>
      <c r="G152" s="6">
        <v>2</v>
      </c>
      <c r="H152" s="6">
        <v>3</v>
      </c>
      <c r="I152" s="6">
        <v>2</v>
      </c>
      <c r="J152" s="6">
        <v>2</v>
      </c>
      <c r="K152" s="58">
        <v>101109835.800621</v>
      </c>
      <c r="L152" s="58">
        <v>28164844.450000003</v>
      </c>
      <c r="M152" s="58">
        <v>24958402.185603742</v>
      </c>
      <c r="N152" s="58">
        <f t="shared" si="78"/>
        <v>3206442.2643962614</v>
      </c>
      <c r="O152" s="60">
        <f t="shared" si="79"/>
        <v>97903393.536224738</v>
      </c>
      <c r="P152" s="57">
        <v>2030712.82</v>
      </c>
      <c r="Q152" s="57">
        <v>2047018.15</v>
      </c>
      <c r="R152" s="57">
        <v>2360651.5099999998</v>
      </c>
      <c r="S152" s="61">
        <v>14503905.99</v>
      </c>
      <c r="T152" s="57">
        <v>0</v>
      </c>
      <c r="U152" s="57">
        <v>0</v>
      </c>
      <c r="V152" s="62">
        <f t="shared" si="93"/>
        <v>20942288.469999999</v>
      </c>
      <c r="W152" s="63">
        <f t="shared" si="80"/>
        <v>76961105.066224739</v>
      </c>
      <c r="X152" s="64">
        <f t="shared" si="81"/>
        <v>0</v>
      </c>
      <c r="Y152" s="57">
        <f t="shared" si="82"/>
        <v>891620.24308728601</v>
      </c>
      <c r="Z152" s="57">
        <f t="shared" si="83"/>
        <v>1329189.3904103846</v>
      </c>
      <c r="AA152" s="57">
        <f t="shared" si="84"/>
        <v>437569.14732309862</v>
      </c>
      <c r="AB152" s="57">
        <f t="shared" si="85"/>
        <v>0</v>
      </c>
      <c r="AC152" s="57">
        <f t="shared" si="86"/>
        <v>0</v>
      </c>
      <c r="AD152" s="57">
        <f t="shared" si="87"/>
        <v>891620.24</v>
      </c>
      <c r="AE152" s="57">
        <f t="shared" si="88"/>
        <v>0</v>
      </c>
      <c r="AF152" s="57">
        <f t="shared" si="89"/>
        <v>0</v>
      </c>
      <c r="AG152" s="57">
        <f t="shared" si="90"/>
        <v>0</v>
      </c>
      <c r="AH152" s="64">
        <f t="shared" si="91"/>
        <v>0</v>
      </c>
      <c r="AI152" s="112">
        <f t="shared" si="92"/>
        <v>0</v>
      </c>
    </row>
    <row r="153" spans="1:35" ht="38.25" x14ac:dyDescent="0.2">
      <c r="A153" s="37" t="s">
        <v>175</v>
      </c>
      <c r="B153" s="5" t="s">
        <v>358</v>
      </c>
      <c r="C153" s="8" t="s">
        <v>306</v>
      </c>
      <c r="D153" s="6">
        <v>3</v>
      </c>
      <c r="E153" s="6">
        <v>3</v>
      </c>
      <c r="F153" s="6">
        <v>2</v>
      </c>
      <c r="G153" s="6">
        <v>2</v>
      </c>
      <c r="H153" s="6">
        <v>3</v>
      </c>
      <c r="I153" s="6">
        <v>2</v>
      </c>
      <c r="J153" s="6">
        <v>2</v>
      </c>
      <c r="K153" s="58">
        <v>66878140.798508704</v>
      </c>
      <c r="L153" s="58">
        <v>26106825.030000001</v>
      </c>
      <c r="M153" s="58">
        <v>21121520.990018606</v>
      </c>
      <c r="N153" s="58">
        <f t="shared" si="78"/>
        <v>4985304.039981395</v>
      </c>
      <c r="O153" s="60">
        <f t="shared" si="79"/>
        <v>61892836.758527309</v>
      </c>
      <c r="P153" s="57">
        <v>1696560.8</v>
      </c>
      <c r="Q153" s="57">
        <v>1710198.35</v>
      </c>
      <c r="R153" s="57">
        <v>1991875.29</v>
      </c>
      <c r="S153" s="61">
        <v>10544315.15</v>
      </c>
      <c r="T153" s="57">
        <v>0</v>
      </c>
      <c r="U153" s="57">
        <v>0</v>
      </c>
      <c r="V153" s="62">
        <f t="shared" si="93"/>
        <v>15942949.59</v>
      </c>
      <c r="W153" s="63">
        <f t="shared" si="80"/>
        <v>45949887.168527305</v>
      </c>
      <c r="X153" s="64">
        <f t="shared" si="81"/>
        <v>0</v>
      </c>
      <c r="Y153" s="57">
        <f t="shared" si="82"/>
        <v>532344.8712408857</v>
      </c>
      <c r="Z153" s="57">
        <f t="shared" si="83"/>
        <v>793597.00542767695</v>
      </c>
      <c r="AA153" s="57">
        <f t="shared" si="84"/>
        <v>261252.13418679126</v>
      </c>
      <c r="AB153" s="57">
        <f t="shared" si="85"/>
        <v>0</v>
      </c>
      <c r="AC153" s="57">
        <f t="shared" si="86"/>
        <v>0</v>
      </c>
      <c r="AD153" s="57">
        <f t="shared" si="87"/>
        <v>532344.87</v>
      </c>
      <c r="AE153" s="57">
        <f t="shared" si="88"/>
        <v>0</v>
      </c>
      <c r="AF153" s="57">
        <f t="shared" si="89"/>
        <v>0</v>
      </c>
      <c r="AG153" s="57">
        <f t="shared" si="90"/>
        <v>0</v>
      </c>
      <c r="AH153" s="64">
        <f t="shared" si="91"/>
        <v>0</v>
      </c>
      <c r="AI153" s="112">
        <f t="shared" si="92"/>
        <v>0</v>
      </c>
    </row>
    <row r="154" spans="1:35" ht="51" x14ac:dyDescent="0.2">
      <c r="A154" s="37" t="s">
        <v>250</v>
      </c>
      <c r="B154" s="5" t="s">
        <v>305</v>
      </c>
      <c r="C154" s="8" t="s">
        <v>304</v>
      </c>
      <c r="D154" s="6">
        <v>3</v>
      </c>
      <c r="E154" s="6">
        <v>3</v>
      </c>
      <c r="F154" s="6">
        <v>2</v>
      </c>
      <c r="G154" s="6">
        <v>2</v>
      </c>
      <c r="H154" s="6">
        <v>3</v>
      </c>
      <c r="I154" s="6">
        <v>2</v>
      </c>
      <c r="J154" s="6">
        <v>2</v>
      </c>
      <c r="K154" s="58">
        <v>116197234.47211801</v>
      </c>
      <c r="L154" s="58">
        <v>37147048.289999999</v>
      </c>
      <c r="M154" s="58">
        <v>26629384.204192467</v>
      </c>
      <c r="N154" s="58">
        <f t="shared" si="78"/>
        <v>10517664.085807532</v>
      </c>
      <c r="O154" s="60">
        <f t="shared" si="79"/>
        <v>105679570.38631047</v>
      </c>
      <c r="P154" s="57">
        <v>1171450.92</v>
      </c>
      <c r="Q154" s="57">
        <v>1180921.78</v>
      </c>
      <c r="R154" s="57">
        <v>1421088.51</v>
      </c>
      <c r="S154" s="61">
        <v>8181689.9000000004</v>
      </c>
      <c r="T154" s="57">
        <v>0</v>
      </c>
      <c r="U154" s="57">
        <v>0</v>
      </c>
      <c r="V154" s="62">
        <f t="shared" si="93"/>
        <v>11955151.109999999</v>
      </c>
      <c r="W154" s="63">
        <f t="shared" si="80"/>
        <v>93724419.276310474</v>
      </c>
      <c r="X154" s="64">
        <f t="shared" si="81"/>
        <v>0</v>
      </c>
      <c r="Y154" s="57">
        <f t="shared" si="82"/>
        <v>1085828.8667561351</v>
      </c>
      <c r="Z154" s="57">
        <f t="shared" si="83"/>
        <v>1618707.314782551</v>
      </c>
      <c r="AA154" s="57">
        <f t="shared" si="84"/>
        <v>532878.44802641589</v>
      </c>
      <c r="AB154" s="57">
        <f t="shared" si="85"/>
        <v>0</v>
      </c>
      <c r="AC154" s="57">
        <f t="shared" si="86"/>
        <v>0</v>
      </c>
      <c r="AD154" s="57">
        <f t="shared" si="87"/>
        <v>1085828.8700000001</v>
      </c>
      <c r="AE154" s="57">
        <f t="shared" si="88"/>
        <v>0</v>
      </c>
      <c r="AF154" s="57">
        <f t="shared" si="89"/>
        <v>0</v>
      </c>
      <c r="AG154" s="57">
        <f t="shared" si="90"/>
        <v>0</v>
      </c>
      <c r="AH154" s="64">
        <f t="shared" si="91"/>
        <v>0</v>
      </c>
      <c r="AI154" s="112">
        <f t="shared" si="92"/>
        <v>0</v>
      </c>
    </row>
    <row r="155" spans="1:35" ht="76.5" x14ac:dyDescent="0.2">
      <c r="A155" s="37" t="s">
        <v>140</v>
      </c>
      <c r="B155" s="5" t="s">
        <v>141</v>
      </c>
      <c r="C155" s="8" t="s">
        <v>304</v>
      </c>
      <c r="D155" s="6">
        <v>3</v>
      </c>
      <c r="E155" s="6">
        <v>3</v>
      </c>
      <c r="F155" s="6">
        <v>3</v>
      </c>
      <c r="G155" s="6">
        <v>3</v>
      </c>
      <c r="H155" s="6">
        <v>3</v>
      </c>
      <c r="I155" s="6">
        <v>2</v>
      </c>
      <c r="J155" s="6">
        <v>2</v>
      </c>
      <c r="K155" s="58">
        <v>55499032.378765903</v>
      </c>
      <c r="L155" s="58">
        <v>21499832.530000001</v>
      </c>
      <c r="M155" s="58">
        <v>28206809.963700887</v>
      </c>
      <c r="N155" s="58">
        <f t="shared" si="78"/>
        <v>0</v>
      </c>
      <c r="O155" s="60">
        <f t="shared" si="79"/>
        <v>55499032.378765903</v>
      </c>
      <c r="P155" s="57">
        <v>0</v>
      </c>
      <c r="Q155" s="57">
        <v>0</v>
      </c>
      <c r="R155" s="57">
        <v>0</v>
      </c>
      <c r="S155" s="61">
        <v>7974864.4699999997</v>
      </c>
      <c r="T155" s="57">
        <v>0</v>
      </c>
      <c r="U155" s="57">
        <v>0</v>
      </c>
      <c r="V155" s="62">
        <f t="shared" si="93"/>
        <v>7974864.4699999997</v>
      </c>
      <c r="W155" s="63">
        <f t="shared" si="80"/>
        <v>47524167.908765905</v>
      </c>
      <c r="X155" s="64">
        <f t="shared" si="81"/>
        <v>0</v>
      </c>
      <c r="Y155" s="57">
        <f t="shared" si="82"/>
        <v>550583.44220593781</v>
      </c>
      <c r="Z155" s="57">
        <f t="shared" si="83"/>
        <v>820786.28832131461</v>
      </c>
      <c r="AA155" s="57">
        <f t="shared" si="84"/>
        <v>270202.8461153768</v>
      </c>
      <c r="AB155" s="57">
        <f t="shared" si="85"/>
        <v>270202.8461153768</v>
      </c>
      <c r="AC155" s="57">
        <f t="shared" si="86"/>
        <v>0</v>
      </c>
      <c r="AD155" s="57">
        <f t="shared" si="87"/>
        <v>820786.29</v>
      </c>
      <c r="AE155" s="57">
        <f t="shared" si="88"/>
        <v>270202.8461153768</v>
      </c>
      <c r="AF155" s="57">
        <f t="shared" si="89"/>
        <v>0</v>
      </c>
      <c r="AG155" s="57">
        <f t="shared" si="90"/>
        <v>270202.8461153768</v>
      </c>
      <c r="AH155" s="64">
        <f t="shared" si="91"/>
        <v>0</v>
      </c>
      <c r="AI155" s="112">
        <f t="shared" si="92"/>
        <v>270202.84999999998</v>
      </c>
    </row>
    <row r="156" spans="1:35" ht="51" x14ac:dyDescent="0.2">
      <c r="A156" s="37" t="s">
        <v>165</v>
      </c>
      <c r="B156" s="5" t="s">
        <v>330</v>
      </c>
      <c r="C156" s="8" t="s">
        <v>304</v>
      </c>
      <c r="D156" s="6">
        <v>3</v>
      </c>
      <c r="E156" s="6">
        <v>3</v>
      </c>
      <c r="F156" s="6">
        <v>2</v>
      </c>
      <c r="G156" s="6">
        <v>2</v>
      </c>
      <c r="H156" s="6">
        <v>3</v>
      </c>
      <c r="I156" s="6">
        <v>2</v>
      </c>
      <c r="J156" s="6">
        <v>2</v>
      </c>
      <c r="K156" s="58">
        <v>45108775.787638299</v>
      </c>
      <c r="L156" s="58">
        <v>24680655.240000002</v>
      </c>
      <c r="M156" s="58">
        <v>28980091.266271405</v>
      </c>
      <c r="N156" s="58">
        <f t="shared" si="78"/>
        <v>0</v>
      </c>
      <c r="O156" s="60">
        <f t="shared" si="79"/>
        <v>45108775.787638299</v>
      </c>
      <c r="P156" s="57">
        <v>1595622.8</v>
      </c>
      <c r="Q156" s="57">
        <v>1608329.27</v>
      </c>
      <c r="R156" s="57">
        <v>1745443.79</v>
      </c>
      <c r="S156" s="61">
        <v>12455406.630000001</v>
      </c>
      <c r="T156" s="57">
        <v>0</v>
      </c>
      <c r="U156" s="57">
        <v>0</v>
      </c>
      <c r="V156" s="62">
        <f t="shared" si="93"/>
        <v>17404802.490000002</v>
      </c>
      <c r="W156" s="63">
        <f t="shared" si="80"/>
        <v>27703973.297638297</v>
      </c>
      <c r="X156" s="64">
        <f t="shared" si="81"/>
        <v>0</v>
      </c>
      <c r="Y156" s="57">
        <f t="shared" si="82"/>
        <v>320959.83269559947</v>
      </c>
      <c r="Z156" s="57">
        <f t="shared" si="83"/>
        <v>478473.21510971896</v>
      </c>
      <c r="AA156" s="57">
        <f t="shared" si="84"/>
        <v>157513.38241411949</v>
      </c>
      <c r="AB156" s="57">
        <f t="shared" si="85"/>
        <v>0</v>
      </c>
      <c r="AC156" s="57">
        <f t="shared" si="86"/>
        <v>0</v>
      </c>
      <c r="AD156" s="57">
        <f t="shared" si="87"/>
        <v>320959.83</v>
      </c>
      <c r="AE156" s="57">
        <f t="shared" si="88"/>
        <v>0</v>
      </c>
      <c r="AF156" s="57">
        <f t="shared" si="89"/>
        <v>0</v>
      </c>
      <c r="AG156" s="57">
        <f t="shared" si="90"/>
        <v>0</v>
      </c>
      <c r="AH156" s="64">
        <f t="shared" si="91"/>
        <v>0</v>
      </c>
      <c r="AI156" s="112">
        <f t="shared" si="92"/>
        <v>0</v>
      </c>
    </row>
    <row r="157" spans="1:35" ht="51" x14ac:dyDescent="0.2">
      <c r="A157" s="37" t="s">
        <v>298</v>
      </c>
      <c r="B157" s="5" t="s">
        <v>333</v>
      </c>
      <c r="C157" s="8" t="s">
        <v>542</v>
      </c>
      <c r="D157" s="6">
        <v>3</v>
      </c>
      <c r="E157" s="6">
        <v>3</v>
      </c>
      <c r="F157" s="6">
        <v>2</v>
      </c>
      <c r="G157" s="6">
        <v>2</v>
      </c>
      <c r="H157" s="6">
        <v>3</v>
      </c>
      <c r="I157" s="6">
        <v>2</v>
      </c>
      <c r="J157" s="6">
        <v>2</v>
      </c>
      <c r="K157" s="58">
        <v>48234969.598496199</v>
      </c>
      <c r="L157" s="58">
        <v>21114242.829999998</v>
      </c>
      <c r="M157" s="58">
        <v>28671687.730068114</v>
      </c>
      <c r="N157" s="58">
        <f t="shared" si="78"/>
        <v>0</v>
      </c>
      <c r="O157" s="60">
        <f t="shared" si="79"/>
        <v>48234969.598496199</v>
      </c>
      <c r="P157" s="57">
        <v>0</v>
      </c>
      <c r="Q157" s="57">
        <v>0</v>
      </c>
      <c r="R157" s="57">
        <v>0</v>
      </c>
      <c r="S157" s="61">
        <v>9116323.25</v>
      </c>
      <c r="T157" s="57">
        <v>0</v>
      </c>
      <c r="U157" s="57">
        <v>0</v>
      </c>
      <c r="V157" s="62">
        <f t="shared" si="93"/>
        <v>9116323.25</v>
      </c>
      <c r="W157" s="63">
        <f t="shared" si="80"/>
        <v>39118646.348496199</v>
      </c>
      <c r="X157" s="64">
        <f t="shared" si="81"/>
        <v>0</v>
      </c>
      <c r="Y157" s="57">
        <f t="shared" si="82"/>
        <v>453202.65264484612</v>
      </c>
      <c r="Z157" s="57">
        <f t="shared" si="83"/>
        <v>675615.16494461265</v>
      </c>
      <c r="AA157" s="57">
        <f t="shared" si="84"/>
        <v>222412.51229976653</v>
      </c>
      <c r="AB157" s="57">
        <f t="shared" si="85"/>
        <v>0</v>
      </c>
      <c r="AC157" s="57">
        <f t="shared" si="86"/>
        <v>0</v>
      </c>
      <c r="AD157" s="57">
        <f t="shared" si="87"/>
        <v>453202.65</v>
      </c>
      <c r="AE157" s="57">
        <f t="shared" si="88"/>
        <v>0</v>
      </c>
      <c r="AF157" s="57">
        <f t="shared" si="89"/>
        <v>0</v>
      </c>
      <c r="AG157" s="57">
        <f t="shared" si="90"/>
        <v>0</v>
      </c>
      <c r="AH157" s="64">
        <f t="shared" si="91"/>
        <v>0</v>
      </c>
      <c r="AI157" s="112">
        <f t="shared" si="92"/>
        <v>0</v>
      </c>
    </row>
    <row r="158" spans="1:35" ht="38.25" x14ac:dyDescent="0.2">
      <c r="A158" s="37" t="s">
        <v>237</v>
      </c>
      <c r="B158" s="5" t="s">
        <v>386</v>
      </c>
      <c r="C158" s="8" t="s">
        <v>534</v>
      </c>
      <c r="D158" s="6">
        <v>3</v>
      </c>
      <c r="E158" s="6">
        <v>3</v>
      </c>
      <c r="F158" s="6">
        <v>2</v>
      </c>
      <c r="G158" s="6">
        <v>2</v>
      </c>
      <c r="H158" s="6">
        <v>1</v>
      </c>
      <c r="I158" s="6">
        <v>2</v>
      </c>
      <c r="J158" s="6">
        <v>2</v>
      </c>
      <c r="K158" s="58">
        <v>122383972.426378</v>
      </c>
      <c r="L158" s="58">
        <v>43788556.789999999</v>
      </c>
      <c r="M158" s="58">
        <v>20787073.296998218</v>
      </c>
      <c r="N158" s="58">
        <f t="shared" si="78"/>
        <v>23001483.493001781</v>
      </c>
      <c r="O158" s="60">
        <f t="shared" si="79"/>
        <v>99382488.933376223</v>
      </c>
      <c r="P158" s="57">
        <v>1504511.68</v>
      </c>
      <c r="Q158" s="57">
        <v>1516682.23</v>
      </c>
      <c r="R158" s="57">
        <v>1861182.44</v>
      </c>
      <c r="S158" s="61">
        <v>11668649.279999999</v>
      </c>
      <c r="T158" s="57">
        <v>0</v>
      </c>
      <c r="U158" s="57">
        <v>0</v>
      </c>
      <c r="V158" s="62">
        <f t="shared" si="93"/>
        <v>16551025.629999999</v>
      </c>
      <c r="W158" s="63">
        <f t="shared" si="80"/>
        <v>82831463.303376228</v>
      </c>
      <c r="X158" s="64">
        <f t="shared" si="81"/>
        <v>0</v>
      </c>
      <c r="Y158" s="57">
        <f t="shared" si="82"/>
        <v>959630.3143293052</v>
      </c>
      <c r="Z158" s="57">
        <f t="shared" si="83"/>
        <v>1430575.9009083263</v>
      </c>
      <c r="AA158" s="57">
        <f t="shared" si="84"/>
        <v>470945.58657902107</v>
      </c>
      <c r="AB158" s="57">
        <f t="shared" si="85"/>
        <v>0</v>
      </c>
      <c r="AC158" s="57">
        <f t="shared" si="86"/>
        <v>0</v>
      </c>
      <c r="AD158" s="57">
        <f t="shared" si="87"/>
        <v>959630.31</v>
      </c>
      <c r="AE158" s="57">
        <f t="shared" si="88"/>
        <v>0</v>
      </c>
      <c r="AF158" s="57">
        <f t="shared" si="89"/>
        <v>0</v>
      </c>
      <c r="AG158" s="57">
        <f t="shared" si="90"/>
        <v>0</v>
      </c>
      <c r="AH158" s="64">
        <f t="shared" si="91"/>
        <v>0</v>
      </c>
      <c r="AI158" s="112">
        <f t="shared" si="92"/>
        <v>0</v>
      </c>
    </row>
    <row r="159" spans="1:35" ht="63.75" x14ac:dyDescent="0.2">
      <c r="A159" s="37" t="s">
        <v>194</v>
      </c>
      <c r="B159" s="5" t="s">
        <v>440</v>
      </c>
      <c r="C159" s="8" t="s">
        <v>321</v>
      </c>
      <c r="D159" s="6">
        <v>3</v>
      </c>
      <c r="E159" s="6">
        <v>3</v>
      </c>
      <c r="F159" s="6">
        <v>2</v>
      </c>
      <c r="G159" s="6">
        <v>2</v>
      </c>
      <c r="H159" s="6">
        <v>3</v>
      </c>
      <c r="I159" s="6">
        <v>2</v>
      </c>
      <c r="J159" s="6">
        <v>2</v>
      </c>
      <c r="K159" s="58">
        <v>93208059.350084499</v>
      </c>
      <c r="L159" s="58">
        <v>35831558.359999999</v>
      </c>
      <c r="M159" s="58">
        <v>29751072.627998717</v>
      </c>
      <c r="N159" s="58">
        <f t="shared" si="78"/>
        <v>6080485.7320012823</v>
      </c>
      <c r="O159" s="60">
        <f t="shared" si="79"/>
        <v>87127573.618083209</v>
      </c>
      <c r="P159" s="57">
        <v>1280002.79</v>
      </c>
      <c r="Q159" s="57">
        <v>1290316.8400000001</v>
      </c>
      <c r="R159" s="57">
        <v>1520081.6</v>
      </c>
      <c r="S159" s="61">
        <v>7953356.6100000003</v>
      </c>
      <c r="T159" s="57">
        <v>0</v>
      </c>
      <c r="U159" s="57">
        <v>0</v>
      </c>
      <c r="V159" s="62">
        <f t="shared" si="93"/>
        <v>12043757.84</v>
      </c>
      <c r="W159" s="63">
        <f t="shared" si="80"/>
        <v>75083815.778083205</v>
      </c>
      <c r="X159" s="64">
        <f t="shared" si="81"/>
        <v>0</v>
      </c>
      <c r="Y159" s="57">
        <f t="shared" si="82"/>
        <v>869871.21635491808</v>
      </c>
      <c r="Z159" s="57">
        <f t="shared" si="83"/>
        <v>1296766.869938757</v>
      </c>
      <c r="AA159" s="57">
        <f t="shared" si="84"/>
        <v>426895.65358383895</v>
      </c>
      <c r="AB159" s="57">
        <f t="shared" si="85"/>
        <v>0</v>
      </c>
      <c r="AC159" s="57">
        <f t="shared" si="86"/>
        <v>0</v>
      </c>
      <c r="AD159" s="57">
        <f t="shared" si="87"/>
        <v>869871.22</v>
      </c>
      <c r="AE159" s="57">
        <f t="shared" si="88"/>
        <v>0</v>
      </c>
      <c r="AF159" s="57">
        <f t="shared" si="89"/>
        <v>0</v>
      </c>
      <c r="AG159" s="57">
        <f t="shared" si="90"/>
        <v>0</v>
      </c>
      <c r="AH159" s="64">
        <f t="shared" si="91"/>
        <v>0</v>
      </c>
      <c r="AI159" s="112">
        <f t="shared" si="92"/>
        <v>0</v>
      </c>
    </row>
    <row r="160" spans="1:35" ht="51" x14ac:dyDescent="0.2">
      <c r="A160" s="37" t="s">
        <v>180</v>
      </c>
      <c r="B160" s="5" t="s">
        <v>366</v>
      </c>
      <c r="C160" s="8" t="s">
        <v>307</v>
      </c>
      <c r="D160" s="6">
        <v>3</v>
      </c>
      <c r="E160" s="6">
        <v>3</v>
      </c>
      <c r="F160" s="6">
        <v>2</v>
      </c>
      <c r="G160" s="6">
        <v>2</v>
      </c>
      <c r="H160" s="6">
        <v>1</v>
      </c>
      <c r="I160" s="6">
        <v>2</v>
      </c>
      <c r="J160" s="6">
        <v>2</v>
      </c>
      <c r="K160" s="58">
        <v>37894479.424828403</v>
      </c>
      <c r="L160" s="58">
        <v>20634019.300000001</v>
      </c>
      <c r="M160" s="58">
        <v>32620384.507873446</v>
      </c>
      <c r="N160" s="58">
        <f t="shared" si="78"/>
        <v>0</v>
      </c>
      <c r="O160" s="60">
        <f t="shared" si="79"/>
        <v>37894479.424828403</v>
      </c>
      <c r="P160" s="57">
        <v>534269.82999999996</v>
      </c>
      <c r="Q160" s="57">
        <v>538592.96</v>
      </c>
      <c r="R160" s="57">
        <v>653405.77</v>
      </c>
      <c r="S160" s="61">
        <v>4694949.16</v>
      </c>
      <c r="T160" s="57">
        <v>0</v>
      </c>
      <c r="U160" s="57">
        <v>0</v>
      </c>
      <c r="V160" s="62">
        <f t="shared" si="93"/>
        <v>6421217.7200000007</v>
      </c>
      <c r="W160" s="63">
        <f t="shared" si="80"/>
        <v>31473261.704828404</v>
      </c>
      <c r="X160" s="64">
        <f t="shared" si="81"/>
        <v>0</v>
      </c>
      <c r="Y160" s="57">
        <f t="shared" si="82"/>
        <v>364628.30449044955</v>
      </c>
      <c r="Z160" s="57">
        <f t="shared" si="83"/>
        <v>543572.30842344894</v>
      </c>
      <c r="AA160" s="57">
        <f t="shared" si="84"/>
        <v>178944.00393299939</v>
      </c>
      <c r="AB160" s="57">
        <f t="shared" si="85"/>
        <v>0</v>
      </c>
      <c r="AC160" s="57">
        <f t="shared" si="86"/>
        <v>0</v>
      </c>
      <c r="AD160" s="57">
        <f t="shared" si="87"/>
        <v>364628.3</v>
      </c>
      <c r="AE160" s="57">
        <f t="shared" si="88"/>
        <v>0</v>
      </c>
      <c r="AF160" s="57">
        <f t="shared" si="89"/>
        <v>0</v>
      </c>
      <c r="AG160" s="57">
        <f t="shared" si="90"/>
        <v>0</v>
      </c>
      <c r="AH160" s="64">
        <f t="shared" si="91"/>
        <v>0</v>
      </c>
      <c r="AI160" s="112">
        <f t="shared" si="92"/>
        <v>0</v>
      </c>
    </row>
    <row r="161" spans="1:35" ht="63.75" x14ac:dyDescent="0.2">
      <c r="A161" s="37" t="s">
        <v>173</v>
      </c>
      <c r="B161" s="5" t="s">
        <v>391</v>
      </c>
      <c r="C161" s="8" t="s">
        <v>34</v>
      </c>
      <c r="D161" s="6">
        <v>3</v>
      </c>
      <c r="E161" s="6">
        <v>3</v>
      </c>
      <c r="F161" s="6">
        <v>2</v>
      </c>
      <c r="G161" s="6">
        <v>2</v>
      </c>
      <c r="H161" s="6">
        <v>1</v>
      </c>
      <c r="I161" s="6">
        <v>2</v>
      </c>
      <c r="J161" s="6">
        <v>2</v>
      </c>
      <c r="K161" s="58">
        <v>70453706.302930698</v>
      </c>
      <c r="L161" s="58">
        <v>28439460.450000003</v>
      </c>
      <c r="M161" s="58">
        <v>38031453.844037145</v>
      </c>
      <c r="N161" s="58">
        <f t="shared" si="78"/>
        <v>0</v>
      </c>
      <c r="O161" s="60">
        <f t="shared" si="79"/>
        <v>70453706.302930698</v>
      </c>
      <c r="P161" s="57">
        <v>811793.85</v>
      </c>
      <c r="Q161" s="57">
        <v>818344.49</v>
      </c>
      <c r="R161" s="57">
        <v>986845.62</v>
      </c>
      <c r="S161" s="61">
        <v>5428455.3399999999</v>
      </c>
      <c r="T161" s="57">
        <v>0</v>
      </c>
      <c r="U161" s="57">
        <v>0</v>
      </c>
      <c r="V161" s="62">
        <f t="shared" si="93"/>
        <v>8045439.2999999998</v>
      </c>
      <c r="W161" s="63">
        <f t="shared" si="80"/>
        <v>62408267.002930701</v>
      </c>
      <c r="X161" s="64">
        <f t="shared" si="81"/>
        <v>0</v>
      </c>
      <c r="Y161" s="57">
        <f t="shared" si="82"/>
        <v>723020.7277809676</v>
      </c>
      <c r="Z161" s="57">
        <f t="shared" si="83"/>
        <v>1077848.4313967915</v>
      </c>
      <c r="AA161" s="57">
        <f t="shared" si="84"/>
        <v>354827.70361582388</v>
      </c>
      <c r="AB161" s="57">
        <f t="shared" si="85"/>
        <v>0</v>
      </c>
      <c r="AC161" s="57">
        <f t="shared" si="86"/>
        <v>0</v>
      </c>
      <c r="AD161" s="57">
        <f t="shared" si="87"/>
        <v>723020.73</v>
      </c>
      <c r="AE161" s="57">
        <f t="shared" si="88"/>
        <v>0</v>
      </c>
      <c r="AF161" s="57">
        <f t="shared" si="89"/>
        <v>0</v>
      </c>
      <c r="AG161" s="57">
        <f t="shared" si="90"/>
        <v>0</v>
      </c>
      <c r="AH161" s="64">
        <f t="shared" si="91"/>
        <v>0</v>
      </c>
      <c r="AI161" s="112">
        <f t="shared" si="92"/>
        <v>0</v>
      </c>
    </row>
    <row r="162" spans="1:35" ht="63.75" x14ac:dyDescent="0.2">
      <c r="A162" s="37" t="s">
        <v>193</v>
      </c>
      <c r="B162" s="5" t="s">
        <v>394</v>
      </c>
      <c r="C162" s="8" t="s">
        <v>543</v>
      </c>
      <c r="D162" s="6">
        <v>3</v>
      </c>
      <c r="E162" s="6">
        <v>3</v>
      </c>
      <c r="F162" s="6">
        <v>2</v>
      </c>
      <c r="G162" s="6">
        <v>1</v>
      </c>
      <c r="H162" s="6">
        <v>1</v>
      </c>
      <c r="I162" s="6">
        <v>2</v>
      </c>
      <c r="J162" s="6">
        <v>2</v>
      </c>
      <c r="K162" s="58">
        <v>54655082.364520699</v>
      </c>
      <c r="L162" s="58">
        <v>34327435.350000001</v>
      </c>
      <c r="M162" s="58">
        <v>40721959.119967163</v>
      </c>
      <c r="N162" s="58">
        <f t="shared" si="78"/>
        <v>0</v>
      </c>
      <c r="O162" s="60">
        <f t="shared" si="79"/>
        <v>54655082.364520699</v>
      </c>
      <c r="P162" s="57">
        <v>598053.38</v>
      </c>
      <c r="Q162" s="57">
        <v>602938.91</v>
      </c>
      <c r="R162" s="57">
        <v>785813.2</v>
      </c>
      <c r="S162" s="61">
        <v>5076092.68</v>
      </c>
      <c r="T162" s="57">
        <v>0</v>
      </c>
      <c r="U162" s="57">
        <v>0</v>
      </c>
      <c r="V162" s="62">
        <f t="shared" si="93"/>
        <v>7062898.1699999999</v>
      </c>
      <c r="W162" s="63">
        <f t="shared" si="80"/>
        <v>47592184.194520697</v>
      </c>
      <c r="X162" s="64">
        <f t="shared" si="81"/>
        <v>0</v>
      </c>
      <c r="Y162" s="57">
        <f t="shared" si="82"/>
        <v>551371.43371393916</v>
      </c>
      <c r="Z162" s="57">
        <f t="shared" si="83"/>
        <v>821960.9924179177</v>
      </c>
      <c r="AA162" s="57">
        <f t="shared" si="84"/>
        <v>270589.55870397855</v>
      </c>
      <c r="AB162" s="57">
        <f t="shared" si="85"/>
        <v>0</v>
      </c>
      <c r="AC162" s="57">
        <f t="shared" si="86"/>
        <v>0</v>
      </c>
      <c r="AD162" s="57">
        <f t="shared" si="87"/>
        <v>551371.43000000005</v>
      </c>
      <c r="AE162" s="57">
        <f t="shared" si="88"/>
        <v>0</v>
      </c>
      <c r="AF162" s="57">
        <f t="shared" si="89"/>
        <v>0</v>
      </c>
      <c r="AG162" s="57">
        <f t="shared" si="90"/>
        <v>0</v>
      </c>
      <c r="AH162" s="64">
        <f t="shared" si="91"/>
        <v>0</v>
      </c>
      <c r="AI162" s="112">
        <f t="shared" si="92"/>
        <v>0</v>
      </c>
    </row>
    <row r="163" spans="1:35" ht="51" x14ac:dyDescent="0.2">
      <c r="A163" s="37" t="s">
        <v>162</v>
      </c>
      <c r="B163" s="5" t="s">
        <v>329</v>
      </c>
      <c r="C163" s="8" t="s">
        <v>304</v>
      </c>
      <c r="D163" s="6">
        <v>3</v>
      </c>
      <c r="E163" s="6">
        <v>3</v>
      </c>
      <c r="F163" s="6">
        <v>2</v>
      </c>
      <c r="G163" s="6">
        <v>2</v>
      </c>
      <c r="H163" s="6">
        <v>3</v>
      </c>
      <c r="I163" s="6">
        <v>2</v>
      </c>
      <c r="J163" s="6">
        <v>2</v>
      </c>
      <c r="K163" s="58">
        <v>65901372.970199697</v>
      </c>
      <c r="L163" s="58">
        <v>22768570.079999998</v>
      </c>
      <c r="M163" s="58">
        <v>43329685.768848099</v>
      </c>
      <c r="N163" s="58">
        <f t="shared" si="78"/>
        <v>0</v>
      </c>
      <c r="O163" s="60">
        <f t="shared" si="79"/>
        <v>65901372.970199697</v>
      </c>
      <c r="P163" s="57">
        <v>778656.22</v>
      </c>
      <c r="Q163" s="57">
        <v>784931.85</v>
      </c>
      <c r="R163" s="57">
        <v>944896.35</v>
      </c>
      <c r="S163" s="61">
        <v>6661581.9199999999</v>
      </c>
      <c r="T163" s="57">
        <v>0</v>
      </c>
      <c r="U163" s="57">
        <v>0</v>
      </c>
      <c r="V163" s="62">
        <f t="shared" si="93"/>
        <v>9170066.3399999999</v>
      </c>
      <c r="W163" s="63">
        <f t="shared" si="80"/>
        <v>56731306.630199701</v>
      </c>
      <c r="X163" s="64">
        <f t="shared" si="81"/>
        <v>0</v>
      </c>
      <c r="Y163" s="57">
        <f t="shared" si="82"/>
        <v>657251.23573461862</v>
      </c>
      <c r="Z163" s="57">
        <f t="shared" si="83"/>
        <v>979802.08070157818</v>
      </c>
      <c r="AA163" s="57">
        <f t="shared" si="84"/>
        <v>322550.84496695956</v>
      </c>
      <c r="AB163" s="57">
        <f t="shared" si="85"/>
        <v>0</v>
      </c>
      <c r="AC163" s="57">
        <f t="shared" si="86"/>
        <v>0</v>
      </c>
      <c r="AD163" s="57">
        <f t="shared" si="87"/>
        <v>657251.24</v>
      </c>
      <c r="AE163" s="57">
        <f t="shared" si="88"/>
        <v>0</v>
      </c>
      <c r="AF163" s="57">
        <f t="shared" si="89"/>
        <v>0</v>
      </c>
      <c r="AG163" s="57">
        <f t="shared" si="90"/>
        <v>0</v>
      </c>
      <c r="AH163" s="64">
        <f t="shared" si="91"/>
        <v>0</v>
      </c>
      <c r="AI163" s="112">
        <f t="shared" si="92"/>
        <v>0</v>
      </c>
    </row>
    <row r="164" spans="1:35" ht="63.75" x14ac:dyDescent="0.2">
      <c r="A164" s="37" t="s">
        <v>257</v>
      </c>
      <c r="B164" s="5" t="s">
        <v>356</v>
      </c>
      <c r="C164" s="8" t="s">
        <v>11</v>
      </c>
      <c r="D164" s="6">
        <v>3</v>
      </c>
      <c r="E164" s="6">
        <v>3</v>
      </c>
      <c r="F164" s="6">
        <v>2</v>
      </c>
      <c r="G164" s="6">
        <v>2</v>
      </c>
      <c r="H164" s="6">
        <v>3</v>
      </c>
      <c r="I164" s="6">
        <v>2</v>
      </c>
      <c r="J164" s="6">
        <v>2</v>
      </c>
      <c r="K164" s="58">
        <v>57363270.863238201</v>
      </c>
      <c r="L164" s="58">
        <v>35794857.229999997</v>
      </c>
      <c r="M164" s="58">
        <v>53404646.312831387</v>
      </c>
      <c r="N164" s="58">
        <f t="shared" si="78"/>
        <v>0</v>
      </c>
      <c r="O164" s="60">
        <f t="shared" si="79"/>
        <v>57363270.863238201</v>
      </c>
      <c r="P164" s="57">
        <v>817332.1</v>
      </c>
      <c r="Q164" s="57">
        <v>823887.81</v>
      </c>
      <c r="R164" s="57">
        <v>958162.19</v>
      </c>
      <c r="S164" s="61">
        <v>6410226.0599999996</v>
      </c>
      <c r="T164" s="57">
        <v>0</v>
      </c>
      <c r="U164" s="57">
        <v>0</v>
      </c>
      <c r="V164" s="62">
        <f t="shared" si="93"/>
        <v>9009608.1600000001</v>
      </c>
      <c r="W164" s="63">
        <f t="shared" si="80"/>
        <v>48353662.703238204</v>
      </c>
      <c r="X164" s="64">
        <f t="shared" si="81"/>
        <v>0</v>
      </c>
      <c r="Y164" s="57">
        <f t="shared" si="82"/>
        <v>560193.41791575402</v>
      </c>
      <c r="Z164" s="57">
        <f t="shared" si="83"/>
        <v>835112.42980881641</v>
      </c>
      <c r="AA164" s="57">
        <f t="shared" si="84"/>
        <v>274919.01189306239</v>
      </c>
      <c r="AB164" s="57">
        <f t="shared" si="85"/>
        <v>0</v>
      </c>
      <c r="AC164" s="57">
        <f t="shared" si="86"/>
        <v>0</v>
      </c>
      <c r="AD164" s="57">
        <f t="shared" si="87"/>
        <v>560193.42000000004</v>
      </c>
      <c r="AE164" s="57">
        <f t="shared" si="88"/>
        <v>0</v>
      </c>
      <c r="AF164" s="57">
        <f t="shared" si="89"/>
        <v>0</v>
      </c>
      <c r="AG164" s="57">
        <f t="shared" si="90"/>
        <v>0</v>
      </c>
      <c r="AH164" s="64">
        <f t="shared" si="91"/>
        <v>0</v>
      </c>
      <c r="AI164" s="112">
        <f t="shared" si="92"/>
        <v>0</v>
      </c>
    </row>
    <row r="165" spans="1:35" ht="63.75" x14ac:dyDescent="0.2">
      <c r="A165" s="37" t="s">
        <v>238</v>
      </c>
      <c r="B165" s="5" t="s">
        <v>352</v>
      </c>
      <c r="C165" s="8" t="s">
        <v>11</v>
      </c>
      <c r="D165" s="6">
        <v>3</v>
      </c>
      <c r="E165" s="6">
        <v>3</v>
      </c>
      <c r="F165" s="6">
        <v>2</v>
      </c>
      <c r="G165" s="6">
        <v>2</v>
      </c>
      <c r="H165" s="6">
        <v>3</v>
      </c>
      <c r="I165" s="6">
        <v>2</v>
      </c>
      <c r="J165" s="6">
        <v>2</v>
      </c>
      <c r="K165" s="58">
        <v>166843121.65923101</v>
      </c>
      <c r="L165" s="58">
        <v>48680808.450000003</v>
      </c>
      <c r="M165" s="58">
        <v>54572818.184561722</v>
      </c>
      <c r="N165" s="58">
        <f t="shared" si="78"/>
        <v>0</v>
      </c>
      <c r="O165" s="60">
        <f t="shared" si="79"/>
        <v>166843121.65923101</v>
      </c>
      <c r="P165" s="57">
        <v>2992900.65</v>
      </c>
      <c r="Q165" s="57">
        <v>3016917.68</v>
      </c>
      <c r="R165" s="57">
        <v>3533366.67</v>
      </c>
      <c r="S165" s="61">
        <v>23876773.530000001</v>
      </c>
      <c r="T165" s="57">
        <v>0</v>
      </c>
      <c r="U165" s="57">
        <v>0</v>
      </c>
      <c r="V165" s="62">
        <f t="shared" si="93"/>
        <v>33419958.530000001</v>
      </c>
      <c r="W165" s="63">
        <f t="shared" si="80"/>
        <v>133423163.12923101</v>
      </c>
      <c r="X165" s="64">
        <f t="shared" si="81"/>
        <v>0</v>
      </c>
      <c r="Y165" s="57">
        <f t="shared" si="82"/>
        <v>1545752.1437665499</v>
      </c>
      <c r="Z165" s="57">
        <f t="shared" si="83"/>
        <v>2304341.2995923525</v>
      </c>
      <c r="AA165" s="57">
        <f t="shared" si="84"/>
        <v>758589.15582580259</v>
      </c>
      <c r="AB165" s="57">
        <f t="shared" si="85"/>
        <v>0</v>
      </c>
      <c r="AC165" s="57">
        <f t="shared" si="86"/>
        <v>0</v>
      </c>
      <c r="AD165" s="57">
        <f t="shared" si="87"/>
        <v>1545752.14</v>
      </c>
      <c r="AE165" s="57">
        <f t="shared" si="88"/>
        <v>0</v>
      </c>
      <c r="AF165" s="57">
        <f t="shared" si="89"/>
        <v>0</v>
      </c>
      <c r="AG165" s="57">
        <f t="shared" si="90"/>
        <v>0</v>
      </c>
      <c r="AH165" s="64">
        <f t="shared" si="91"/>
        <v>0</v>
      </c>
      <c r="AI165" s="112">
        <f t="shared" si="92"/>
        <v>0</v>
      </c>
    </row>
    <row r="166" spans="1:35" ht="51" x14ac:dyDescent="0.2">
      <c r="A166" s="37" t="s">
        <v>160</v>
      </c>
      <c r="B166" s="5" t="s">
        <v>239</v>
      </c>
      <c r="C166" s="8" t="s">
        <v>11</v>
      </c>
      <c r="D166" s="6">
        <v>3</v>
      </c>
      <c r="E166" s="6">
        <v>3</v>
      </c>
      <c r="F166" s="6">
        <v>2</v>
      </c>
      <c r="G166" s="6">
        <v>2</v>
      </c>
      <c r="H166" s="6">
        <v>3</v>
      </c>
      <c r="I166" s="6">
        <v>2</v>
      </c>
      <c r="J166" s="6">
        <v>2</v>
      </c>
      <c r="K166" s="58">
        <v>204759990.16850701</v>
      </c>
      <c r="L166" s="58">
        <v>72499905.719999999</v>
      </c>
      <c r="M166" s="58">
        <v>72786981.31877017</v>
      </c>
      <c r="N166" s="58">
        <f t="shared" si="78"/>
        <v>0</v>
      </c>
      <c r="O166" s="60">
        <f t="shared" si="79"/>
        <v>204759990.16850701</v>
      </c>
      <c r="P166" s="57">
        <v>2863640.3</v>
      </c>
      <c r="Q166" s="57">
        <v>2886703.24</v>
      </c>
      <c r="R166" s="57">
        <v>3423561.61</v>
      </c>
      <c r="S166" s="61">
        <v>20823025.960000001</v>
      </c>
      <c r="T166" s="57">
        <v>0</v>
      </c>
      <c r="U166" s="57">
        <v>0</v>
      </c>
      <c r="V166" s="62">
        <f t="shared" si="93"/>
        <v>29996931.109999999</v>
      </c>
      <c r="W166" s="63">
        <f t="shared" si="80"/>
        <v>174763059.05850703</v>
      </c>
      <c r="X166" s="64">
        <f t="shared" si="81"/>
        <v>0</v>
      </c>
      <c r="Y166" s="57">
        <f t="shared" si="82"/>
        <v>2024688.7186240281</v>
      </c>
      <c r="Z166" s="57">
        <f t="shared" si="83"/>
        <v>3018319.4970543059</v>
      </c>
      <c r="AA166" s="57">
        <f t="shared" si="84"/>
        <v>993630.77843027771</v>
      </c>
      <c r="AB166" s="57">
        <f t="shared" si="85"/>
        <v>0</v>
      </c>
      <c r="AC166" s="57">
        <f t="shared" si="86"/>
        <v>0</v>
      </c>
      <c r="AD166" s="57">
        <f t="shared" si="87"/>
        <v>2024688.72</v>
      </c>
      <c r="AE166" s="57">
        <f t="shared" si="88"/>
        <v>0</v>
      </c>
      <c r="AF166" s="57">
        <f t="shared" si="89"/>
        <v>0</v>
      </c>
      <c r="AG166" s="57">
        <f t="shared" si="90"/>
        <v>0</v>
      </c>
      <c r="AH166" s="64">
        <f t="shared" si="91"/>
        <v>0</v>
      </c>
      <c r="AI166" s="112">
        <f t="shared" si="92"/>
        <v>0</v>
      </c>
    </row>
    <row r="167" spans="1:35" ht="51" x14ac:dyDescent="0.2">
      <c r="A167" s="37" t="s">
        <v>181</v>
      </c>
      <c r="B167" s="5" t="s">
        <v>324</v>
      </c>
      <c r="C167" s="8" t="s">
        <v>26</v>
      </c>
      <c r="D167" s="6">
        <v>3</v>
      </c>
      <c r="E167" s="6">
        <v>3</v>
      </c>
      <c r="F167" s="6">
        <v>2</v>
      </c>
      <c r="G167" s="6">
        <v>2</v>
      </c>
      <c r="H167" s="6">
        <v>3</v>
      </c>
      <c r="I167" s="6">
        <v>2</v>
      </c>
      <c r="J167" s="6">
        <v>2</v>
      </c>
      <c r="K167" s="58">
        <v>157193388.31296799</v>
      </c>
      <c r="L167" s="58">
        <v>70670890.969999999</v>
      </c>
      <c r="M167" s="58">
        <v>76971808.378659114</v>
      </c>
      <c r="N167" s="58">
        <f t="shared" ref="N167:N189" si="94">IF(L167-M167&gt;0,L167-M167,0)</f>
        <v>0</v>
      </c>
      <c r="O167" s="60">
        <f t="shared" ref="O167:O189" si="95">MAX(K167-N167,0)</f>
        <v>157193388.31296799</v>
      </c>
      <c r="P167" s="57">
        <v>3816755.06</v>
      </c>
      <c r="Q167" s="57">
        <v>3847275.78</v>
      </c>
      <c r="R167" s="57">
        <v>4318926.3099999996</v>
      </c>
      <c r="S167" s="61">
        <v>25420076.649999999</v>
      </c>
      <c r="T167" s="57">
        <v>0</v>
      </c>
      <c r="U167" s="57">
        <v>0</v>
      </c>
      <c r="V167" s="62">
        <f t="shared" si="93"/>
        <v>37403033.799999997</v>
      </c>
      <c r="W167" s="63">
        <f t="shared" ref="W167:W189" si="96">MAX(O167-V167,0)</f>
        <v>119790354.51296799</v>
      </c>
      <c r="X167" s="64">
        <f t="shared" ref="X167:X189" si="97">IF(D167=1,W167,0)/SUMIF(D:D,1,W:W)</f>
        <v>0</v>
      </c>
      <c r="Y167" s="57">
        <f t="shared" ref="Y167:Y189" si="98">W167/$W$4*$Y$4</f>
        <v>1387811.4785183666</v>
      </c>
      <c r="Z167" s="57">
        <f t="shared" ref="Z167:Z189" si="99">Y167/FedShr_Enhanced</f>
        <v>2068890.0991627411</v>
      </c>
      <c r="AA167" s="57">
        <f t="shared" ref="AA167:AA189" si="100">Z167-Y167</f>
        <v>681078.62064437452</v>
      </c>
      <c r="AB167" s="57">
        <f t="shared" ref="AB167:AB189" si="101">IF(F167=2,0,AA167)</f>
        <v>0</v>
      </c>
      <c r="AC167" s="57">
        <f t="shared" ref="AC167:AC189" si="102">$AA$2*X167</f>
        <v>0</v>
      </c>
      <c r="AD167" s="57">
        <f t="shared" ref="AD167:AD189" si="103">ROUND(IF(F167=2,Y167,Y167+AB167+AC167),2)</f>
        <v>1387811.48</v>
      </c>
      <c r="AE167" s="57">
        <f t="shared" ref="AE167:AE189" si="104">AB167+AC167</f>
        <v>0</v>
      </c>
      <c r="AF167" s="57">
        <f t="shared" ref="AF167:AF189" si="105">$AF$4*X167</f>
        <v>0</v>
      </c>
      <c r="AG167" s="57">
        <f t="shared" ref="AG167:AG189" si="106">AE167-AF167</f>
        <v>0</v>
      </c>
      <c r="AH167" s="64">
        <f t="shared" ref="AH167:AH189" si="107">IF(E167=1,W167,0)/(SUMIF(E:E,1,W:W))</f>
        <v>0</v>
      </c>
      <c r="AI167" s="112">
        <f t="shared" ref="AI167:AI189" si="108">ROUND(AG167+$AG$8*AH167,2)</f>
        <v>0</v>
      </c>
    </row>
    <row r="168" spans="1:35" ht="38.25" x14ac:dyDescent="0.2">
      <c r="A168" s="37" t="s">
        <v>200</v>
      </c>
      <c r="B168" s="5" t="s">
        <v>201</v>
      </c>
      <c r="C168" s="8" t="s">
        <v>544</v>
      </c>
      <c r="D168" s="6">
        <v>3</v>
      </c>
      <c r="E168" s="6">
        <v>3</v>
      </c>
      <c r="F168" s="6">
        <v>2</v>
      </c>
      <c r="G168" s="6">
        <v>2</v>
      </c>
      <c r="H168" s="6">
        <v>2</v>
      </c>
      <c r="I168" s="6">
        <v>2</v>
      </c>
      <c r="J168" s="6">
        <v>2</v>
      </c>
      <c r="K168" s="58">
        <v>3996402.37754018</v>
      </c>
      <c r="L168" s="58">
        <v>4013495.0700000003</v>
      </c>
      <c r="M168" s="58">
        <v>2169707.8688711957</v>
      </c>
      <c r="N168" s="58">
        <f t="shared" si="94"/>
        <v>1843787.2011288046</v>
      </c>
      <c r="O168" s="60">
        <f t="shared" si="95"/>
        <v>2152615.1764113754</v>
      </c>
      <c r="P168" s="57">
        <v>111453.43</v>
      </c>
      <c r="Q168" s="57">
        <v>112350.02</v>
      </c>
      <c r="R168" s="57">
        <v>127595</v>
      </c>
      <c r="S168" s="61">
        <v>521808.07</v>
      </c>
      <c r="T168" s="57">
        <v>0</v>
      </c>
      <c r="U168" s="57">
        <v>0</v>
      </c>
      <c r="V168" s="62">
        <f t="shared" si="93"/>
        <v>873206.52</v>
      </c>
      <c r="W168" s="63">
        <f t="shared" si="96"/>
        <v>1279408.6564113754</v>
      </c>
      <c r="X168" s="64">
        <f t="shared" si="97"/>
        <v>0</v>
      </c>
      <c r="Y168" s="57">
        <f t="shared" si="98"/>
        <v>14822.378865998357</v>
      </c>
      <c r="Z168" s="57">
        <f t="shared" si="99"/>
        <v>22096.569567677932</v>
      </c>
      <c r="AA168" s="57">
        <f t="shared" si="100"/>
        <v>7274.1907016795758</v>
      </c>
      <c r="AB168" s="57">
        <f t="shared" si="101"/>
        <v>0</v>
      </c>
      <c r="AC168" s="57">
        <f t="shared" si="102"/>
        <v>0</v>
      </c>
      <c r="AD168" s="57">
        <f t="shared" si="103"/>
        <v>14822.38</v>
      </c>
      <c r="AE168" s="57">
        <f t="shared" si="104"/>
        <v>0</v>
      </c>
      <c r="AF168" s="57">
        <f t="shared" si="105"/>
        <v>0</v>
      </c>
      <c r="AG168" s="57">
        <f t="shared" si="106"/>
        <v>0</v>
      </c>
      <c r="AH168" s="64">
        <f t="shared" si="107"/>
        <v>0</v>
      </c>
      <c r="AI168" s="112">
        <f t="shared" si="108"/>
        <v>0</v>
      </c>
    </row>
    <row r="169" spans="1:35" ht="38.25" x14ac:dyDescent="0.2">
      <c r="A169" s="37" t="s">
        <v>156</v>
      </c>
      <c r="B169" s="5" t="s">
        <v>365</v>
      </c>
      <c r="C169" s="8" t="s">
        <v>49</v>
      </c>
      <c r="D169" s="6">
        <v>3</v>
      </c>
      <c r="E169" s="6">
        <v>3</v>
      </c>
      <c r="F169" s="6">
        <v>2</v>
      </c>
      <c r="G169" s="6">
        <v>2</v>
      </c>
      <c r="H169" s="6">
        <v>3</v>
      </c>
      <c r="I169" s="6">
        <v>2</v>
      </c>
      <c r="J169" s="6">
        <v>1</v>
      </c>
      <c r="K169" s="58">
        <v>653891.03322474996</v>
      </c>
      <c r="L169" s="58">
        <v>20966.739999999998</v>
      </c>
      <c r="M169" s="58">
        <v>37858</v>
      </c>
      <c r="N169" s="58">
        <f t="shared" si="94"/>
        <v>0</v>
      </c>
      <c r="O169" s="60">
        <f t="shared" si="95"/>
        <v>653891.03322474996</v>
      </c>
      <c r="P169" s="57">
        <v>0</v>
      </c>
      <c r="Q169" s="57">
        <v>0</v>
      </c>
      <c r="R169" s="57">
        <v>0</v>
      </c>
      <c r="S169" s="61">
        <v>628783.92000000004</v>
      </c>
      <c r="T169" s="57">
        <v>0</v>
      </c>
      <c r="U169" s="57">
        <v>0</v>
      </c>
      <c r="V169" s="62">
        <f t="shared" si="93"/>
        <v>628783.92000000004</v>
      </c>
      <c r="W169" s="63">
        <f t="shared" si="96"/>
        <v>25107.113224749919</v>
      </c>
      <c r="X169" s="64">
        <f t="shared" si="97"/>
        <v>0</v>
      </c>
      <c r="Y169" s="57">
        <f t="shared" si="98"/>
        <v>290.87433681479052</v>
      </c>
      <c r="Z169" s="57">
        <f t="shared" si="99"/>
        <v>433.62304235955656</v>
      </c>
      <c r="AA169" s="57">
        <f t="shared" si="100"/>
        <v>142.74870554476604</v>
      </c>
      <c r="AB169" s="57">
        <f t="shared" si="101"/>
        <v>0</v>
      </c>
      <c r="AC169" s="57">
        <f t="shared" si="102"/>
        <v>0</v>
      </c>
      <c r="AD169" s="57">
        <f t="shared" si="103"/>
        <v>290.87</v>
      </c>
      <c r="AE169" s="57">
        <f t="shared" si="104"/>
        <v>0</v>
      </c>
      <c r="AF169" s="57">
        <f t="shared" si="105"/>
        <v>0</v>
      </c>
      <c r="AG169" s="57">
        <f t="shared" si="106"/>
        <v>0</v>
      </c>
      <c r="AH169" s="64">
        <f t="shared" si="107"/>
        <v>0</v>
      </c>
      <c r="AI169" s="112">
        <f t="shared" si="108"/>
        <v>0</v>
      </c>
    </row>
    <row r="170" spans="1:35" ht="38.25" x14ac:dyDescent="0.2">
      <c r="A170" s="37" t="s">
        <v>222</v>
      </c>
      <c r="B170" s="23" t="s">
        <v>223</v>
      </c>
      <c r="C170" s="8" t="s">
        <v>474</v>
      </c>
      <c r="D170" s="6">
        <v>3</v>
      </c>
      <c r="E170" s="6">
        <v>3</v>
      </c>
      <c r="F170" s="6">
        <v>2</v>
      </c>
      <c r="G170" s="6">
        <v>2</v>
      </c>
      <c r="H170" s="6">
        <v>2</v>
      </c>
      <c r="I170" s="6">
        <v>2</v>
      </c>
      <c r="J170" s="6">
        <v>2</v>
      </c>
      <c r="K170" s="58">
        <v>78104.923718656297</v>
      </c>
      <c r="L170" s="58">
        <v>621737.67000000004</v>
      </c>
      <c r="M170" s="58">
        <v>532479.48909970059</v>
      </c>
      <c r="N170" s="58">
        <f t="shared" si="94"/>
        <v>89258.180900299456</v>
      </c>
      <c r="O170" s="60">
        <f t="shared" si="95"/>
        <v>0</v>
      </c>
      <c r="P170" s="57">
        <v>50919.53</v>
      </c>
      <c r="Q170" s="57">
        <v>51325.599999999999</v>
      </c>
      <c r="R170" s="57">
        <v>55370.48</v>
      </c>
      <c r="S170" s="61">
        <v>0</v>
      </c>
      <c r="T170" s="57">
        <v>0</v>
      </c>
      <c r="U170" s="57">
        <v>79510.69</v>
      </c>
      <c r="V170" s="62">
        <f t="shared" si="93"/>
        <v>78104.920000000013</v>
      </c>
      <c r="W170" s="63">
        <f t="shared" si="96"/>
        <v>0</v>
      </c>
      <c r="X170" s="64">
        <f t="shared" si="97"/>
        <v>0</v>
      </c>
      <c r="Y170" s="57">
        <f t="shared" si="98"/>
        <v>0</v>
      </c>
      <c r="Z170" s="57">
        <f t="shared" si="99"/>
        <v>0</v>
      </c>
      <c r="AA170" s="57">
        <f t="shared" si="100"/>
        <v>0</v>
      </c>
      <c r="AB170" s="57">
        <f t="shared" si="101"/>
        <v>0</v>
      </c>
      <c r="AC170" s="57">
        <f t="shared" si="102"/>
        <v>0</v>
      </c>
      <c r="AD170" s="57">
        <f t="shared" si="103"/>
        <v>0</v>
      </c>
      <c r="AE170" s="57">
        <f t="shared" si="104"/>
        <v>0</v>
      </c>
      <c r="AF170" s="57">
        <f t="shared" si="105"/>
        <v>0</v>
      </c>
      <c r="AG170" s="57">
        <f t="shared" si="106"/>
        <v>0</v>
      </c>
      <c r="AH170" s="64">
        <f t="shared" si="107"/>
        <v>0</v>
      </c>
      <c r="AI170" s="112">
        <f t="shared" si="108"/>
        <v>0</v>
      </c>
    </row>
    <row r="171" spans="1:35" ht="51" x14ac:dyDescent="0.2">
      <c r="A171" s="37" t="s">
        <v>171</v>
      </c>
      <c r="B171" s="22" t="s">
        <v>438</v>
      </c>
      <c r="C171" s="5" t="s">
        <v>321</v>
      </c>
      <c r="D171" s="88">
        <v>3</v>
      </c>
      <c r="E171" s="88">
        <v>3</v>
      </c>
      <c r="F171" s="6">
        <v>2</v>
      </c>
      <c r="G171" s="6">
        <v>2</v>
      </c>
      <c r="H171" s="5" t="s">
        <v>545</v>
      </c>
      <c r="I171" s="5" t="s">
        <v>545</v>
      </c>
      <c r="J171" s="5" t="s">
        <v>545</v>
      </c>
      <c r="K171" s="58">
        <v>0</v>
      </c>
      <c r="L171" s="58">
        <v>10179975.460000001</v>
      </c>
      <c r="M171" s="58">
        <v>18113336.143668707</v>
      </c>
      <c r="N171" s="58">
        <f t="shared" si="94"/>
        <v>0</v>
      </c>
      <c r="O171" s="60">
        <f t="shared" si="95"/>
        <v>0</v>
      </c>
      <c r="P171" s="57">
        <v>1763361.53</v>
      </c>
      <c r="Q171" s="57">
        <v>1777578.63</v>
      </c>
      <c r="R171" s="57">
        <v>1876587.18</v>
      </c>
      <c r="S171" s="61">
        <v>0</v>
      </c>
      <c r="T171" s="57">
        <v>0</v>
      </c>
      <c r="U171" s="57">
        <v>5417527.3399999999</v>
      </c>
      <c r="V171" s="62">
        <f t="shared" si="93"/>
        <v>0</v>
      </c>
      <c r="W171" s="63">
        <f t="shared" si="96"/>
        <v>0</v>
      </c>
      <c r="X171" s="64">
        <f t="shared" si="97"/>
        <v>0</v>
      </c>
      <c r="Y171" s="57">
        <f t="shared" si="98"/>
        <v>0</v>
      </c>
      <c r="Z171" s="57">
        <f t="shared" si="99"/>
        <v>0</v>
      </c>
      <c r="AA171" s="57">
        <f t="shared" si="100"/>
        <v>0</v>
      </c>
      <c r="AB171" s="57">
        <f t="shared" si="101"/>
        <v>0</v>
      </c>
      <c r="AC171" s="57">
        <f t="shared" si="102"/>
        <v>0</v>
      </c>
      <c r="AD171" s="57">
        <f t="shared" si="103"/>
        <v>0</v>
      </c>
      <c r="AE171" s="57">
        <f t="shared" si="104"/>
        <v>0</v>
      </c>
      <c r="AF171" s="57">
        <f t="shared" si="105"/>
        <v>0</v>
      </c>
      <c r="AG171" s="57">
        <f t="shared" si="106"/>
        <v>0</v>
      </c>
      <c r="AH171" s="64">
        <f t="shared" si="107"/>
        <v>0</v>
      </c>
      <c r="AI171" s="112">
        <f t="shared" si="108"/>
        <v>0</v>
      </c>
    </row>
    <row r="172" spans="1:35" ht="51" x14ac:dyDescent="0.2">
      <c r="A172" s="37" t="s">
        <v>274</v>
      </c>
      <c r="B172" s="22" t="s">
        <v>275</v>
      </c>
      <c r="C172" s="5" t="s">
        <v>11</v>
      </c>
      <c r="D172" s="88">
        <v>3</v>
      </c>
      <c r="E172" s="88">
        <v>3</v>
      </c>
      <c r="F172" s="6">
        <v>2</v>
      </c>
      <c r="G172" s="6">
        <v>2</v>
      </c>
      <c r="H172" s="5" t="s">
        <v>545</v>
      </c>
      <c r="I172" s="5" t="s">
        <v>545</v>
      </c>
      <c r="J172" s="5" t="s">
        <v>545</v>
      </c>
      <c r="K172" s="58">
        <v>0</v>
      </c>
      <c r="L172" s="58">
        <v>0</v>
      </c>
      <c r="M172" s="58">
        <v>0</v>
      </c>
      <c r="N172" s="58">
        <f t="shared" si="94"/>
        <v>0</v>
      </c>
      <c r="O172" s="60">
        <f t="shared" si="95"/>
        <v>0</v>
      </c>
      <c r="P172" s="57">
        <v>626325.31000000006</v>
      </c>
      <c r="Q172" s="57">
        <v>631333.26</v>
      </c>
      <c r="R172" s="57">
        <v>726042.25</v>
      </c>
      <c r="S172" s="61">
        <v>0</v>
      </c>
      <c r="T172" s="57">
        <v>0</v>
      </c>
      <c r="U172" s="57">
        <v>1983700.82</v>
      </c>
      <c r="V172" s="62">
        <f t="shared" si="93"/>
        <v>0</v>
      </c>
      <c r="W172" s="63">
        <f t="shared" si="96"/>
        <v>0</v>
      </c>
      <c r="X172" s="64">
        <f t="shared" si="97"/>
        <v>0</v>
      </c>
      <c r="Y172" s="57">
        <f t="shared" si="98"/>
        <v>0</v>
      </c>
      <c r="Z172" s="57">
        <f t="shared" si="99"/>
        <v>0</v>
      </c>
      <c r="AA172" s="57">
        <f t="shared" si="100"/>
        <v>0</v>
      </c>
      <c r="AB172" s="57">
        <f t="shared" si="101"/>
        <v>0</v>
      </c>
      <c r="AC172" s="57">
        <f t="shared" si="102"/>
        <v>0</v>
      </c>
      <c r="AD172" s="57">
        <f t="shared" si="103"/>
        <v>0</v>
      </c>
      <c r="AE172" s="57">
        <f t="shared" si="104"/>
        <v>0</v>
      </c>
      <c r="AF172" s="57">
        <f t="shared" si="105"/>
        <v>0</v>
      </c>
      <c r="AG172" s="57">
        <f t="shared" si="106"/>
        <v>0</v>
      </c>
      <c r="AH172" s="64">
        <f t="shared" si="107"/>
        <v>0</v>
      </c>
      <c r="AI172" s="112">
        <f t="shared" si="108"/>
        <v>0</v>
      </c>
    </row>
    <row r="173" spans="1:35" ht="51" x14ac:dyDescent="0.2">
      <c r="A173" s="37" t="s">
        <v>155</v>
      </c>
      <c r="B173" s="22" t="s">
        <v>337</v>
      </c>
      <c r="C173" s="5" t="s">
        <v>304</v>
      </c>
      <c r="D173" s="88">
        <v>3</v>
      </c>
      <c r="E173" s="88">
        <v>3</v>
      </c>
      <c r="F173" s="6">
        <v>2</v>
      </c>
      <c r="G173" s="6">
        <v>2</v>
      </c>
      <c r="H173" s="5" t="s">
        <v>545</v>
      </c>
      <c r="I173" s="5" t="s">
        <v>545</v>
      </c>
      <c r="J173" s="5" t="s">
        <v>545</v>
      </c>
      <c r="K173" s="58">
        <v>0</v>
      </c>
      <c r="L173" s="58">
        <v>94585.44</v>
      </c>
      <c r="M173" s="58">
        <v>55339.813830974948</v>
      </c>
      <c r="N173" s="58">
        <f t="shared" si="94"/>
        <v>39245.626169025054</v>
      </c>
      <c r="O173" s="60">
        <f t="shared" si="95"/>
        <v>0</v>
      </c>
      <c r="P173" s="57">
        <v>461897.36</v>
      </c>
      <c r="Q173" s="57">
        <v>461897.36</v>
      </c>
      <c r="R173" s="57">
        <v>0</v>
      </c>
      <c r="S173" s="61">
        <v>0</v>
      </c>
      <c r="T173" s="57">
        <v>0</v>
      </c>
      <c r="U173" s="57">
        <v>923794.72</v>
      </c>
      <c r="V173" s="62">
        <f t="shared" si="93"/>
        <v>0</v>
      </c>
      <c r="W173" s="63">
        <f t="shared" si="96"/>
        <v>0</v>
      </c>
      <c r="X173" s="64">
        <f t="shared" si="97"/>
        <v>0</v>
      </c>
      <c r="Y173" s="57">
        <f t="shared" si="98"/>
        <v>0</v>
      </c>
      <c r="Z173" s="57">
        <f t="shared" si="99"/>
        <v>0</v>
      </c>
      <c r="AA173" s="57">
        <f t="shared" si="100"/>
        <v>0</v>
      </c>
      <c r="AB173" s="57">
        <f t="shared" si="101"/>
        <v>0</v>
      </c>
      <c r="AC173" s="57">
        <f t="shared" si="102"/>
        <v>0</v>
      </c>
      <c r="AD173" s="57">
        <f t="shared" si="103"/>
        <v>0</v>
      </c>
      <c r="AE173" s="57">
        <f t="shared" si="104"/>
        <v>0</v>
      </c>
      <c r="AF173" s="57">
        <f t="shared" si="105"/>
        <v>0</v>
      </c>
      <c r="AG173" s="57">
        <f t="shared" si="106"/>
        <v>0</v>
      </c>
      <c r="AH173" s="64">
        <f t="shared" si="107"/>
        <v>0</v>
      </c>
      <c r="AI173" s="112">
        <f t="shared" si="108"/>
        <v>0</v>
      </c>
    </row>
    <row r="174" spans="1:35" ht="38.25" x14ac:dyDescent="0.2">
      <c r="A174" s="37" t="s">
        <v>266</v>
      </c>
      <c r="B174" s="22" t="s">
        <v>267</v>
      </c>
      <c r="C174" s="5" t="s">
        <v>556</v>
      </c>
      <c r="D174" s="88">
        <v>3</v>
      </c>
      <c r="E174" s="88">
        <v>3</v>
      </c>
      <c r="F174" s="6">
        <v>2</v>
      </c>
      <c r="G174" s="6">
        <v>2</v>
      </c>
      <c r="H174" s="5" t="s">
        <v>545</v>
      </c>
      <c r="I174" s="5" t="s">
        <v>545</v>
      </c>
      <c r="J174" s="5" t="s">
        <v>545</v>
      </c>
      <c r="K174" s="58">
        <v>0</v>
      </c>
      <c r="L174" s="58">
        <v>1447278.57</v>
      </c>
      <c r="M174" s="58">
        <v>1259157.3558864722</v>
      </c>
      <c r="N174" s="58">
        <f t="shared" si="94"/>
        <v>188121.21411352791</v>
      </c>
      <c r="O174" s="60">
        <f t="shared" si="95"/>
        <v>0</v>
      </c>
      <c r="P174" s="57">
        <v>6439.18</v>
      </c>
      <c r="Q174" s="57">
        <v>6496.6</v>
      </c>
      <c r="R174" s="57">
        <v>12525.16</v>
      </c>
      <c r="S174" s="61">
        <v>0</v>
      </c>
      <c r="T174" s="57">
        <v>0</v>
      </c>
      <c r="U174" s="57">
        <v>25460.940000000002</v>
      </c>
      <c r="V174" s="62">
        <f t="shared" si="93"/>
        <v>0</v>
      </c>
      <c r="W174" s="63">
        <f t="shared" si="96"/>
        <v>0</v>
      </c>
      <c r="X174" s="64">
        <f t="shared" si="97"/>
        <v>0</v>
      </c>
      <c r="Y174" s="57">
        <f t="shared" si="98"/>
        <v>0</v>
      </c>
      <c r="Z174" s="57">
        <f t="shared" si="99"/>
        <v>0</v>
      </c>
      <c r="AA174" s="57">
        <f t="shared" si="100"/>
        <v>0</v>
      </c>
      <c r="AB174" s="57">
        <f t="shared" si="101"/>
        <v>0</v>
      </c>
      <c r="AC174" s="57">
        <f t="shared" si="102"/>
        <v>0</v>
      </c>
      <c r="AD174" s="57">
        <f t="shared" si="103"/>
        <v>0</v>
      </c>
      <c r="AE174" s="57">
        <f t="shared" si="104"/>
        <v>0</v>
      </c>
      <c r="AF174" s="57">
        <f t="shared" si="105"/>
        <v>0</v>
      </c>
      <c r="AG174" s="57">
        <f t="shared" si="106"/>
        <v>0</v>
      </c>
      <c r="AH174" s="64">
        <f t="shared" si="107"/>
        <v>0</v>
      </c>
      <c r="AI174" s="112">
        <f t="shared" si="108"/>
        <v>0</v>
      </c>
    </row>
    <row r="175" spans="1:35" ht="38.25" x14ac:dyDescent="0.2">
      <c r="A175" s="37" t="s">
        <v>90</v>
      </c>
      <c r="B175" s="23" t="s">
        <v>410</v>
      </c>
      <c r="C175" s="8" t="s">
        <v>467</v>
      </c>
      <c r="D175" s="6">
        <v>3</v>
      </c>
      <c r="E175" s="6">
        <v>3</v>
      </c>
      <c r="F175" s="6">
        <v>1</v>
      </c>
      <c r="G175" s="6">
        <v>1</v>
      </c>
      <c r="H175" s="6">
        <v>2</v>
      </c>
      <c r="I175" s="6">
        <v>2</v>
      </c>
      <c r="J175" s="6">
        <v>2</v>
      </c>
      <c r="K175" s="58">
        <v>590646.88129744597</v>
      </c>
      <c r="L175" s="58">
        <v>489354.76</v>
      </c>
      <c r="M175" s="58">
        <v>178702.88395427627</v>
      </c>
      <c r="N175" s="58">
        <f t="shared" si="94"/>
        <v>310651.87604572374</v>
      </c>
      <c r="O175" s="60">
        <f t="shared" si="95"/>
        <v>279995.00525172224</v>
      </c>
      <c r="P175" s="57">
        <v>13113.21</v>
      </c>
      <c r="Q175" s="57">
        <v>13220.12</v>
      </c>
      <c r="R175" s="57">
        <v>16525.27</v>
      </c>
      <c r="S175" s="61">
        <v>0</v>
      </c>
      <c r="T175" s="57">
        <v>84938.59</v>
      </c>
      <c r="U175" s="57">
        <v>14070.34</v>
      </c>
      <c r="V175" s="62">
        <f t="shared" si="93"/>
        <v>113726.85</v>
      </c>
      <c r="W175" s="63">
        <f t="shared" si="96"/>
        <v>166268.15525172223</v>
      </c>
      <c r="X175" s="64">
        <f t="shared" si="97"/>
        <v>0</v>
      </c>
      <c r="Y175" s="57">
        <f t="shared" si="98"/>
        <v>1926.2724057255716</v>
      </c>
      <c r="Z175" s="57">
        <f t="shared" si="99"/>
        <v>2871.6046596982287</v>
      </c>
      <c r="AA175" s="57">
        <f t="shared" si="100"/>
        <v>945.3322539726571</v>
      </c>
      <c r="AB175" s="57">
        <f t="shared" si="101"/>
        <v>945.3322539726571</v>
      </c>
      <c r="AC175" s="57">
        <f t="shared" si="102"/>
        <v>0</v>
      </c>
      <c r="AD175" s="57">
        <f t="shared" si="103"/>
        <v>2871.6</v>
      </c>
      <c r="AE175" s="57">
        <f t="shared" si="104"/>
        <v>945.3322539726571</v>
      </c>
      <c r="AF175" s="57">
        <f t="shared" si="105"/>
        <v>0</v>
      </c>
      <c r="AG175" s="57">
        <f t="shared" si="106"/>
        <v>945.3322539726571</v>
      </c>
      <c r="AH175" s="64">
        <f t="shared" si="107"/>
        <v>0</v>
      </c>
      <c r="AI175" s="112">
        <f t="shared" si="108"/>
        <v>945.33</v>
      </c>
    </row>
    <row r="176" spans="1:35" ht="38.25" x14ac:dyDescent="0.2">
      <c r="A176" s="37" t="s">
        <v>189</v>
      </c>
      <c r="B176" s="22" t="s">
        <v>190</v>
      </c>
      <c r="C176" s="5" t="s">
        <v>560</v>
      </c>
      <c r="D176" s="88">
        <v>3</v>
      </c>
      <c r="E176" s="88">
        <v>3</v>
      </c>
      <c r="F176" s="6">
        <v>2</v>
      </c>
      <c r="G176" s="6">
        <v>2</v>
      </c>
      <c r="H176" s="5" t="s">
        <v>545</v>
      </c>
      <c r="I176" s="5" t="s">
        <v>545</v>
      </c>
      <c r="J176" s="5" t="s">
        <v>545</v>
      </c>
      <c r="K176" s="58">
        <v>0</v>
      </c>
      <c r="L176" s="58">
        <v>5166299.25</v>
      </c>
      <c r="M176" s="58">
        <v>3375932.9221174004</v>
      </c>
      <c r="N176" s="58">
        <f t="shared" si="94"/>
        <v>1790366.3278825996</v>
      </c>
      <c r="O176" s="60">
        <f t="shared" si="95"/>
        <v>0</v>
      </c>
      <c r="P176" s="57">
        <v>214917.87</v>
      </c>
      <c r="Q176" s="57">
        <v>216642.86</v>
      </c>
      <c r="R176" s="57">
        <v>235332.06</v>
      </c>
      <c r="S176" s="61">
        <v>0</v>
      </c>
      <c r="T176" s="57">
        <v>0</v>
      </c>
      <c r="U176" s="57">
        <v>666892.79</v>
      </c>
      <c r="V176" s="62">
        <f t="shared" si="93"/>
        <v>0</v>
      </c>
      <c r="W176" s="63">
        <f t="shared" si="96"/>
        <v>0</v>
      </c>
      <c r="X176" s="64">
        <f t="shared" si="97"/>
        <v>0</v>
      </c>
      <c r="Y176" s="57">
        <f t="shared" si="98"/>
        <v>0</v>
      </c>
      <c r="Z176" s="57">
        <f t="shared" si="99"/>
        <v>0</v>
      </c>
      <c r="AA176" s="57">
        <f t="shared" si="100"/>
        <v>0</v>
      </c>
      <c r="AB176" s="57">
        <f t="shared" si="101"/>
        <v>0</v>
      </c>
      <c r="AC176" s="57">
        <f t="shared" si="102"/>
        <v>0</v>
      </c>
      <c r="AD176" s="57">
        <f t="shared" si="103"/>
        <v>0</v>
      </c>
      <c r="AE176" s="57">
        <f t="shared" si="104"/>
        <v>0</v>
      </c>
      <c r="AF176" s="57">
        <f t="shared" si="105"/>
        <v>0</v>
      </c>
      <c r="AG176" s="57">
        <f t="shared" si="106"/>
        <v>0</v>
      </c>
      <c r="AH176" s="64">
        <f t="shared" si="107"/>
        <v>0</v>
      </c>
      <c r="AI176" s="112">
        <f t="shared" si="108"/>
        <v>0</v>
      </c>
    </row>
    <row r="177" spans="1:35" ht="38.25" x14ac:dyDescent="0.2">
      <c r="A177" s="37" t="s">
        <v>146</v>
      </c>
      <c r="B177" s="22" t="s">
        <v>147</v>
      </c>
      <c r="C177" s="5" t="s">
        <v>26</v>
      </c>
      <c r="D177" s="88">
        <v>3</v>
      </c>
      <c r="E177" s="88">
        <v>3</v>
      </c>
      <c r="F177" s="6">
        <v>2</v>
      </c>
      <c r="G177" s="6">
        <v>2</v>
      </c>
      <c r="H177" s="5" t="s">
        <v>545</v>
      </c>
      <c r="I177" s="5" t="s">
        <v>545</v>
      </c>
      <c r="J177" s="5" t="s">
        <v>545</v>
      </c>
      <c r="K177" s="58">
        <v>0</v>
      </c>
      <c r="L177" s="58">
        <v>19158.38</v>
      </c>
      <c r="M177" s="58">
        <v>0</v>
      </c>
      <c r="N177" s="58">
        <f t="shared" si="94"/>
        <v>19158.38</v>
      </c>
      <c r="O177" s="60">
        <f t="shared" si="95"/>
        <v>0</v>
      </c>
      <c r="P177" s="57">
        <v>819093.68</v>
      </c>
      <c r="Q177" s="57">
        <v>825576.36</v>
      </c>
      <c r="R177" s="57">
        <v>0</v>
      </c>
      <c r="S177" s="61">
        <v>0</v>
      </c>
      <c r="T177" s="57">
        <v>0</v>
      </c>
      <c r="U177" s="57">
        <v>1644670.04</v>
      </c>
      <c r="V177" s="62">
        <f t="shared" si="93"/>
        <v>0</v>
      </c>
      <c r="W177" s="63">
        <f t="shared" si="96"/>
        <v>0</v>
      </c>
      <c r="X177" s="64">
        <f t="shared" si="97"/>
        <v>0</v>
      </c>
      <c r="Y177" s="57">
        <f t="shared" si="98"/>
        <v>0</v>
      </c>
      <c r="Z177" s="57">
        <f t="shared" si="99"/>
        <v>0</v>
      </c>
      <c r="AA177" s="57">
        <f t="shared" si="100"/>
        <v>0</v>
      </c>
      <c r="AB177" s="57">
        <f t="shared" si="101"/>
        <v>0</v>
      </c>
      <c r="AC177" s="57">
        <f t="shared" si="102"/>
        <v>0</v>
      </c>
      <c r="AD177" s="57">
        <f t="shared" si="103"/>
        <v>0</v>
      </c>
      <c r="AE177" s="57">
        <f t="shared" si="104"/>
        <v>0</v>
      </c>
      <c r="AF177" s="57">
        <f t="shared" si="105"/>
        <v>0</v>
      </c>
      <c r="AG177" s="57">
        <f t="shared" si="106"/>
        <v>0</v>
      </c>
      <c r="AH177" s="64">
        <f t="shared" si="107"/>
        <v>0</v>
      </c>
      <c r="AI177" s="112">
        <f t="shared" si="108"/>
        <v>0</v>
      </c>
    </row>
    <row r="178" spans="1:35" ht="76.5" x14ac:dyDescent="0.2">
      <c r="A178" s="37" t="s">
        <v>100</v>
      </c>
      <c r="B178" s="22" t="s">
        <v>101</v>
      </c>
      <c r="C178" s="5" t="s">
        <v>557</v>
      </c>
      <c r="D178" s="88">
        <v>3</v>
      </c>
      <c r="E178" s="88">
        <v>3</v>
      </c>
      <c r="F178" s="6">
        <v>1</v>
      </c>
      <c r="G178" s="6">
        <v>1</v>
      </c>
      <c r="H178" s="5" t="s">
        <v>545</v>
      </c>
      <c r="I178" s="5" t="s">
        <v>545</v>
      </c>
      <c r="J178" s="5" t="s">
        <v>545</v>
      </c>
      <c r="K178" s="58">
        <v>0</v>
      </c>
      <c r="L178" s="58">
        <v>251385.85</v>
      </c>
      <c r="M178" s="58">
        <v>251867</v>
      </c>
      <c r="N178" s="58">
        <f t="shared" si="94"/>
        <v>0</v>
      </c>
      <c r="O178" s="60">
        <f t="shared" si="95"/>
        <v>0</v>
      </c>
      <c r="P178" s="57">
        <v>26239.74</v>
      </c>
      <c r="Q178" s="57">
        <v>26450.75</v>
      </c>
      <c r="R178" s="57">
        <v>31067.54</v>
      </c>
      <c r="S178" s="61">
        <v>0</v>
      </c>
      <c r="T178" s="57">
        <v>0</v>
      </c>
      <c r="U178" s="57">
        <v>83758.03</v>
      </c>
      <c r="V178" s="62">
        <f t="shared" si="93"/>
        <v>0</v>
      </c>
      <c r="W178" s="63">
        <f t="shared" si="96"/>
        <v>0</v>
      </c>
      <c r="X178" s="64">
        <f t="shared" si="97"/>
        <v>0</v>
      </c>
      <c r="Y178" s="57">
        <f t="shared" si="98"/>
        <v>0</v>
      </c>
      <c r="Z178" s="57">
        <f t="shared" si="99"/>
        <v>0</v>
      </c>
      <c r="AA178" s="57">
        <f t="shared" si="100"/>
        <v>0</v>
      </c>
      <c r="AB178" s="57">
        <f t="shared" si="101"/>
        <v>0</v>
      </c>
      <c r="AC178" s="57">
        <f t="shared" si="102"/>
        <v>0</v>
      </c>
      <c r="AD178" s="57">
        <f t="shared" si="103"/>
        <v>0</v>
      </c>
      <c r="AE178" s="57">
        <f t="shared" si="104"/>
        <v>0</v>
      </c>
      <c r="AF178" s="57">
        <f t="shared" si="105"/>
        <v>0</v>
      </c>
      <c r="AG178" s="57">
        <f t="shared" si="106"/>
        <v>0</v>
      </c>
      <c r="AH178" s="64">
        <f t="shared" si="107"/>
        <v>0</v>
      </c>
      <c r="AI178" s="112">
        <f t="shared" si="108"/>
        <v>0</v>
      </c>
    </row>
    <row r="179" spans="1:35" ht="38.25" x14ac:dyDescent="0.2">
      <c r="A179" s="37" t="s">
        <v>199</v>
      </c>
      <c r="B179" s="22" t="s">
        <v>367</v>
      </c>
      <c r="C179" s="5" t="s">
        <v>558</v>
      </c>
      <c r="D179" s="88">
        <v>3</v>
      </c>
      <c r="E179" s="88">
        <v>3</v>
      </c>
      <c r="F179" s="6">
        <v>2</v>
      </c>
      <c r="G179" s="6">
        <v>2</v>
      </c>
      <c r="H179" s="5" t="s">
        <v>545</v>
      </c>
      <c r="I179" s="5" t="s">
        <v>545</v>
      </c>
      <c r="J179" s="5" t="s">
        <v>545</v>
      </c>
      <c r="K179" s="58">
        <v>0</v>
      </c>
      <c r="L179" s="58">
        <v>4445387.0199999996</v>
      </c>
      <c r="M179" s="58">
        <v>2531680</v>
      </c>
      <c r="N179" s="58">
        <f t="shared" si="94"/>
        <v>1913707.0199999996</v>
      </c>
      <c r="O179" s="60">
        <f t="shared" si="95"/>
        <v>0</v>
      </c>
      <c r="P179" s="57">
        <v>157079.49</v>
      </c>
      <c r="Q179" s="57">
        <v>158333.25</v>
      </c>
      <c r="R179" s="57">
        <v>175300.88</v>
      </c>
      <c r="S179" s="61">
        <v>0</v>
      </c>
      <c r="T179" s="57">
        <v>0</v>
      </c>
      <c r="U179" s="57">
        <v>490713.62</v>
      </c>
      <c r="V179" s="62">
        <f t="shared" si="93"/>
        <v>0</v>
      </c>
      <c r="W179" s="63">
        <f t="shared" si="96"/>
        <v>0</v>
      </c>
      <c r="X179" s="64">
        <f t="shared" si="97"/>
        <v>0</v>
      </c>
      <c r="Y179" s="57">
        <f t="shared" si="98"/>
        <v>0</v>
      </c>
      <c r="Z179" s="57">
        <f t="shared" si="99"/>
        <v>0</v>
      </c>
      <c r="AA179" s="57">
        <f t="shared" si="100"/>
        <v>0</v>
      </c>
      <c r="AB179" s="57">
        <f t="shared" si="101"/>
        <v>0</v>
      </c>
      <c r="AC179" s="57">
        <f t="shared" si="102"/>
        <v>0</v>
      </c>
      <c r="AD179" s="57">
        <f t="shared" si="103"/>
        <v>0</v>
      </c>
      <c r="AE179" s="57">
        <f t="shared" si="104"/>
        <v>0</v>
      </c>
      <c r="AF179" s="57">
        <f t="shared" si="105"/>
        <v>0</v>
      </c>
      <c r="AG179" s="57">
        <f t="shared" si="106"/>
        <v>0</v>
      </c>
      <c r="AH179" s="64">
        <f t="shared" si="107"/>
        <v>0</v>
      </c>
      <c r="AI179" s="112">
        <f t="shared" si="108"/>
        <v>0</v>
      </c>
    </row>
    <row r="180" spans="1:35" ht="38.25" x14ac:dyDescent="0.2">
      <c r="A180" s="37" t="s">
        <v>247</v>
      </c>
      <c r="B180" s="22" t="s">
        <v>248</v>
      </c>
      <c r="C180" s="5" t="s">
        <v>508</v>
      </c>
      <c r="D180" s="88">
        <v>3</v>
      </c>
      <c r="E180" s="88">
        <v>3</v>
      </c>
      <c r="F180" s="6">
        <v>2</v>
      </c>
      <c r="G180" s="6">
        <v>2</v>
      </c>
      <c r="H180" s="5" t="s">
        <v>545</v>
      </c>
      <c r="I180" s="5" t="s">
        <v>545</v>
      </c>
      <c r="J180" s="5" t="s">
        <v>545</v>
      </c>
      <c r="K180" s="58">
        <v>0</v>
      </c>
      <c r="L180" s="58">
        <v>14649268.59</v>
      </c>
      <c r="M180" s="58">
        <v>-347636.61483995803</v>
      </c>
      <c r="N180" s="58">
        <f t="shared" si="94"/>
        <v>14996905.204839958</v>
      </c>
      <c r="O180" s="60">
        <f t="shared" si="95"/>
        <v>0</v>
      </c>
      <c r="P180" s="57">
        <v>256344.59</v>
      </c>
      <c r="Q180" s="57">
        <v>258410.67</v>
      </c>
      <c r="R180" s="57">
        <v>304318.84999999998</v>
      </c>
      <c r="S180" s="61">
        <v>0</v>
      </c>
      <c r="T180" s="57">
        <v>0</v>
      </c>
      <c r="U180" s="57">
        <v>819074.11</v>
      </c>
      <c r="V180" s="62">
        <f t="shared" si="93"/>
        <v>0</v>
      </c>
      <c r="W180" s="63">
        <f t="shared" si="96"/>
        <v>0</v>
      </c>
      <c r="X180" s="64">
        <f t="shared" si="97"/>
        <v>0</v>
      </c>
      <c r="Y180" s="57">
        <f t="shared" si="98"/>
        <v>0</v>
      </c>
      <c r="Z180" s="57">
        <f t="shared" si="99"/>
        <v>0</v>
      </c>
      <c r="AA180" s="57">
        <f t="shared" si="100"/>
        <v>0</v>
      </c>
      <c r="AB180" s="57">
        <f t="shared" si="101"/>
        <v>0</v>
      </c>
      <c r="AC180" s="57">
        <f t="shared" si="102"/>
        <v>0</v>
      </c>
      <c r="AD180" s="57">
        <f t="shared" si="103"/>
        <v>0</v>
      </c>
      <c r="AE180" s="57">
        <f t="shared" si="104"/>
        <v>0</v>
      </c>
      <c r="AF180" s="57">
        <f t="shared" si="105"/>
        <v>0</v>
      </c>
      <c r="AG180" s="57">
        <f t="shared" si="106"/>
        <v>0</v>
      </c>
      <c r="AH180" s="64">
        <f t="shared" si="107"/>
        <v>0</v>
      </c>
      <c r="AI180" s="112">
        <f t="shared" si="108"/>
        <v>0</v>
      </c>
    </row>
    <row r="181" spans="1:35" ht="25.5" x14ac:dyDescent="0.2">
      <c r="A181" s="37" t="s">
        <v>144</v>
      </c>
      <c r="B181" s="22" t="s">
        <v>439</v>
      </c>
      <c r="C181" s="5" t="s">
        <v>321</v>
      </c>
      <c r="D181" s="88">
        <v>3</v>
      </c>
      <c r="E181" s="88">
        <v>3</v>
      </c>
      <c r="F181" s="6">
        <v>2</v>
      </c>
      <c r="G181" s="6">
        <v>2</v>
      </c>
      <c r="H181" s="5" t="s">
        <v>545</v>
      </c>
      <c r="I181" s="5" t="s">
        <v>545</v>
      </c>
      <c r="J181" s="5" t="s">
        <v>545</v>
      </c>
      <c r="K181" s="58">
        <v>0</v>
      </c>
      <c r="L181" s="58">
        <v>37422.04</v>
      </c>
      <c r="M181" s="58">
        <v>0</v>
      </c>
      <c r="N181" s="58">
        <f t="shared" si="94"/>
        <v>37422.04</v>
      </c>
      <c r="O181" s="60">
        <f t="shared" si="95"/>
        <v>0</v>
      </c>
      <c r="P181" s="57">
        <v>542500.25</v>
      </c>
      <c r="Q181" s="57">
        <v>546797.55000000005</v>
      </c>
      <c r="R181" s="57">
        <v>576383.82999999996</v>
      </c>
      <c r="S181" s="61">
        <v>0</v>
      </c>
      <c r="T181" s="57">
        <v>0</v>
      </c>
      <c r="U181" s="57">
        <v>1665681.63</v>
      </c>
      <c r="V181" s="62">
        <f t="shared" si="93"/>
        <v>0</v>
      </c>
      <c r="W181" s="63">
        <f t="shared" si="96"/>
        <v>0</v>
      </c>
      <c r="X181" s="64">
        <f t="shared" si="97"/>
        <v>0</v>
      </c>
      <c r="Y181" s="57">
        <f t="shared" si="98"/>
        <v>0</v>
      </c>
      <c r="Z181" s="57">
        <f t="shared" si="99"/>
        <v>0</v>
      </c>
      <c r="AA181" s="57">
        <f t="shared" si="100"/>
        <v>0</v>
      </c>
      <c r="AB181" s="57">
        <f t="shared" si="101"/>
        <v>0</v>
      </c>
      <c r="AC181" s="57">
        <f t="shared" si="102"/>
        <v>0</v>
      </c>
      <c r="AD181" s="57">
        <f t="shared" si="103"/>
        <v>0</v>
      </c>
      <c r="AE181" s="57">
        <f t="shared" si="104"/>
        <v>0</v>
      </c>
      <c r="AF181" s="57">
        <f t="shared" si="105"/>
        <v>0</v>
      </c>
      <c r="AG181" s="57">
        <f t="shared" si="106"/>
        <v>0</v>
      </c>
      <c r="AH181" s="64">
        <f t="shared" si="107"/>
        <v>0</v>
      </c>
      <c r="AI181" s="112">
        <f t="shared" si="108"/>
        <v>0</v>
      </c>
    </row>
    <row r="182" spans="1:35" ht="51" x14ac:dyDescent="0.2">
      <c r="A182" s="37" t="s">
        <v>209</v>
      </c>
      <c r="B182" s="22" t="s">
        <v>395</v>
      </c>
      <c r="C182" s="5" t="s">
        <v>559</v>
      </c>
      <c r="D182" s="88">
        <v>3</v>
      </c>
      <c r="E182" s="88">
        <v>3</v>
      </c>
      <c r="F182" s="6">
        <v>2</v>
      </c>
      <c r="G182" s="6">
        <v>2</v>
      </c>
      <c r="H182" s="5" t="s">
        <v>545</v>
      </c>
      <c r="I182" s="5" t="s">
        <v>545</v>
      </c>
      <c r="J182" s="5" t="s">
        <v>545</v>
      </c>
      <c r="K182" s="58">
        <v>0</v>
      </c>
      <c r="L182" s="58">
        <v>2950222.68</v>
      </c>
      <c r="M182" s="58">
        <v>2873591.4752671304</v>
      </c>
      <c r="N182" s="58">
        <f t="shared" si="94"/>
        <v>76631.204732869752</v>
      </c>
      <c r="O182" s="60">
        <f t="shared" si="95"/>
        <v>0</v>
      </c>
      <c r="P182" s="57">
        <v>158559.51999999999</v>
      </c>
      <c r="Q182" s="57">
        <v>159825.60999999999</v>
      </c>
      <c r="R182" s="57">
        <v>169814.69</v>
      </c>
      <c r="S182" s="61">
        <v>0</v>
      </c>
      <c r="T182" s="57">
        <v>0</v>
      </c>
      <c r="U182" s="57">
        <v>488199.82</v>
      </c>
      <c r="V182" s="62">
        <f t="shared" si="93"/>
        <v>0</v>
      </c>
      <c r="W182" s="63">
        <f t="shared" si="96"/>
        <v>0</v>
      </c>
      <c r="X182" s="64">
        <f t="shared" si="97"/>
        <v>0</v>
      </c>
      <c r="Y182" s="57">
        <f t="shared" si="98"/>
        <v>0</v>
      </c>
      <c r="Z182" s="57">
        <f t="shared" si="99"/>
        <v>0</v>
      </c>
      <c r="AA182" s="57">
        <f t="shared" si="100"/>
        <v>0</v>
      </c>
      <c r="AB182" s="57">
        <f t="shared" si="101"/>
        <v>0</v>
      </c>
      <c r="AC182" s="57">
        <f t="shared" si="102"/>
        <v>0</v>
      </c>
      <c r="AD182" s="57">
        <f t="shared" si="103"/>
        <v>0</v>
      </c>
      <c r="AE182" s="57">
        <f t="shared" si="104"/>
        <v>0</v>
      </c>
      <c r="AF182" s="57">
        <f t="shared" si="105"/>
        <v>0</v>
      </c>
      <c r="AG182" s="57">
        <f t="shared" si="106"/>
        <v>0</v>
      </c>
      <c r="AH182" s="64">
        <f t="shared" si="107"/>
        <v>0</v>
      </c>
      <c r="AI182" s="112">
        <f t="shared" si="108"/>
        <v>0</v>
      </c>
    </row>
    <row r="183" spans="1:35" ht="51" x14ac:dyDescent="0.2">
      <c r="A183" s="37" t="s">
        <v>148</v>
      </c>
      <c r="B183" s="23" t="s">
        <v>149</v>
      </c>
      <c r="C183" s="8" t="s">
        <v>26</v>
      </c>
      <c r="D183" s="6">
        <v>3</v>
      </c>
      <c r="E183" s="6">
        <v>3</v>
      </c>
      <c r="F183" s="6">
        <v>2</v>
      </c>
      <c r="G183" s="6">
        <v>2</v>
      </c>
      <c r="H183" s="6">
        <v>3</v>
      </c>
      <c r="I183" s="6">
        <v>2</v>
      </c>
      <c r="J183" s="6">
        <v>1</v>
      </c>
      <c r="K183" s="58">
        <v>387245.01705029001</v>
      </c>
      <c r="L183" s="58">
        <v>317465.39</v>
      </c>
      <c r="M183" s="58">
        <v>603851.71287330135</v>
      </c>
      <c r="N183" s="58">
        <f t="shared" si="94"/>
        <v>0</v>
      </c>
      <c r="O183" s="60">
        <f t="shared" si="95"/>
        <v>387245.01705029001</v>
      </c>
      <c r="P183" s="57">
        <v>689091.04</v>
      </c>
      <c r="Q183" s="57">
        <v>689091.04</v>
      </c>
      <c r="R183" s="57">
        <v>455531.43</v>
      </c>
      <c r="S183" s="61">
        <v>0</v>
      </c>
      <c r="T183" s="57">
        <v>0</v>
      </c>
      <c r="U183" s="57">
        <v>1446468.49</v>
      </c>
      <c r="V183" s="62">
        <f t="shared" si="93"/>
        <v>387245.02</v>
      </c>
      <c r="W183" s="63">
        <f t="shared" si="96"/>
        <v>0</v>
      </c>
      <c r="X183" s="64">
        <f t="shared" si="97"/>
        <v>0</v>
      </c>
      <c r="Y183" s="57">
        <f t="shared" si="98"/>
        <v>0</v>
      </c>
      <c r="Z183" s="57">
        <f t="shared" si="99"/>
        <v>0</v>
      </c>
      <c r="AA183" s="57">
        <f t="shared" si="100"/>
        <v>0</v>
      </c>
      <c r="AB183" s="57">
        <f t="shared" si="101"/>
        <v>0</v>
      </c>
      <c r="AC183" s="57">
        <f t="shared" si="102"/>
        <v>0</v>
      </c>
      <c r="AD183" s="57">
        <f t="shared" si="103"/>
        <v>0</v>
      </c>
      <c r="AE183" s="57">
        <f t="shared" si="104"/>
        <v>0</v>
      </c>
      <c r="AF183" s="57">
        <f t="shared" si="105"/>
        <v>0</v>
      </c>
      <c r="AG183" s="57">
        <f t="shared" si="106"/>
        <v>0</v>
      </c>
      <c r="AH183" s="64">
        <f t="shared" si="107"/>
        <v>0</v>
      </c>
      <c r="AI183" s="112">
        <f t="shared" si="108"/>
        <v>0</v>
      </c>
    </row>
    <row r="184" spans="1:35" ht="51" x14ac:dyDescent="0.2">
      <c r="A184" s="37" t="s">
        <v>81</v>
      </c>
      <c r="B184" s="23" t="s">
        <v>403</v>
      </c>
      <c r="C184" s="8" t="s">
        <v>469</v>
      </c>
      <c r="D184" s="6">
        <v>3</v>
      </c>
      <c r="E184" s="6">
        <v>3</v>
      </c>
      <c r="F184" s="6">
        <v>1</v>
      </c>
      <c r="G184" s="6">
        <v>1</v>
      </c>
      <c r="H184" s="6">
        <v>2</v>
      </c>
      <c r="I184" s="6">
        <v>2</v>
      </c>
      <c r="J184" s="6">
        <v>2</v>
      </c>
      <c r="K184" s="58">
        <v>2734.8772360695898</v>
      </c>
      <c r="L184" s="58">
        <v>246170.22999999998</v>
      </c>
      <c r="M184" s="58">
        <v>246659.139698329</v>
      </c>
      <c r="N184" s="58">
        <f t="shared" si="94"/>
        <v>0</v>
      </c>
      <c r="O184" s="60">
        <f t="shared" si="95"/>
        <v>2734.8772360695898</v>
      </c>
      <c r="P184" s="57">
        <v>16260.54</v>
      </c>
      <c r="Q184" s="57">
        <v>16390.39</v>
      </c>
      <c r="R184" s="57">
        <v>17415.52</v>
      </c>
      <c r="S184" s="61">
        <v>0</v>
      </c>
      <c r="T184" s="57">
        <v>0</v>
      </c>
      <c r="U184" s="57">
        <v>47331.57</v>
      </c>
      <c r="V184" s="62">
        <f t="shared" si="93"/>
        <v>2734.8799999999974</v>
      </c>
      <c r="W184" s="63">
        <f t="shared" si="96"/>
        <v>0</v>
      </c>
      <c r="X184" s="64">
        <f t="shared" si="97"/>
        <v>0</v>
      </c>
      <c r="Y184" s="57">
        <f t="shared" si="98"/>
        <v>0</v>
      </c>
      <c r="Z184" s="57">
        <f t="shared" si="99"/>
        <v>0</v>
      </c>
      <c r="AA184" s="57">
        <f t="shared" si="100"/>
        <v>0</v>
      </c>
      <c r="AB184" s="57">
        <f t="shared" si="101"/>
        <v>0</v>
      </c>
      <c r="AC184" s="57">
        <f t="shared" si="102"/>
        <v>0</v>
      </c>
      <c r="AD184" s="57">
        <f t="shared" si="103"/>
        <v>0</v>
      </c>
      <c r="AE184" s="57">
        <f t="shared" si="104"/>
        <v>0</v>
      </c>
      <c r="AF184" s="57">
        <f t="shared" si="105"/>
        <v>0</v>
      </c>
      <c r="AG184" s="57">
        <f t="shared" si="106"/>
        <v>0</v>
      </c>
      <c r="AH184" s="64">
        <f t="shared" si="107"/>
        <v>0</v>
      </c>
      <c r="AI184" s="112">
        <f t="shared" si="108"/>
        <v>0</v>
      </c>
    </row>
    <row r="185" spans="1:35" ht="38.25" x14ac:dyDescent="0.2">
      <c r="A185" s="37" t="s">
        <v>246</v>
      </c>
      <c r="B185" s="22" t="s">
        <v>353</v>
      </c>
      <c r="C185" s="5" t="s">
        <v>11</v>
      </c>
      <c r="D185" s="88">
        <v>3</v>
      </c>
      <c r="E185" s="88">
        <v>3</v>
      </c>
      <c r="F185" s="6">
        <v>2</v>
      </c>
      <c r="G185" s="6">
        <v>2</v>
      </c>
      <c r="H185" s="5" t="s">
        <v>545</v>
      </c>
      <c r="I185" s="5" t="s">
        <v>545</v>
      </c>
      <c r="J185" s="5" t="s">
        <v>545</v>
      </c>
      <c r="K185" s="58">
        <v>0</v>
      </c>
      <c r="L185" s="58">
        <v>39762865.170000002</v>
      </c>
      <c r="M185" s="58">
        <v>57215608.681851178</v>
      </c>
      <c r="N185" s="58">
        <f t="shared" si="94"/>
        <v>0</v>
      </c>
      <c r="O185" s="60">
        <f t="shared" si="95"/>
        <v>0</v>
      </c>
      <c r="P185" s="57">
        <v>4835435.9400000004</v>
      </c>
      <c r="Q185" s="57">
        <v>4873834.12</v>
      </c>
      <c r="R185" s="57">
        <v>0</v>
      </c>
      <c r="S185" s="61">
        <v>0</v>
      </c>
      <c r="T185" s="57">
        <v>0</v>
      </c>
      <c r="U185" s="57">
        <v>9709270.0600000005</v>
      </c>
      <c r="V185" s="62">
        <f t="shared" si="93"/>
        <v>0</v>
      </c>
      <c r="W185" s="63">
        <f t="shared" si="96"/>
        <v>0</v>
      </c>
      <c r="X185" s="64">
        <f t="shared" si="97"/>
        <v>0</v>
      </c>
      <c r="Y185" s="57">
        <f t="shared" si="98"/>
        <v>0</v>
      </c>
      <c r="Z185" s="57">
        <f t="shared" si="99"/>
        <v>0</v>
      </c>
      <c r="AA185" s="57">
        <f t="shared" si="100"/>
        <v>0</v>
      </c>
      <c r="AB185" s="57">
        <f t="shared" si="101"/>
        <v>0</v>
      </c>
      <c r="AC185" s="57">
        <f t="shared" si="102"/>
        <v>0</v>
      </c>
      <c r="AD185" s="57">
        <f t="shared" si="103"/>
        <v>0</v>
      </c>
      <c r="AE185" s="57">
        <f t="shared" si="104"/>
        <v>0</v>
      </c>
      <c r="AF185" s="57">
        <f t="shared" si="105"/>
        <v>0</v>
      </c>
      <c r="AG185" s="57">
        <f t="shared" si="106"/>
        <v>0</v>
      </c>
      <c r="AH185" s="64">
        <f t="shared" si="107"/>
        <v>0</v>
      </c>
      <c r="AI185" s="112">
        <f t="shared" si="108"/>
        <v>0</v>
      </c>
    </row>
    <row r="186" spans="1:35" ht="38.25" x14ac:dyDescent="0.2">
      <c r="A186" s="37" t="s">
        <v>205</v>
      </c>
      <c r="B186" s="22" t="s">
        <v>347</v>
      </c>
      <c r="C186" s="5" t="s">
        <v>11</v>
      </c>
      <c r="D186" s="88">
        <v>3</v>
      </c>
      <c r="E186" s="88">
        <v>3</v>
      </c>
      <c r="F186" s="6">
        <v>2</v>
      </c>
      <c r="G186" s="6">
        <v>2</v>
      </c>
      <c r="H186" s="5" t="s">
        <v>545</v>
      </c>
      <c r="I186" s="5" t="s">
        <v>545</v>
      </c>
      <c r="J186" s="5" t="s">
        <v>545</v>
      </c>
      <c r="K186" s="58">
        <v>0</v>
      </c>
      <c r="L186" s="58">
        <v>2498035.12</v>
      </c>
      <c r="M186" s="58">
        <v>4024024.7288484685</v>
      </c>
      <c r="N186" s="58">
        <f t="shared" si="94"/>
        <v>0</v>
      </c>
      <c r="O186" s="60">
        <f t="shared" si="95"/>
        <v>0</v>
      </c>
      <c r="P186" s="57">
        <v>1792796.28</v>
      </c>
      <c r="Q186" s="57">
        <v>1806990.92</v>
      </c>
      <c r="R186" s="57">
        <v>0</v>
      </c>
      <c r="S186" s="61">
        <v>0</v>
      </c>
      <c r="T186" s="57">
        <v>0</v>
      </c>
      <c r="U186" s="57">
        <v>3599787.2</v>
      </c>
      <c r="V186" s="62">
        <f t="shared" si="93"/>
        <v>0</v>
      </c>
      <c r="W186" s="63">
        <f t="shared" si="96"/>
        <v>0</v>
      </c>
      <c r="X186" s="64">
        <f t="shared" si="97"/>
        <v>0</v>
      </c>
      <c r="Y186" s="57">
        <f t="shared" si="98"/>
        <v>0</v>
      </c>
      <c r="Z186" s="57">
        <f t="shared" si="99"/>
        <v>0</v>
      </c>
      <c r="AA186" s="57">
        <f t="shared" si="100"/>
        <v>0</v>
      </c>
      <c r="AB186" s="57">
        <f t="shared" si="101"/>
        <v>0</v>
      </c>
      <c r="AC186" s="57">
        <f t="shared" si="102"/>
        <v>0</v>
      </c>
      <c r="AD186" s="57">
        <f t="shared" si="103"/>
        <v>0</v>
      </c>
      <c r="AE186" s="57">
        <f t="shared" si="104"/>
        <v>0</v>
      </c>
      <c r="AF186" s="57">
        <f t="shared" si="105"/>
        <v>0</v>
      </c>
      <c r="AG186" s="57">
        <f t="shared" si="106"/>
        <v>0</v>
      </c>
      <c r="AH186" s="64">
        <f t="shared" si="107"/>
        <v>0</v>
      </c>
      <c r="AI186" s="112">
        <f t="shared" si="108"/>
        <v>0</v>
      </c>
    </row>
    <row r="187" spans="1:35" ht="51" x14ac:dyDescent="0.2">
      <c r="A187" s="37" t="s">
        <v>129</v>
      </c>
      <c r="B187" s="23" t="s">
        <v>397</v>
      </c>
      <c r="C187" s="8" t="s">
        <v>518</v>
      </c>
      <c r="D187" s="6">
        <v>3</v>
      </c>
      <c r="E187" s="6">
        <v>3</v>
      </c>
      <c r="F187" s="6">
        <v>1</v>
      </c>
      <c r="G187" s="6">
        <v>1</v>
      </c>
      <c r="H187" s="6">
        <v>2</v>
      </c>
      <c r="I187" s="6">
        <v>2</v>
      </c>
      <c r="J187" s="6">
        <v>2</v>
      </c>
      <c r="K187" s="58">
        <v>1690395.88494061</v>
      </c>
      <c r="L187" s="58">
        <v>2600756.63</v>
      </c>
      <c r="M187" s="58">
        <v>2606524.1902726456</v>
      </c>
      <c r="N187" s="58">
        <f t="shared" si="94"/>
        <v>0</v>
      </c>
      <c r="O187" s="60">
        <f t="shared" si="95"/>
        <v>1690395.88494061</v>
      </c>
      <c r="P187" s="57">
        <v>562589.73</v>
      </c>
      <c r="Q187" s="57">
        <v>567057.63</v>
      </c>
      <c r="R187" s="57">
        <v>604570.28</v>
      </c>
      <c r="S187" s="61">
        <v>0</v>
      </c>
      <c r="T187" s="57">
        <v>0</v>
      </c>
      <c r="U187" s="57">
        <v>43821.760000000002</v>
      </c>
      <c r="V187" s="62">
        <f t="shared" si="93"/>
        <v>1690395.88</v>
      </c>
      <c r="W187" s="63">
        <f t="shared" si="96"/>
        <v>4.9406101461499929E-3</v>
      </c>
      <c r="X187" s="64">
        <f t="shared" si="97"/>
        <v>0</v>
      </c>
      <c r="Y187" s="57">
        <f t="shared" si="98"/>
        <v>5.7238627430299444E-5</v>
      </c>
      <c r="Z187" s="57">
        <f t="shared" si="99"/>
        <v>8.5328901953338467E-5</v>
      </c>
      <c r="AA187" s="57">
        <f t="shared" si="100"/>
        <v>2.8090274523039023E-5</v>
      </c>
      <c r="AB187" s="57">
        <f t="shared" si="101"/>
        <v>2.8090274523039023E-5</v>
      </c>
      <c r="AC187" s="57">
        <f t="shared" si="102"/>
        <v>0</v>
      </c>
      <c r="AD187" s="57">
        <f t="shared" si="103"/>
        <v>0</v>
      </c>
      <c r="AE187" s="57">
        <f t="shared" si="104"/>
        <v>2.8090274523039023E-5</v>
      </c>
      <c r="AF187" s="57">
        <f t="shared" si="105"/>
        <v>0</v>
      </c>
      <c r="AG187" s="57">
        <f t="shared" si="106"/>
        <v>2.8090274523039023E-5</v>
      </c>
      <c r="AH187" s="64">
        <f t="shared" si="107"/>
        <v>0</v>
      </c>
      <c r="AI187" s="112">
        <f t="shared" si="108"/>
        <v>0</v>
      </c>
    </row>
    <row r="188" spans="1:35" ht="25.5" x14ac:dyDescent="0.2">
      <c r="A188" s="37" t="s">
        <v>119</v>
      </c>
      <c r="B188" s="23" t="s">
        <v>120</v>
      </c>
      <c r="C188" s="8" t="s">
        <v>492</v>
      </c>
      <c r="D188" s="6">
        <v>3</v>
      </c>
      <c r="E188" s="6">
        <v>3</v>
      </c>
      <c r="F188" s="6">
        <v>1</v>
      </c>
      <c r="G188" s="6">
        <v>1</v>
      </c>
      <c r="H188" s="6">
        <v>2</v>
      </c>
      <c r="I188" s="6">
        <v>2</v>
      </c>
      <c r="J188" s="6">
        <v>2</v>
      </c>
      <c r="K188" s="58">
        <v>1288283.5229381199</v>
      </c>
      <c r="L188" s="58">
        <v>1099209.2</v>
      </c>
      <c r="M188" s="58">
        <v>640934.97030245187</v>
      </c>
      <c r="N188" s="58">
        <f t="shared" si="94"/>
        <v>458274.22969754809</v>
      </c>
      <c r="O188" s="60">
        <f t="shared" si="95"/>
        <v>830009.29324057186</v>
      </c>
      <c r="P188" s="57">
        <v>68085.97</v>
      </c>
      <c r="Q188" s="57">
        <v>68629.89</v>
      </c>
      <c r="R188" s="57">
        <v>77428.72</v>
      </c>
      <c r="S188" s="61">
        <v>0</v>
      </c>
      <c r="T188" s="57">
        <v>174142.44</v>
      </c>
      <c r="U188" s="57">
        <v>38984.57</v>
      </c>
      <c r="V188" s="62">
        <f t="shared" si="93"/>
        <v>349302.45</v>
      </c>
      <c r="W188" s="63">
        <f t="shared" si="96"/>
        <v>480706.84324057185</v>
      </c>
      <c r="X188" s="64">
        <f t="shared" si="97"/>
        <v>0</v>
      </c>
      <c r="Y188" s="57">
        <f t="shared" si="98"/>
        <v>5569.1501837852393</v>
      </c>
      <c r="Z188" s="57">
        <f t="shared" si="99"/>
        <v>8302.2513175093027</v>
      </c>
      <c r="AA188" s="57">
        <f t="shared" si="100"/>
        <v>2733.1011337240634</v>
      </c>
      <c r="AB188" s="57">
        <f t="shared" si="101"/>
        <v>2733.1011337240634</v>
      </c>
      <c r="AC188" s="57">
        <f t="shared" si="102"/>
        <v>0</v>
      </c>
      <c r="AD188" s="57">
        <f t="shared" si="103"/>
        <v>8302.25</v>
      </c>
      <c r="AE188" s="57">
        <f t="shared" si="104"/>
        <v>2733.1011337240634</v>
      </c>
      <c r="AF188" s="57">
        <f t="shared" si="105"/>
        <v>0</v>
      </c>
      <c r="AG188" s="57">
        <f t="shared" si="106"/>
        <v>2733.1011337240634</v>
      </c>
      <c r="AH188" s="64">
        <f t="shared" si="107"/>
        <v>0</v>
      </c>
      <c r="AI188" s="112">
        <f t="shared" si="108"/>
        <v>2733.1</v>
      </c>
    </row>
    <row r="189" spans="1:35" ht="51.75" thickBot="1" x14ac:dyDescent="0.25">
      <c r="A189" s="38" t="s">
        <v>317</v>
      </c>
      <c r="B189" s="39" t="s">
        <v>318</v>
      </c>
      <c r="C189" s="31" t="s">
        <v>458</v>
      </c>
      <c r="D189" s="32">
        <v>3</v>
      </c>
      <c r="E189" s="32">
        <v>3</v>
      </c>
      <c r="F189" s="32">
        <v>1</v>
      </c>
      <c r="G189" s="32">
        <v>1</v>
      </c>
      <c r="H189" s="32">
        <v>2</v>
      </c>
      <c r="I189" s="32">
        <v>2</v>
      </c>
      <c r="J189" s="32">
        <v>2</v>
      </c>
      <c r="K189" s="65">
        <v>735041.41086748999</v>
      </c>
      <c r="L189" s="65">
        <v>4460033.58</v>
      </c>
      <c r="M189" s="65">
        <v>3571238.4827807872</v>
      </c>
      <c r="N189" s="65">
        <f t="shared" si="94"/>
        <v>888795.09721921291</v>
      </c>
      <c r="O189" s="66">
        <f t="shared" si="95"/>
        <v>0</v>
      </c>
      <c r="P189" s="67">
        <v>268775.96999999997</v>
      </c>
      <c r="Q189" s="67">
        <v>270925.24</v>
      </c>
      <c r="R189" s="67">
        <v>300731.40999999997</v>
      </c>
      <c r="S189" s="68">
        <v>0</v>
      </c>
      <c r="T189" s="67">
        <v>0</v>
      </c>
      <c r="U189" s="67">
        <v>105391.21</v>
      </c>
      <c r="V189" s="113">
        <f t="shared" si="93"/>
        <v>735041.40999999992</v>
      </c>
      <c r="W189" s="114">
        <f t="shared" si="96"/>
        <v>0</v>
      </c>
      <c r="X189" s="115">
        <f t="shared" si="97"/>
        <v>0</v>
      </c>
      <c r="Y189" s="67">
        <f t="shared" si="98"/>
        <v>0</v>
      </c>
      <c r="Z189" s="67">
        <f t="shared" si="99"/>
        <v>0</v>
      </c>
      <c r="AA189" s="67">
        <f t="shared" si="100"/>
        <v>0</v>
      </c>
      <c r="AB189" s="67">
        <f t="shared" si="101"/>
        <v>0</v>
      </c>
      <c r="AC189" s="67">
        <f t="shared" si="102"/>
        <v>0</v>
      </c>
      <c r="AD189" s="67">
        <f t="shared" si="103"/>
        <v>0</v>
      </c>
      <c r="AE189" s="67">
        <f t="shared" si="104"/>
        <v>0</v>
      </c>
      <c r="AF189" s="67">
        <f t="shared" si="105"/>
        <v>0</v>
      </c>
      <c r="AG189" s="67">
        <f t="shared" si="106"/>
        <v>0</v>
      </c>
      <c r="AH189" s="115">
        <f t="shared" si="107"/>
        <v>0</v>
      </c>
      <c r="AI189" s="116">
        <f t="shared" si="108"/>
        <v>0</v>
      </c>
    </row>
  </sheetData>
  <autoFilter ref="A6:AI189" xr:uid="{CA5089FB-1AB7-4B70-9903-903A8F0A6A88}"/>
  <mergeCells count="2">
    <mergeCell ref="AH5:AI5"/>
    <mergeCell ref="AB5:AG5"/>
  </mergeCells>
  <conditionalFormatting sqref="A6:A169">
    <cfRule type="duplicateValues" dxfId="15" priority="14"/>
  </conditionalFormatting>
  <conditionalFormatting sqref="A11">
    <cfRule type="duplicateValues" dxfId="14" priority="15"/>
  </conditionalFormatting>
  <conditionalFormatting sqref="A113">
    <cfRule type="duplicateValues" dxfId="13" priority="16"/>
  </conditionalFormatting>
  <conditionalFormatting sqref="A67:A70">
    <cfRule type="duplicateValues" dxfId="12" priority="17"/>
  </conditionalFormatting>
  <conditionalFormatting sqref="A112">
    <cfRule type="duplicateValues" dxfId="11" priority="18"/>
  </conditionalFormatting>
  <conditionalFormatting sqref="A165:A169">
    <cfRule type="duplicateValues" dxfId="10" priority="19"/>
  </conditionalFormatting>
  <conditionalFormatting sqref="A170:A189">
    <cfRule type="duplicateValues" dxfId="9" priority="11"/>
  </conditionalFormatting>
  <conditionalFormatting sqref="A170:A189">
    <cfRule type="duplicateValues" dxfId="8" priority="12"/>
  </conditionalFormatting>
  <conditionalFormatting sqref="E5 G5">
    <cfRule type="duplicateValues" dxfId="7" priority="24"/>
  </conditionalFormatting>
  <conditionalFormatting sqref="G7:G189">
    <cfRule type="cellIs" dxfId="6" priority="10" operator="notEqual">
      <formula>$F7</formula>
    </cfRule>
  </conditionalFormatting>
  <conditionalFormatting sqref="A5:D5">
    <cfRule type="duplicateValues" dxfId="5" priority="6"/>
  </conditionalFormatting>
  <conditionalFormatting sqref="F5">
    <cfRule type="duplicateValues" dxfId="4" priority="5"/>
  </conditionalFormatting>
  <conditionalFormatting sqref="H5">
    <cfRule type="duplicateValues" dxfId="3" priority="4"/>
  </conditionalFormatting>
  <conditionalFormatting sqref="J5">
    <cfRule type="duplicateValues" dxfId="2" priority="3"/>
  </conditionalFormatting>
  <conditionalFormatting sqref="I5">
    <cfRule type="duplicateValues" dxfId="1" priority="2"/>
  </conditionalFormatting>
  <conditionalFormatting sqref="K5">
    <cfRule type="duplicateValues" dxfId="0" priority="1"/>
  </conditionalFormatting>
  <pageMargins left="0.7" right="0.7" top="0.75" bottom="0.75" header="0.3" footer="0.3"/>
  <pageSetup scale="22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M D A A B Q S w M E F A A C A A g A 4 X l u V O q d Q 3 O j A A A A 9 Q A A A B I A H A B D b 2 5 m a W c v U G F j a 2 F n Z S 5 4 b W w g o h g A K K A U A A A A A A A A A A A A A A A A A A A A A A A A A A A A h Y 8 x D o I w G I W v Q r r T l h o T J D 9 l c J X E h G h c m 1 K h E Y q h x X I 3 B 4 / k F c Q o 6 u b 4 v v c N 7 9 2 v N 8 j G t g k u q r e 6 M y m K M E W B M r I r t a l S N L h j G K O M w 1 b I k 6 h U M M n G J q M t U 1 Q 7 d 0 4 I 8 d 5 j v 8 B d X x F G a U Q O + a a Q t W o F + s j 6 v x x q Y 5 0 w U i E O + 9 c Y z v C K 4 m X M M A U y M 8 i 1 + f Z s m v t s f y C s h 8 Y N v e L K h L s C y B y B v C / w B 1 B L A w Q U A A I A C A D h e W 5 U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4 X l u V C i K R 7 g O A A A A E Q A A A B M A H A B G b 3 J t d W x h c y 9 T Z W N 0 a W 9 u M S 5 t I K I Y A C i g F A A A A A A A A A A A A A A A A A A A A A A A A A A A A C t O T S 7 J z M 9 T C I b Q h t Y A U E s B A i 0 A F A A C A A g A 4 X l u V O q d Q 3 O j A A A A 9 Q A A A B I A A A A A A A A A A A A A A A A A A A A A A E N v b m Z p Z y 9 Q Y W N r Y W d l L n h t b F B L A Q I t A B Q A A g A I A O F 5 b l Q P y u m r p A A A A O k A A A A T A A A A A A A A A A A A A A A A A O 8 A A A B b Q 2 9 u d G V u d F 9 U e X B l c 1 0 u e G 1 s U E s B A i 0 A F A A C A A g A 4 X l u V C i K R 7 g O A A A A E Q A A A B M A A A A A A A A A A A A A A A A A 4 A E A A E Z v c m 1 1 b G F z L 1 N l Y 3 R p b 2 4 x L m 1 Q S w U G A A A A A A M A A w D C A A A A O w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2 g A A A A E A A A D Q j J 3 f A R X R E Y x 6 A M B P w p f r A Q A A A C + D 0 W + R A E J A o 0 p f H 0 7 8 O 5 w A A A A A A g A A A A A A A 2 Y A A M A A A A A Q A A A A z X c O D 2 W 5 u x T 5 N Z v / / J / b 6 Q A A A A A E g A A A o A A A A B A A A A D e d v a I a 0 h 6 Q E a c G 4 T E Z y / r U A A A A P / 7 t k J 0 / q A s 0 7 8 5 H 7 L E X J I 8 n s 0 F H S 1 G c 8 K 4 V l p K f k e c 4 4 I 1 b q X Z i Y r 5 Z E C R K i 9 g O c h 0 J i r F s 1 2 M t + D o Y H h c 9 n M J X D W w R 3 m 6 y Z 2 t J + H u H M d b F A A A A H Q F 7 L b y r I L L y 3 w R y T h J s i J k N K L i < / D a t a M a s h u p > 
</file>

<file path=customXml/itemProps1.xml><?xml version="1.0" encoding="utf-8"?>
<ds:datastoreItem xmlns:ds="http://schemas.openxmlformats.org/officeDocument/2006/customXml" ds:itemID="{8F38C552-67E4-4347-A9D1-D9315145187C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Assumptions</vt:lpstr>
      <vt:lpstr>Final IGT and Payment_Redist</vt:lpstr>
      <vt:lpstr>State Redistribution Calc</vt:lpstr>
      <vt:lpstr>Non-State Redistribution Calc</vt:lpstr>
      <vt:lpstr>FedShr_Enhanced</vt:lpstr>
      <vt:lpstr>FF_NonState</vt:lpstr>
      <vt:lpstr>FF_Redist</vt:lpstr>
      <vt:lpstr>FF_State</vt:lpstr>
      <vt:lpstr>LP_Refunds</vt:lpstr>
      <vt:lpstr>Assumptions!Print_Area</vt:lpstr>
      <vt:lpstr>StateShr_Enhanced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2022-07-14T21:22:08Z</dcterms:created>
  <dcterms:modified xsi:type="dcterms:W3CDTF">2022-07-14T21:22:20Z</dcterms:modified>
</cp:coreProperties>
</file>