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8_{5D7F6197-CADE-45AE-A9AD-6683AA593FAE}" xr6:coauthVersionLast="31" xr6:coauthVersionMax="31" xr10:uidLastSave="{00000000-0000-0000-0000-000000000000}"/>
  <bookViews>
    <workbookView xWindow="0" yWindow="-12" windowWidth="6588" windowHeight="5868" tabRatio="891" xr2:uid="{00000000-000D-0000-FFFF-FFFF00000000}"/>
  </bookViews>
  <sheets>
    <sheet name="Wages, Taxes and Workers' Comp" sheetId="24" r:id="rId1"/>
    <sheet name="Day Hab Units of Service" sheetId="63" r:id="rId2"/>
    <sheet name="Day Hab Worksheet" sheetId="54" r:id="rId3"/>
    <sheet name="Non-Day Hab Units of Service" sheetId="62" r:id="rId4"/>
    <sheet name="Non-Day Hab Worksheet" sheetId="59" r:id="rId5"/>
    <sheet name="DH Rates" sheetId="60" r:id="rId6"/>
    <sheet name="NDH Rates" sheetId="61" r:id="rId7"/>
  </sheets>
  <definedNames>
    <definedName name="_xlnm.Print_Area" localSheetId="3">'Non-Day Hab Units of Service'!$A$1:$O$35</definedName>
  </definedNames>
  <calcPr calcId="179017"/>
</workbook>
</file>

<file path=xl/calcChain.xml><?xml version="1.0" encoding="utf-8"?>
<calcChain xmlns="http://schemas.openxmlformats.org/spreadsheetml/2006/main">
  <c r="C87" i="59" l="1"/>
  <c r="K69" i="59" l="1"/>
  <c r="K67" i="59"/>
  <c r="K65" i="59"/>
  <c r="K63" i="59"/>
  <c r="K61" i="59"/>
  <c r="G69" i="59"/>
  <c r="G67" i="59"/>
  <c r="G65" i="59"/>
  <c r="G63" i="59"/>
  <c r="G61" i="59"/>
  <c r="C61" i="59"/>
  <c r="C69" i="59"/>
  <c r="C67" i="59"/>
  <c r="C65" i="59"/>
  <c r="C63" i="59"/>
  <c r="E19" i="24" l="1"/>
  <c r="E30" i="54" l="1"/>
  <c r="G20" i="63"/>
  <c r="E26" i="24"/>
  <c r="E85" i="59" l="1"/>
  <c r="E83" i="59"/>
  <c r="I85" i="59"/>
  <c r="I83" i="59"/>
  <c r="E79" i="59"/>
  <c r="E81" i="59"/>
  <c r="I81" i="59"/>
  <c r="I79" i="59"/>
  <c r="E75" i="59"/>
  <c r="E77" i="59"/>
  <c r="I77" i="59"/>
  <c r="I75" i="59"/>
  <c r="K40" i="54" l="1"/>
  <c r="G40" i="54"/>
  <c r="C40" i="54"/>
  <c r="K38" i="54"/>
  <c r="G38" i="54"/>
  <c r="C38" i="54"/>
  <c r="K36" i="54"/>
  <c r="G36" i="54"/>
  <c r="C36" i="54"/>
  <c r="K34" i="54"/>
  <c r="G34" i="54"/>
  <c r="C34" i="54"/>
  <c r="K32" i="54"/>
  <c r="G32" i="54"/>
  <c r="C32" i="54"/>
  <c r="K30" i="54"/>
  <c r="G30" i="54"/>
  <c r="C30" i="54"/>
  <c r="M20" i="63"/>
  <c r="J20" i="63"/>
  <c r="K85" i="59"/>
  <c r="G85" i="59"/>
  <c r="C85" i="59"/>
  <c r="K83" i="59"/>
  <c r="G83" i="59"/>
  <c r="C83" i="59"/>
  <c r="K81" i="59"/>
  <c r="G81" i="59"/>
  <c r="C81" i="59"/>
  <c r="K79" i="59"/>
  <c r="G79" i="59"/>
  <c r="C79" i="59"/>
  <c r="K77" i="59"/>
  <c r="G77" i="59"/>
  <c r="C77" i="59"/>
  <c r="K75" i="59"/>
  <c r="G75" i="59"/>
  <c r="C75" i="59"/>
  <c r="K73" i="59"/>
  <c r="G73" i="59"/>
  <c r="C73" i="59"/>
  <c r="K71" i="59"/>
  <c r="G71" i="59"/>
  <c r="C71" i="59"/>
  <c r="M22" i="63" l="1"/>
  <c r="J22" i="63"/>
  <c r="E40" i="54"/>
  <c r="E38" i="54"/>
  <c r="E36" i="54"/>
  <c r="E34" i="54"/>
  <c r="E32" i="54"/>
  <c r="M85" i="59" l="1"/>
  <c r="M83" i="59"/>
  <c r="M81" i="59"/>
  <c r="M79" i="59"/>
  <c r="M75" i="59"/>
  <c r="M77" i="59"/>
  <c r="M73" i="59"/>
  <c r="M71" i="59"/>
  <c r="M69" i="59"/>
  <c r="M67" i="59"/>
  <c r="M65" i="59"/>
  <c r="M63" i="59"/>
  <c r="M61" i="59"/>
  <c r="N6" i="59" l="1"/>
  <c r="N14" i="59"/>
  <c r="N22" i="59"/>
  <c r="N38" i="59"/>
  <c r="N30" i="59"/>
  <c r="M40" i="54"/>
  <c r="M38" i="54"/>
  <c r="M36" i="54"/>
  <c r="M34" i="54"/>
  <c r="M32" i="54"/>
  <c r="M30" i="54"/>
  <c r="N6" i="54"/>
  <c r="I7" i="61"/>
  <c r="I8" i="61"/>
  <c r="I9" i="61"/>
  <c r="I10" i="61"/>
  <c r="I11" i="61"/>
  <c r="I12" i="61"/>
  <c r="I13" i="61"/>
  <c r="I14" i="61"/>
  <c r="I15" i="61"/>
  <c r="I16" i="61"/>
  <c r="I17" i="61"/>
  <c r="I18" i="61"/>
  <c r="I19" i="61"/>
  <c r="I20" i="61"/>
  <c r="I21" i="61"/>
  <c r="I22" i="61"/>
  <c r="I23" i="61"/>
  <c r="I24" i="61"/>
  <c r="I25" i="61"/>
  <c r="I26" i="61"/>
  <c r="I27" i="61"/>
  <c r="I28" i="61"/>
  <c r="I29" i="61"/>
  <c r="I30" i="61"/>
  <c r="I6" i="61"/>
  <c r="H30" i="61"/>
  <c r="H29" i="61"/>
  <c r="H28" i="61"/>
  <c r="H27" i="61"/>
  <c r="H26" i="61"/>
  <c r="H25" i="61"/>
  <c r="H24" i="61"/>
  <c r="H23" i="61"/>
  <c r="H22" i="61"/>
  <c r="H21" i="61"/>
  <c r="H20" i="61"/>
  <c r="H19" i="61"/>
  <c r="H18" i="61"/>
  <c r="H17" i="61"/>
  <c r="H16" i="61"/>
  <c r="H15" i="61"/>
  <c r="H14" i="61"/>
  <c r="H13" i="61"/>
  <c r="H12" i="61"/>
  <c r="H11" i="61"/>
  <c r="H10" i="61"/>
  <c r="H9" i="61"/>
  <c r="H8" i="61"/>
  <c r="H7" i="61"/>
  <c r="H6" i="61"/>
  <c r="I5" i="61"/>
  <c r="H5" i="61"/>
  <c r="P7" i="61"/>
  <c r="P8" i="61"/>
  <c r="P9" i="61"/>
  <c r="P10" i="61"/>
  <c r="P11" i="61"/>
  <c r="P12" i="61"/>
  <c r="P13" i="61"/>
  <c r="P14" i="61"/>
  <c r="P15" i="61"/>
  <c r="P16" i="61"/>
  <c r="P17" i="61"/>
  <c r="P18" i="61"/>
  <c r="P19" i="61"/>
  <c r="P20" i="61"/>
  <c r="P21" i="61"/>
  <c r="P22" i="61"/>
  <c r="P23" i="61"/>
  <c r="P24" i="61"/>
  <c r="P25" i="61"/>
  <c r="P26" i="61"/>
  <c r="P27" i="61"/>
  <c r="P28" i="61"/>
  <c r="P29" i="61"/>
  <c r="P30" i="61"/>
  <c r="P6" i="61"/>
  <c r="P5" i="61"/>
  <c r="N7" i="61"/>
  <c r="N8" i="61"/>
  <c r="N9" i="61"/>
  <c r="N10" i="61"/>
  <c r="N11" i="61"/>
  <c r="N12" i="61"/>
  <c r="N13" i="61"/>
  <c r="N14" i="61"/>
  <c r="N15" i="61"/>
  <c r="N16" i="61"/>
  <c r="N17" i="61"/>
  <c r="N18" i="61"/>
  <c r="N19" i="61"/>
  <c r="N20" i="61"/>
  <c r="N21" i="61"/>
  <c r="N22" i="61"/>
  <c r="N23" i="61"/>
  <c r="N24" i="61"/>
  <c r="N25" i="61"/>
  <c r="N26" i="61"/>
  <c r="N27" i="61"/>
  <c r="N28" i="61"/>
  <c r="N29" i="61"/>
  <c r="N30" i="61"/>
  <c r="N6" i="61"/>
  <c r="N5" i="61"/>
  <c r="L7" i="61"/>
  <c r="L8" i="61"/>
  <c r="L9" i="61"/>
  <c r="L10" i="61"/>
  <c r="L11" i="61"/>
  <c r="L12" i="61"/>
  <c r="L13" i="61"/>
  <c r="L14" i="61"/>
  <c r="L15" i="61"/>
  <c r="L16" i="61"/>
  <c r="L17" i="61"/>
  <c r="L18" i="61"/>
  <c r="L19" i="61"/>
  <c r="L20" i="61"/>
  <c r="L21" i="61"/>
  <c r="L22" i="61"/>
  <c r="L23" i="61"/>
  <c r="L24" i="61"/>
  <c r="L25" i="61"/>
  <c r="L26" i="61"/>
  <c r="L27" i="61"/>
  <c r="L28" i="61"/>
  <c r="L29" i="61"/>
  <c r="L30" i="61"/>
  <c r="L6" i="61"/>
  <c r="L5" i="61"/>
  <c r="J7" i="61"/>
  <c r="J8" i="61"/>
  <c r="J9" i="61"/>
  <c r="J10" i="61"/>
  <c r="J11" i="61"/>
  <c r="J12" i="61"/>
  <c r="J13" i="61"/>
  <c r="J14" i="61"/>
  <c r="J15" i="61"/>
  <c r="J16" i="61"/>
  <c r="J17" i="61"/>
  <c r="J18" i="61"/>
  <c r="J19" i="61"/>
  <c r="J20" i="61"/>
  <c r="J21" i="61"/>
  <c r="J22" i="61"/>
  <c r="J23" i="61"/>
  <c r="J24" i="61"/>
  <c r="J25" i="61"/>
  <c r="J26" i="61"/>
  <c r="J27" i="61"/>
  <c r="J28" i="61"/>
  <c r="J29" i="61"/>
  <c r="J30" i="61"/>
  <c r="J6" i="61"/>
  <c r="J39" i="61"/>
  <c r="J40" i="61"/>
  <c r="J41" i="61"/>
  <c r="J42" i="61"/>
  <c r="J43" i="61"/>
  <c r="J44" i="61"/>
  <c r="J45" i="61"/>
  <c r="J46" i="61"/>
  <c r="J47" i="61"/>
  <c r="J48" i="61"/>
  <c r="J49" i="61"/>
  <c r="J50" i="61"/>
  <c r="J51" i="61"/>
  <c r="J52" i="61"/>
  <c r="J53" i="61"/>
  <c r="J54" i="61"/>
  <c r="J55" i="61"/>
  <c r="J56" i="61"/>
  <c r="J57" i="61"/>
  <c r="J58" i="61"/>
  <c r="J59" i="61"/>
  <c r="J60" i="61"/>
  <c r="J61" i="61"/>
  <c r="J62" i="61"/>
  <c r="J38" i="61"/>
  <c r="J37" i="61"/>
  <c r="J5" i="61"/>
  <c r="O30" i="61"/>
  <c r="O29" i="61"/>
  <c r="O28" i="61"/>
  <c r="O27" i="61"/>
  <c r="O26" i="61"/>
  <c r="O25" i="61"/>
  <c r="O24" i="61"/>
  <c r="O23" i="61"/>
  <c r="O22" i="61"/>
  <c r="O21" i="61"/>
  <c r="O20" i="61"/>
  <c r="O19" i="61"/>
  <c r="O18" i="61"/>
  <c r="O17" i="61"/>
  <c r="O16" i="61"/>
  <c r="O15" i="61"/>
  <c r="O14" i="61"/>
  <c r="O13" i="61"/>
  <c r="O12" i="61"/>
  <c r="O11" i="61"/>
  <c r="O10" i="61"/>
  <c r="O9" i="61"/>
  <c r="O8" i="61"/>
  <c r="O7" i="61"/>
  <c r="O6" i="61"/>
  <c r="M30" i="61"/>
  <c r="M29" i="61"/>
  <c r="M28" i="61"/>
  <c r="M27" i="61"/>
  <c r="M26" i="61"/>
  <c r="M25" i="61"/>
  <c r="M24" i="61"/>
  <c r="M23" i="61"/>
  <c r="M22" i="61"/>
  <c r="M21" i="61"/>
  <c r="M20" i="61"/>
  <c r="M19" i="61"/>
  <c r="M18" i="61"/>
  <c r="M17" i="61"/>
  <c r="M16" i="61"/>
  <c r="M15" i="61"/>
  <c r="M14" i="61"/>
  <c r="M13" i="61"/>
  <c r="M12" i="61"/>
  <c r="M11" i="61"/>
  <c r="M10" i="61"/>
  <c r="M9" i="61"/>
  <c r="M8" i="61"/>
  <c r="M7" i="61"/>
  <c r="M6" i="61"/>
  <c r="K30" i="61"/>
  <c r="K29" i="61"/>
  <c r="K28" i="61"/>
  <c r="K27" i="61"/>
  <c r="K26" i="61"/>
  <c r="K25" i="61"/>
  <c r="K24" i="61"/>
  <c r="K23" i="61"/>
  <c r="K22" i="61"/>
  <c r="K21" i="61"/>
  <c r="K20" i="61"/>
  <c r="K19" i="61"/>
  <c r="K18" i="61"/>
  <c r="K17" i="61"/>
  <c r="K16" i="61"/>
  <c r="K15" i="61"/>
  <c r="K14" i="61"/>
  <c r="K13" i="61"/>
  <c r="K12" i="61"/>
  <c r="K11" i="61"/>
  <c r="K10" i="61"/>
  <c r="K9" i="61"/>
  <c r="K8" i="61"/>
  <c r="K7" i="61"/>
  <c r="K6" i="61"/>
  <c r="G30" i="61"/>
  <c r="G29" i="61"/>
  <c r="G28" i="61"/>
  <c r="G27" i="61"/>
  <c r="G26" i="61"/>
  <c r="G25" i="61"/>
  <c r="G24" i="61"/>
  <c r="G23" i="61"/>
  <c r="G22" i="61"/>
  <c r="G21" i="61"/>
  <c r="G20" i="61"/>
  <c r="G19" i="61"/>
  <c r="G18" i="61"/>
  <c r="G17" i="61"/>
  <c r="G16" i="61"/>
  <c r="G15" i="61"/>
  <c r="G14" i="61"/>
  <c r="G13" i="61"/>
  <c r="G12" i="61"/>
  <c r="G11" i="61"/>
  <c r="G10" i="61"/>
  <c r="G9" i="61"/>
  <c r="G8" i="61"/>
  <c r="G7" i="61"/>
  <c r="G6" i="61"/>
  <c r="F30" i="61"/>
  <c r="F29" i="61"/>
  <c r="F28" i="61"/>
  <c r="F27" i="61"/>
  <c r="F26" i="61"/>
  <c r="F25" i="61"/>
  <c r="F24" i="61"/>
  <c r="F23" i="61"/>
  <c r="F22" i="61"/>
  <c r="F21" i="61"/>
  <c r="F20" i="61"/>
  <c r="F19" i="61"/>
  <c r="F18" i="61"/>
  <c r="F17" i="61"/>
  <c r="F16" i="61"/>
  <c r="F15" i="61"/>
  <c r="F14" i="61"/>
  <c r="F13" i="61"/>
  <c r="F12" i="61"/>
  <c r="F11" i="61"/>
  <c r="F10" i="61"/>
  <c r="F9" i="61"/>
  <c r="F8" i="61"/>
  <c r="F7" i="61"/>
  <c r="F6" i="61"/>
  <c r="E30" i="61"/>
  <c r="E29" i="61"/>
  <c r="E28" i="61"/>
  <c r="E27" i="61"/>
  <c r="E26" i="61"/>
  <c r="E25" i="61"/>
  <c r="E24" i="61"/>
  <c r="E23" i="61"/>
  <c r="E22" i="61"/>
  <c r="E21" i="61"/>
  <c r="E20" i="61"/>
  <c r="E19" i="61"/>
  <c r="E18" i="61"/>
  <c r="E17" i="61"/>
  <c r="E16" i="61"/>
  <c r="E15" i="61"/>
  <c r="E14" i="61"/>
  <c r="E13" i="61"/>
  <c r="E12" i="61"/>
  <c r="E11" i="61"/>
  <c r="E10" i="61"/>
  <c r="E9" i="61"/>
  <c r="E8" i="61"/>
  <c r="E7" i="61"/>
  <c r="E6" i="61"/>
  <c r="D30" i="61"/>
  <c r="D29" i="61"/>
  <c r="D28" i="61"/>
  <c r="D27" i="61"/>
  <c r="D26" i="61"/>
  <c r="D25" i="61"/>
  <c r="D24" i="61"/>
  <c r="D23" i="61"/>
  <c r="D22" i="61"/>
  <c r="D21" i="61"/>
  <c r="D20" i="61"/>
  <c r="D19" i="61"/>
  <c r="D18" i="61"/>
  <c r="D17" i="61"/>
  <c r="D16" i="61"/>
  <c r="D15" i="61"/>
  <c r="D14" i="61"/>
  <c r="D13" i="61"/>
  <c r="D12" i="61"/>
  <c r="D11" i="61"/>
  <c r="D10" i="61"/>
  <c r="D9" i="61"/>
  <c r="D8" i="61"/>
  <c r="D7" i="61"/>
  <c r="D6" i="61"/>
  <c r="C30" i="61"/>
  <c r="C29" i="61"/>
  <c r="C28" i="61"/>
  <c r="C27" i="61"/>
  <c r="C26" i="61"/>
  <c r="C25" i="61"/>
  <c r="C24" i="61"/>
  <c r="C23" i="61"/>
  <c r="C22" i="61"/>
  <c r="C21" i="61"/>
  <c r="C20" i="61"/>
  <c r="C19" i="61"/>
  <c r="C18" i="61"/>
  <c r="C17" i="61"/>
  <c r="C16" i="61"/>
  <c r="C15" i="61"/>
  <c r="C14" i="61"/>
  <c r="C13" i="61"/>
  <c r="C12" i="61"/>
  <c r="C11" i="61"/>
  <c r="C10" i="61"/>
  <c r="C9" i="61"/>
  <c r="C8" i="61"/>
  <c r="C7" i="61"/>
  <c r="C6" i="61"/>
  <c r="B30" i="61"/>
  <c r="B29" i="61"/>
  <c r="B28" i="61"/>
  <c r="B27" i="61"/>
  <c r="B26" i="61"/>
  <c r="B25" i="61"/>
  <c r="B24" i="61"/>
  <c r="B23" i="61"/>
  <c r="B22" i="61"/>
  <c r="B21" i="61"/>
  <c r="B20" i="61"/>
  <c r="B19" i="61"/>
  <c r="B18" i="61"/>
  <c r="B17" i="61"/>
  <c r="B16" i="61"/>
  <c r="B15" i="61"/>
  <c r="B14" i="61"/>
  <c r="B13" i="61"/>
  <c r="B12" i="61"/>
  <c r="B11" i="61"/>
  <c r="B10" i="61"/>
  <c r="B9" i="61"/>
  <c r="B8" i="61"/>
  <c r="B7" i="61"/>
  <c r="B6" i="61"/>
  <c r="O5" i="61"/>
  <c r="M5" i="61"/>
  <c r="K5" i="61"/>
  <c r="F5" i="61"/>
  <c r="E5" i="61"/>
  <c r="D5" i="61"/>
  <c r="C5" i="61"/>
  <c r="B5" i="61"/>
  <c r="G5" i="61"/>
  <c r="P39" i="61"/>
  <c r="P40" i="61"/>
  <c r="P41" i="61"/>
  <c r="P42" i="61"/>
  <c r="P43" i="61"/>
  <c r="P44" i="61"/>
  <c r="P45" i="61"/>
  <c r="P46" i="61"/>
  <c r="P47" i="61"/>
  <c r="P48" i="61"/>
  <c r="P49" i="61"/>
  <c r="P50" i="61"/>
  <c r="P51" i="61"/>
  <c r="P52" i="61"/>
  <c r="P53" i="61"/>
  <c r="P54" i="61"/>
  <c r="P55" i="61"/>
  <c r="P56" i="61"/>
  <c r="P57" i="61"/>
  <c r="P58" i="61"/>
  <c r="P59" i="61"/>
  <c r="P60" i="61"/>
  <c r="P61" i="61"/>
  <c r="P62" i="61"/>
  <c r="P38" i="61"/>
  <c r="O39" i="61"/>
  <c r="O40" i="61"/>
  <c r="O41" i="61"/>
  <c r="O42" i="61"/>
  <c r="O43" i="61"/>
  <c r="O44" i="61"/>
  <c r="O45" i="61"/>
  <c r="O46" i="61"/>
  <c r="O47" i="61"/>
  <c r="O48" i="61"/>
  <c r="O49" i="61"/>
  <c r="O50" i="61"/>
  <c r="O51" i="61"/>
  <c r="O52" i="61"/>
  <c r="O53" i="61"/>
  <c r="O54" i="61"/>
  <c r="O55" i="61"/>
  <c r="O56" i="61"/>
  <c r="O57" i="61"/>
  <c r="O58" i="61"/>
  <c r="O59" i="61"/>
  <c r="O60" i="61"/>
  <c r="O61" i="61"/>
  <c r="O62" i="61"/>
  <c r="O38" i="61"/>
  <c r="N39" i="61"/>
  <c r="N40" i="61"/>
  <c r="N41" i="61"/>
  <c r="N42" i="61"/>
  <c r="N43" i="61"/>
  <c r="N44" i="61"/>
  <c r="N45" i="61"/>
  <c r="N46" i="61"/>
  <c r="N47" i="61"/>
  <c r="N48" i="61"/>
  <c r="N49" i="61"/>
  <c r="N50" i="61"/>
  <c r="N51" i="61"/>
  <c r="N52" i="61"/>
  <c r="N53" i="61"/>
  <c r="N54" i="61"/>
  <c r="N55" i="61"/>
  <c r="N56" i="61"/>
  <c r="N57" i="61"/>
  <c r="N58" i="61"/>
  <c r="N59" i="61"/>
  <c r="N60" i="61"/>
  <c r="N61" i="61"/>
  <c r="N62" i="61"/>
  <c r="N38" i="61"/>
  <c r="M39" i="61"/>
  <c r="M40" i="61"/>
  <c r="M41" i="61"/>
  <c r="M42" i="61"/>
  <c r="M43" i="61"/>
  <c r="M44" i="61"/>
  <c r="M45" i="61"/>
  <c r="M46" i="61"/>
  <c r="M47" i="61"/>
  <c r="M48" i="61"/>
  <c r="M49" i="61"/>
  <c r="M50" i="61"/>
  <c r="M51" i="61"/>
  <c r="M52" i="61"/>
  <c r="M53" i="61"/>
  <c r="M54" i="61"/>
  <c r="M55" i="61"/>
  <c r="M56" i="61"/>
  <c r="M57" i="61"/>
  <c r="M58" i="61"/>
  <c r="M59" i="61"/>
  <c r="M60" i="61"/>
  <c r="M61" i="61"/>
  <c r="M62" i="61"/>
  <c r="M38" i="61"/>
  <c r="L39" i="61"/>
  <c r="L40" i="61"/>
  <c r="L41" i="61"/>
  <c r="L42" i="61"/>
  <c r="L43" i="61"/>
  <c r="L44" i="61"/>
  <c r="L45" i="61"/>
  <c r="L46" i="61"/>
  <c r="L47" i="61"/>
  <c r="L48" i="61"/>
  <c r="L49" i="61"/>
  <c r="L50" i="61"/>
  <c r="L51" i="61"/>
  <c r="L52" i="61"/>
  <c r="L53" i="61"/>
  <c r="L54" i="61"/>
  <c r="L55" i="61"/>
  <c r="L56" i="61"/>
  <c r="L57" i="61"/>
  <c r="L58" i="61"/>
  <c r="L59" i="61"/>
  <c r="L60" i="61"/>
  <c r="L61" i="61"/>
  <c r="L62" i="61"/>
  <c r="L38" i="61"/>
  <c r="K39" i="61"/>
  <c r="K40" i="61"/>
  <c r="K41" i="61"/>
  <c r="K42" i="61"/>
  <c r="K43" i="61"/>
  <c r="K44" i="61"/>
  <c r="K45" i="61"/>
  <c r="K46" i="61"/>
  <c r="K47" i="61"/>
  <c r="K48" i="61"/>
  <c r="K49" i="61"/>
  <c r="K50" i="61"/>
  <c r="K51" i="61"/>
  <c r="K52" i="61"/>
  <c r="K53" i="61"/>
  <c r="K54" i="61"/>
  <c r="K55" i="61"/>
  <c r="K56" i="61"/>
  <c r="K57" i="61"/>
  <c r="K58" i="61"/>
  <c r="K59" i="61"/>
  <c r="K60" i="61"/>
  <c r="K61" i="61"/>
  <c r="K62" i="61"/>
  <c r="K38" i="61"/>
  <c r="G62" i="61"/>
  <c r="G61" i="61"/>
  <c r="G60" i="61"/>
  <c r="G59" i="61"/>
  <c r="G58" i="61"/>
  <c r="G57" i="61"/>
  <c r="G56" i="61"/>
  <c r="G55" i="61"/>
  <c r="G54" i="61"/>
  <c r="G53" i="61"/>
  <c r="G52" i="61"/>
  <c r="G51" i="61"/>
  <c r="G50" i="61"/>
  <c r="G49" i="61"/>
  <c r="G48" i="61"/>
  <c r="G47" i="61"/>
  <c r="G46" i="61"/>
  <c r="G45" i="61"/>
  <c r="G44" i="61"/>
  <c r="G43" i="61"/>
  <c r="G42" i="61"/>
  <c r="G41" i="61"/>
  <c r="G40" i="61"/>
  <c r="G39" i="61"/>
  <c r="G38" i="61"/>
  <c r="F62" i="61"/>
  <c r="F61" i="61"/>
  <c r="F60" i="61"/>
  <c r="F59" i="61"/>
  <c r="F58" i="61"/>
  <c r="F57" i="61"/>
  <c r="F56" i="61"/>
  <c r="F55" i="61"/>
  <c r="F54" i="61"/>
  <c r="F53" i="61"/>
  <c r="F52" i="61"/>
  <c r="F51" i="61"/>
  <c r="F50" i="61"/>
  <c r="F49" i="61"/>
  <c r="F48" i="61"/>
  <c r="F47" i="61"/>
  <c r="F46" i="61"/>
  <c r="F45" i="61"/>
  <c r="F44" i="61"/>
  <c r="F43" i="61"/>
  <c r="F42" i="61"/>
  <c r="F41" i="61"/>
  <c r="F40" i="61"/>
  <c r="F39" i="61"/>
  <c r="F38" i="61"/>
  <c r="E62" i="61"/>
  <c r="E61" i="61"/>
  <c r="E60" i="61"/>
  <c r="E59" i="61"/>
  <c r="E58" i="61"/>
  <c r="E57" i="61"/>
  <c r="E56" i="61"/>
  <c r="E55" i="61"/>
  <c r="E54" i="61"/>
  <c r="E53" i="61"/>
  <c r="E52" i="61"/>
  <c r="E51" i="61"/>
  <c r="E50" i="61"/>
  <c r="E49" i="61"/>
  <c r="E48" i="61"/>
  <c r="E47" i="61"/>
  <c r="E46" i="61"/>
  <c r="E45" i="61"/>
  <c r="E44" i="61"/>
  <c r="E43" i="61"/>
  <c r="E42" i="61"/>
  <c r="E41" i="61"/>
  <c r="E40" i="61"/>
  <c r="E39" i="61"/>
  <c r="E38" i="61"/>
  <c r="D62" i="61"/>
  <c r="D61" i="61"/>
  <c r="D60" i="61"/>
  <c r="D59" i="61"/>
  <c r="D58" i="61"/>
  <c r="D57" i="61"/>
  <c r="D56" i="61"/>
  <c r="D55" i="61"/>
  <c r="D54" i="61"/>
  <c r="D53" i="61"/>
  <c r="D52" i="61"/>
  <c r="D51" i="61"/>
  <c r="D50" i="61"/>
  <c r="D49" i="61"/>
  <c r="D48" i="61"/>
  <c r="D47" i="61"/>
  <c r="D46" i="61"/>
  <c r="D45" i="61"/>
  <c r="D44" i="61"/>
  <c r="D43" i="61"/>
  <c r="D42" i="61"/>
  <c r="D41" i="61"/>
  <c r="D40" i="61"/>
  <c r="D39" i="61"/>
  <c r="D38" i="61"/>
  <c r="C62" i="61"/>
  <c r="C61" i="61"/>
  <c r="C60" i="61"/>
  <c r="C59" i="61"/>
  <c r="C58" i="61"/>
  <c r="C57" i="61"/>
  <c r="C56" i="61"/>
  <c r="C55" i="61"/>
  <c r="C54" i="61"/>
  <c r="C53" i="61"/>
  <c r="C52" i="61"/>
  <c r="C51" i="61"/>
  <c r="C50" i="61"/>
  <c r="C49" i="61"/>
  <c r="C48" i="61"/>
  <c r="C47" i="61"/>
  <c r="C46" i="61"/>
  <c r="C45" i="61"/>
  <c r="C44" i="61"/>
  <c r="C43" i="61"/>
  <c r="C42" i="61"/>
  <c r="C41" i="61"/>
  <c r="C40" i="61"/>
  <c r="C39" i="61"/>
  <c r="C38" i="61"/>
  <c r="B62" i="61"/>
  <c r="B61" i="61"/>
  <c r="B60" i="61"/>
  <c r="B59" i="61"/>
  <c r="B58" i="61"/>
  <c r="B57" i="61"/>
  <c r="B56" i="61"/>
  <c r="B55" i="61"/>
  <c r="B54" i="61"/>
  <c r="B53" i="61"/>
  <c r="B52" i="61"/>
  <c r="B51" i="61"/>
  <c r="B50" i="61"/>
  <c r="B49" i="61"/>
  <c r="B48" i="61"/>
  <c r="B47" i="61"/>
  <c r="B46" i="61"/>
  <c r="B45" i="61"/>
  <c r="B44" i="61"/>
  <c r="B43" i="61"/>
  <c r="B42" i="61"/>
  <c r="B41" i="61"/>
  <c r="B40" i="61"/>
  <c r="B39" i="61"/>
  <c r="B38" i="61"/>
  <c r="G37" i="61"/>
  <c r="N29" i="60"/>
  <c r="N28" i="60"/>
  <c r="N27" i="60"/>
  <c r="N26" i="60"/>
  <c r="N25" i="60"/>
  <c r="N24" i="60"/>
  <c r="N23" i="60"/>
  <c r="N22" i="60"/>
  <c r="N21" i="60"/>
  <c r="N20" i="60"/>
  <c r="N19" i="60"/>
  <c r="N18" i="60"/>
  <c r="N17" i="60"/>
  <c r="N16" i="60"/>
  <c r="N15" i="60"/>
  <c r="N14" i="60"/>
  <c r="N13" i="60"/>
  <c r="N12" i="60"/>
  <c r="N11" i="60"/>
  <c r="N10" i="60"/>
  <c r="N9" i="60"/>
  <c r="N8" i="60"/>
  <c r="N7" i="60"/>
  <c r="N6" i="60"/>
  <c r="N5" i="60"/>
  <c r="M29" i="60"/>
  <c r="M28" i="60"/>
  <c r="M27" i="60"/>
  <c r="M26" i="60"/>
  <c r="M25" i="60"/>
  <c r="M24" i="60"/>
  <c r="M23" i="60"/>
  <c r="M22" i="60"/>
  <c r="M21" i="60"/>
  <c r="M20" i="60"/>
  <c r="M19" i="60"/>
  <c r="M18" i="60"/>
  <c r="M17" i="60"/>
  <c r="M16" i="60"/>
  <c r="M15" i="60"/>
  <c r="M14" i="60"/>
  <c r="M13" i="60"/>
  <c r="M12" i="60"/>
  <c r="M11" i="60"/>
  <c r="M10" i="60"/>
  <c r="M9" i="60"/>
  <c r="M8" i="60"/>
  <c r="M7" i="60"/>
  <c r="M6" i="60"/>
  <c r="M5" i="60"/>
  <c r="L29" i="60"/>
  <c r="L28" i="60"/>
  <c r="L27" i="60"/>
  <c r="L26" i="60"/>
  <c r="L25" i="60"/>
  <c r="L24" i="60"/>
  <c r="L23" i="60"/>
  <c r="L22" i="60"/>
  <c r="L21" i="60"/>
  <c r="L20" i="60"/>
  <c r="L19" i="60"/>
  <c r="L18" i="60"/>
  <c r="L17" i="60"/>
  <c r="L16" i="60"/>
  <c r="L15" i="60"/>
  <c r="L14" i="60"/>
  <c r="L13" i="60"/>
  <c r="L12" i="60"/>
  <c r="L11" i="60"/>
  <c r="L10" i="60"/>
  <c r="L9" i="60"/>
  <c r="L8" i="60"/>
  <c r="L7" i="60"/>
  <c r="L6" i="60"/>
  <c r="L5" i="60"/>
  <c r="K29" i="60"/>
  <c r="K28" i="60"/>
  <c r="K27" i="60"/>
  <c r="K26" i="60"/>
  <c r="K25" i="60"/>
  <c r="K24" i="60"/>
  <c r="K23" i="60"/>
  <c r="K22" i="60"/>
  <c r="K21" i="60"/>
  <c r="K20" i="60"/>
  <c r="K19" i="60"/>
  <c r="K18" i="60"/>
  <c r="K17" i="60"/>
  <c r="K16" i="60"/>
  <c r="K15" i="60"/>
  <c r="K14" i="60"/>
  <c r="K13" i="60"/>
  <c r="K12" i="60"/>
  <c r="K11" i="60"/>
  <c r="K10" i="60"/>
  <c r="K9" i="60"/>
  <c r="K8" i="60"/>
  <c r="K7" i="60"/>
  <c r="K6" i="60"/>
  <c r="K5" i="60"/>
  <c r="J29" i="60"/>
  <c r="J28" i="60"/>
  <c r="J27" i="60"/>
  <c r="J26" i="60"/>
  <c r="J25" i="60"/>
  <c r="J24" i="60"/>
  <c r="J23" i="60"/>
  <c r="J22" i="60"/>
  <c r="J21" i="60"/>
  <c r="J20" i="60"/>
  <c r="J19" i="60"/>
  <c r="J18" i="60"/>
  <c r="J17" i="60"/>
  <c r="J16" i="60"/>
  <c r="J15" i="60"/>
  <c r="J14" i="60"/>
  <c r="J13" i="60"/>
  <c r="J12" i="60"/>
  <c r="J11" i="60"/>
  <c r="J10" i="60"/>
  <c r="J9" i="60"/>
  <c r="J8" i="60"/>
  <c r="J7" i="60"/>
  <c r="J6" i="60"/>
  <c r="J5" i="60"/>
  <c r="O5" i="60"/>
  <c r="O6" i="60" s="1"/>
  <c r="O7" i="60" s="1"/>
  <c r="O8" i="60" s="1"/>
  <c r="O9" i="60" s="1"/>
  <c r="O10" i="60" s="1"/>
  <c r="O11" i="60" s="1"/>
  <c r="O12" i="60" s="1"/>
  <c r="O13" i="60" s="1"/>
  <c r="O14" i="60" s="1"/>
  <c r="O15" i="60" s="1"/>
  <c r="O16" i="60" s="1"/>
  <c r="O17" i="60" s="1"/>
  <c r="O18" i="60" s="1"/>
  <c r="O19" i="60" s="1"/>
  <c r="O20" i="60" s="1"/>
  <c r="O21" i="60" s="1"/>
  <c r="O22" i="60" s="1"/>
  <c r="O23" i="60" s="1"/>
  <c r="O24" i="60" s="1"/>
  <c r="O25" i="60" s="1"/>
  <c r="O26" i="60" s="1"/>
  <c r="O27" i="60" s="1"/>
  <c r="O28" i="60" s="1"/>
  <c r="O29" i="60" s="1"/>
  <c r="I62" i="61"/>
  <c r="I61" i="61"/>
  <c r="I60" i="61"/>
  <c r="I59" i="61"/>
  <c r="I58" i="61"/>
  <c r="I57" i="61"/>
  <c r="I56" i="61"/>
  <c r="I55" i="61"/>
  <c r="I54" i="61"/>
  <c r="I53" i="61"/>
  <c r="I52" i="61"/>
  <c r="I51" i="61"/>
  <c r="I50" i="61"/>
  <c r="I49" i="61"/>
  <c r="I48" i="61"/>
  <c r="I47" i="61"/>
  <c r="I46" i="61"/>
  <c r="I45" i="61"/>
  <c r="I44" i="61"/>
  <c r="I43" i="61"/>
  <c r="I42" i="61"/>
  <c r="I41" i="61"/>
  <c r="I40" i="61"/>
  <c r="I39" i="61"/>
  <c r="I38" i="61"/>
  <c r="H62" i="61"/>
  <c r="H61" i="61"/>
  <c r="H60" i="61"/>
  <c r="H59" i="61"/>
  <c r="H58" i="61"/>
  <c r="H57" i="61"/>
  <c r="H56" i="61"/>
  <c r="H55" i="61"/>
  <c r="H54" i="61"/>
  <c r="H53" i="61"/>
  <c r="H52" i="61"/>
  <c r="H51" i="61"/>
  <c r="H50" i="61"/>
  <c r="H49" i="61"/>
  <c r="H48" i="61"/>
  <c r="H47" i="61"/>
  <c r="H46" i="61"/>
  <c r="H45" i="61"/>
  <c r="H44" i="61"/>
  <c r="H43" i="61"/>
  <c r="H42" i="61"/>
  <c r="H41" i="61"/>
  <c r="H40" i="61"/>
  <c r="H39" i="61"/>
  <c r="H38" i="61"/>
  <c r="G108" i="59" l="1"/>
  <c r="M33" i="62" l="1"/>
  <c r="J33" i="62"/>
  <c r="G33" i="62"/>
  <c r="M35" i="62" l="1"/>
  <c r="J35" i="62"/>
  <c r="G50" i="59" l="1"/>
  <c r="I100" i="59"/>
  <c r="N42" i="59"/>
  <c r="N34" i="59"/>
  <c r="N10" i="59"/>
  <c r="N11" i="59" s="1"/>
  <c r="N26" i="59"/>
  <c r="N27" i="59" s="1"/>
  <c r="N18" i="59"/>
  <c r="I103" i="59"/>
  <c r="F89" i="59"/>
  <c r="I42" i="54"/>
  <c r="C42" i="54" s="1"/>
  <c r="N11" i="54"/>
  <c r="I19" i="54"/>
  <c r="I61" i="59" l="1"/>
  <c r="N10" i="54" l="1"/>
  <c r="N12" i="54" s="1"/>
  <c r="N14" i="54" s="1"/>
  <c r="E61" i="59" l="1"/>
  <c r="E73" i="59"/>
  <c r="E71" i="59"/>
  <c r="I73" i="59"/>
  <c r="I71" i="59" l="1"/>
  <c r="I67" i="59"/>
  <c r="E67" i="59"/>
  <c r="I65" i="59"/>
  <c r="E65" i="59"/>
  <c r="I63" i="59"/>
  <c r="E63" i="59"/>
  <c r="I40" i="54"/>
  <c r="I38" i="54"/>
  <c r="I36" i="54"/>
  <c r="I34" i="54"/>
  <c r="I32" i="54"/>
  <c r="I30" i="54"/>
  <c r="G5" i="60"/>
  <c r="G6" i="60" s="1"/>
  <c r="G7" i="60" s="1"/>
  <c r="G8" i="60" s="1"/>
  <c r="G9" i="60" s="1"/>
  <c r="G10" i="60" s="1"/>
  <c r="G11" i="60" s="1"/>
  <c r="G12" i="60" s="1"/>
  <c r="G13" i="60" s="1"/>
  <c r="G14" i="60" s="1"/>
  <c r="G15" i="60" s="1"/>
  <c r="G16" i="60" s="1"/>
  <c r="G17" i="60" s="1"/>
  <c r="G18" i="60" s="1"/>
  <c r="G19" i="60" s="1"/>
  <c r="G20" i="60" s="1"/>
  <c r="G21" i="60" s="1"/>
  <c r="G22" i="60" s="1"/>
  <c r="G23" i="60" s="1"/>
  <c r="G24" i="60" s="1"/>
  <c r="G25" i="60" s="1"/>
  <c r="G26" i="60" s="1"/>
  <c r="G27" i="60" s="1"/>
  <c r="G28" i="60" s="1"/>
  <c r="G29" i="60" s="1"/>
  <c r="F5" i="60"/>
  <c r="F6" i="60" s="1"/>
  <c r="F7" i="60" s="1"/>
  <c r="F8" i="60" s="1"/>
  <c r="F9" i="60" s="1"/>
  <c r="F10" i="60" s="1"/>
  <c r="F11" i="60" s="1"/>
  <c r="F12" i="60" s="1"/>
  <c r="F13" i="60" s="1"/>
  <c r="F14" i="60" s="1"/>
  <c r="F15" i="60" s="1"/>
  <c r="F16" i="60" s="1"/>
  <c r="F17" i="60" s="1"/>
  <c r="F18" i="60" s="1"/>
  <c r="F19" i="60" s="1"/>
  <c r="F20" i="60" s="1"/>
  <c r="F21" i="60" s="1"/>
  <c r="F22" i="60" s="1"/>
  <c r="F23" i="60" s="1"/>
  <c r="F24" i="60" s="1"/>
  <c r="F25" i="60" s="1"/>
  <c r="F26" i="60" s="1"/>
  <c r="F27" i="60" s="1"/>
  <c r="F28" i="60" s="1"/>
  <c r="F29" i="60" s="1"/>
  <c r="E5" i="60"/>
  <c r="E6" i="60" s="1"/>
  <c r="E7" i="60" s="1"/>
  <c r="E8" i="60" s="1"/>
  <c r="E9" i="60" s="1"/>
  <c r="E10" i="60" s="1"/>
  <c r="E11" i="60" s="1"/>
  <c r="E12" i="60" s="1"/>
  <c r="E13" i="60" s="1"/>
  <c r="E14" i="60" s="1"/>
  <c r="E15" i="60" s="1"/>
  <c r="E16" i="60" s="1"/>
  <c r="E17" i="60" s="1"/>
  <c r="E18" i="60" s="1"/>
  <c r="E19" i="60" s="1"/>
  <c r="E20" i="60" s="1"/>
  <c r="E21" i="60" s="1"/>
  <c r="E22" i="60" s="1"/>
  <c r="E23" i="60" s="1"/>
  <c r="E24" i="60" s="1"/>
  <c r="E25" i="60" s="1"/>
  <c r="E26" i="60" s="1"/>
  <c r="E27" i="60" s="1"/>
  <c r="E28" i="60" s="1"/>
  <c r="E29" i="60" s="1"/>
  <c r="D5" i="60"/>
  <c r="D6" i="60" s="1"/>
  <c r="D7" i="60" s="1"/>
  <c r="D8" i="60" s="1"/>
  <c r="D9" i="60" s="1"/>
  <c r="D10" i="60" s="1"/>
  <c r="D11" i="60" s="1"/>
  <c r="D12" i="60" s="1"/>
  <c r="D13" i="60" s="1"/>
  <c r="D14" i="60" s="1"/>
  <c r="D15" i="60" s="1"/>
  <c r="D16" i="60" s="1"/>
  <c r="D17" i="60" s="1"/>
  <c r="D18" i="60" s="1"/>
  <c r="D19" i="60" s="1"/>
  <c r="D20" i="60" s="1"/>
  <c r="D21" i="60" s="1"/>
  <c r="D22" i="60" s="1"/>
  <c r="D23" i="60" s="1"/>
  <c r="D24" i="60" s="1"/>
  <c r="D25" i="60" s="1"/>
  <c r="D26" i="60" s="1"/>
  <c r="D27" i="60" s="1"/>
  <c r="D28" i="60" s="1"/>
  <c r="D29" i="60" s="1"/>
  <c r="C5" i="60"/>
  <c r="C6" i="60" s="1"/>
  <c r="C7" i="60" s="1"/>
  <c r="C8" i="60" s="1"/>
  <c r="C9" i="60" s="1"/>
  <c r="C10" i="60" s="1"/>
  <c r="C11" i="60" s="1"/>
  <c r="C12" i="60" s="1"/>
  <c r="C13" i="60" s="1"/>
  <c r="C14" i="60" s="1"/>
  <c r="C15" i="60" s="1"/>
  <c r="C16" i="60" s="1"/>
  <c r="C17" i="60" s="1"/>
  <c r="C18" i="60" s="1"/>
  <c r="C19" i="60" s="1"/>
  <c r="C20" i="60" s="1"/>
  <c r="C21" i="60" s="1"/>
  <c r="C22" i="60" s="1"/>
  <c r="C23" i="60" s="1"/>
  <c r="C24" i="60" s="1"/>
  <c r="C25" i="60" s="1"/>
  <c r="C26" i="60" s="1"/>
  <c r="C27" i="60" s="1"/>
  <c r="C28" i="60" s="1"/>
  <c r="C29" i="60" s="1"/>
  <c r="B5" i="60"/>
  <c r="B6" i="60" s="1"/>
  <c r="B7" i="60" s="1"/>
  <c r="B8" i="60" s="1"/>
  <c r="B9" i="60" s="1"/>
  <c r="B10" i="60" s="1"/>
  <c r="B11" i="60" s="1"/>
  <c r="B12" i="60" s="1"/>
  <c r="B13" i="60" s="1"/>
  <c r="B14" i="60" s="1"/>
  <c r="B15" i="60" s="1"/>
  <c r="B16" i="60" s="1"/>
  <c r="B17" i="60" s="1"/>
  <c r="B18" i="60" s="1"/>
  <c r="B19" i="60" s="1"/>
  <c r="B20" i="60" s="1"/>
  <c r="B21" i="60" s="1"/>
  <c r="B22" i="60" s="1"/>
  <c r="B23" i="60" s="1"/>
  <c r="B24" i="60" s="1"/>
  <c r="B25" i="60" s="1"/>
  <c r="B26" i="60" s="1"/>
  <c r="B27" i="60" s="1"/>
  <c r="B28" i="60" s="1"/>
  <c r="B29" i="60" s="1"/>
  <c r="E69" i="59" l="1"/>
  <c r="I69" i="59"/>
  <c r="F42" i="54"/>
  <c r="G59" i="54" s="1"/>
  <c r="N43" i="59"/>
  <c r="N35" i="59"/>
  <c r="N19" i="59"/>
  <c r="N45" i="59" s="1"/>
  <c r="D50" i="59" l="1"/>
  <c r="J50" i="59" s="1"/>
  <c r="F100" i="59"/>
  <c r="M87" i="59"/>
  <c r="F94" i="59" s="1"/>
  <c r="M94" i="59" s="1"/>
  <c r="C100" i="59" s="1"/>
  <c r="M100" i="59" s="1"/>
  <c r="M42" i="54"/>
  <c r="F47" i="54" s="1"/>
  <c r="I54" i="54"/>
  <c r="C89" i="59" l="1"/>
  <c r="I89" i="59" l="1"/>
  <c r="F19" i="54"/>
  <c r="M19" i="54" l="1"/>
  <c r="I52" i="54" s="1"/>
  <c r="M47" i="54"/>
  <c r="F52" i="54" s="1"/>
  <c r="M52" i="54" l="1"/>
  <c r="F54" i="54" s="1"/>
  <c r="M54" i="54" s="1"/>
  <c r="D59" i="54" s="1"/>
  <c r="J59" i="54" s="1"/>
  <c r="F103" i="59"/>
  <c r="M103" i="59" s="1"/>
  <c r="D108" i="59" s="1"/>
  <c r="J108" i="59" s="1"/>
</calcChain>
</file>

<file path=xl/sharedStrings.xml><?xml version="1.0" encoding="utf-8"?>
<sst xmlns="http://schemas.openxmlformats.org/spreadsheetml/2006/main" count="455" uniqueCount="243">
  <si>
    <t>Box A</t>
  </si>
  <si>
    <t>Box B</t>
  </si>
  <si>
    <t>Box C</t>
  </si>
  <si>
    <t>Box D</t>
  </si>
  <si>
    <t>Box E</t>
  </si>
  <si>
    <t>Box F</t>
  </si>
  <si>
    <t>Box K</t>
  </si>
  <si>
    <t>Box L</t>
  </si>
  <si>
    <t>Box M</t>
  </si>
  <si>
    <t>Box N</t>
  </si>
  <si>
    <t>/</t>
  </si>
  <si>
    <t>=</t>
  </si>
  <si>
    <t>+</t>
  </si>
  <si>
    <t>Weighted Average Rate</t>
  </si>
  <si>
    <t xml:space="preserve">                                                 Enter all staff wages, taxes and workers' compensation from the cost report.</t>
  </si>
  <si>
    <t>Enter all Attendant Staff Wages from STAIRS Step 6c</t>
  </si>
  <si>
    <t>Total Taxes and Workers Compensation for Attendants</t>
  </si>
  <si>
    <t>Box O</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</si>
  <si>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</si>
  <si>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</si>
  <si>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X</t>
  </si>
  <si>
    <t>Potential Recoup per Unit</t>
  </si>
  <si>
    <t>-</t>
  </si>
  <si>
    <t>Calculate Estimated Recoupment Per Unit of Service</t>
  </si>
  <si>
    <t>Spending Requirement</t>
  </si>
  <si>
    <t>Calculate Spending Requirement</t>
  </si>
  <si>
    <t>Calculate Weighted Average Attendant Rate</t>
  </si>
  <si>
    <t>Cost Per Unit</t>
  </si>
  <si>
    <t>Total Attendant Costs</t>
  </si>
  <si>
    <t>Calculate Attendant Cost Per Unit</t>
  </si>
  <si>
    <r>
      <t xml:space="preserve">Step 6c, Total Mileage Reimbursement  </t>
    </r>
    <r>
      <rPr>
        <sz val="8"/>
        <rFont val="Arial"/>
        <family val="2"/>
      </rPr>
      <t>(Column L)</t>
    </r>
  </si>
  <si>
    <r>
      <t xml:space="preserve">Step 6c, Total Employee Benefits/Insurance </t>
    </r>
    <r>
      <rPr>
        <sz val="8"/>
        <rFont val="Arial"/>
        <family val="2"/>
      </rPr>
      <t>(Column J)</t>
    </r>
  </si>
  <si>
    <r>
      <t xml:space="preserve">Step 6c, Total Contracted Payments </t>
    </r>
    <r>
      <rPr>
        <sz val="8"/>
        <rFont val="Arial"/>
        <family val="2"/>
      </rPr>
      <t>(Columns E + I)</t>
    </r>
  </si>
  <si>
    <r>
      <t xml:space="preserve">Step 6c, Total Staff Wages </t>
    </r>
    <r>
      <rPr>
        <sz val="8"/>
        <rFont val="Arial"/>
        <family val="2"/>
      </rPr>
      <t>(Columns C + G)</t>
    </r>
  </si>
  <si>
    <t>Enter Total Units of Service</t>
  </si>
  <si>
    <t>Total Attendant Staff Wages</t>
  </si>
  <si>
    <t>Enter all Step 7 expenses for Attendants</t>
  </si>
  <si>
    <t xml:space="preserve">Step 7, Attendant FICA &amp; Medicare Payroll Taxes </t>
  </si>
  <si>
    <t>Step 7, Attendant State &amp; Federal Unemployment Taxes</t>
  </si>
  <si>
    <t>Step 7, Attendant Workers' Compensation Premiums</t>
  </si>
  <si>
    <t>Step 7, Attendant Workers' Compensation Paid Claims</t>
  </si>
  <si>
    <t>Enter Day Habilitation Attendant Expenses</t>
  </si>
  <si>
    <t>Total Units of Service</t>
  </si>
  <si>
    <t>Step 5b, HCS Respite Units of Service</t>
  </si>
  <si>
    <t>Step 5b, HCS SE Units of Service</t>
  </si>
  <si>
    <t>Step 5b, HCS EA Units of Service</t>
  </si>
  <si>
    <t>Enter Non-Day Habilitation Attendant Expenses</t>
  </si>
  <si>
    <t>HCS &amp; TxHmL SE Attendant Salaries and Wages, Benefits, and Mileage Reinbursement</t>
  </si>
  <si>
    <t>HCS &amp; TxHmL EA Attendant Salaries and Wages, Benefits, and Mileage Reinbursement</t>
  </si>
  <si>
    <t>Enhancement Level</t>
  </si>
  <si>
    <t>* The numbers presented above are limited to the Day Hab Attendant Compensation Rate Component of the total HCS &amp; TxHmL payment rates.  HCS total payment rates are available on the HHSC Rate Analysis website at https://rad.hhs.texas.gov/long-services-supports/contact-list. TxHmL total payment rates are available on the HHSC Rate Analysis website at https://rad.hhs.texas.gov/long-term-services-supports/contact-list.</t>
  </si>
  <si>
    <t>Program, Service and LON</t>
  </si>
  <si>
    <t>Non-Day Hab Attendant Compensation Payment Rate Component</t>
  </si>
  <si>
    <t>HCS RSS/SL LON5</t>
  </si>
  <si>
    <t xml:space="preserve">* The numbers presented above are limited to the Non-Day Hab Attendant Compensation Rate Component of the total HCS &amp; TxHmL payment rates.  HCS total payment rates are available on the HHSC Rate Analysis website at https://rad.hhs.texas.gov/long-term-services-supports/contact-list. TxHmL total payment rates are available on the HHSC Rate Analysis website at https://rad.hhs.texas.gov/long-term-services-supports/contact-list </t>
  </si>
  <si>
    <t>PERIOD 1</t>
  </si>
  <si>
    <t>Period 1 Rate</t>
  </si>
  <si>
    <t xml:space="preserve">HCS RSS/SL LON1 </t>
  </si>
  <si>
    <t>PERIOD 2</t>
  </si>
  <si>
    <t>PERIOD 3</t>
  </si>
  <si>
    <t>Period 2 Rate</t>
  </si>
  <si>
    <t>Period 3 Rate</t>
  </si>
  <si>
    <t>Units of Service</t>
  </si>
  <si>
    <t xml:space="preserve">HCS RSS/SL LON8 </t>
  </si>
  <si>
    <t xml:space="preserve">HCS RSS/SL LON6 </t>
  </si>
  <si>
    <t xml:space="preserve">HCS RSS/SL LON9 </t>
  </si>
  <si>
    <t xml:space="preserve">HCS Respite </t>
  </si>
  <si>
    <t xml:space="preserve">HCS SE </t>
  </si>
  <si>
    <t xml:space="preserve">HCS EA </t>
  </si>
  <si>
    <t xml:space="preserve">TxHmL Respite </t>
  </si>
  <si>
    <t xml:space="preserve">TxHmL SE </t>
  </si>
  <si>
    <t xml:space="preserve">TxHmL EA </t>
  </si>
  <si>
    <t>Enter Non Day Hab Participation levels</t>
  </si>
  <si>
    <t xml:space="preserve">Units of Service        </t>
  </si>
  <si>
    <t xml:space="preserve">Attendant Rate  </t>
  </si>
  <si>
    <t xml:space="preserve">Attendant Rate </t>
  </si>
  <si>
    <t xml:space="preserve">Attendant              Rate   </t>
  </si>
  <si>
    <t>Enter Day Hab Participation levels</t>
  </si>
  <si>
    <t>Medicaid Only Units</t>
  </si>
  <si>
    <r>
      <t xml:space="preserve">Contracted Day Hab - Non-related Party </t>
    </r>
    <r>
      <rPr>
        <sz val="8"/>
        <rFont val="Arial"/>
        <family val="2"/>
      </rPr>
      <t>(only 1/2 of the value entered on the Wages tab counts)</t>
    </r>
  </si>
  <si>
    <t>Step 5b, HCS SL LON 1 Units of Service</t>
  </si>
  <si>
    <t>Step 5b, HCS SL LON 5 Units of Service</t>
  </si>
  <si>
    <t>Step 5b, HCS SL LON 8 Units of Service</t>
  </si>
  <si>
    <t>Step 5b, HCS SL LON 6 Units of Service</t>
  </si>
  <si>
    <t>Step 5b, HCS SL LON 9 Units of Service</t>
  </si>
  <si>
    <t>Step 5b, HCS RSS LON 1 Units of Service</t>
  </si>
  <si>
    <t>Step 5b, HCS RSS LON 5 Units of Service</t>
  </si>
  <si>
    <t>Step 5b, HCS RSS LON 8 Units of Service</t>
  </si>
  <si>
    <t>Step 5b, HCS RSS LON 6 Units of Service</t>
  </si>
  <si>
    <t>Step 5b, HCS RSS LON 9 Units of Service</t>
  </si>
  <si>
    <t>Potential Recoup Per Unit</t>
  </si>
  <si>
    <t>Weighted Average Enhancement Add-on</t>
  </si>
  <si>
    <t>Total Revenue</t>
  </si>
  <si>
    <t xml:space="preserve">HCS &amp; TxHmL Day Habilitation Services
2019 Cost Report &amp; 2020 Accountability Report Optional Worksheet to
Estimate Potential Recoupment </t>
  </si>
  <si>
    <t>Step 5b, TxHmL SE Units of Service</t>
  </si>
  <si>
    <t>Step 5b, TxHmL EA Units of Service</t>
  </si>
  <si>
    <t>Step 5b, HCS Facility-Based DH LON 1 Units of Service</t>
  </si>
  <si>
    <t>Step 5b, HCS Facility-Based DH LON 5 Units of Service</t>
  </si>
  <si>
    <t>Step 5b, HCS Facility-Based DH LON 6 Units of Service</t>
  </si>
  <si>
    <t>Step 5b, TxHmL Faciltity-Based DH Units of Service</t>
  </si>
  <si>
    <t>Step 5b, HCS Facility-Based DH LON 9 Units of Service</t>
  </si>
  <si>
    <t>Step 5b, HCS Facility-Based DH LON 8 Units of Service</t>
  </si>
  <si>
    <t>HCS In-Home DH Attendant Salaries and Wages, Benefits, and Mileage Reinbursement</t>
  </si>
  <si>
    <t>Step 5b, TxHmL Respite Units of Service</t>
  </si>
  <si>
    <t>Enter from Step 8f (CR) or step 6a (AR)</t>
  </si>
  <si>
    <t xml:space="preserve">HCS &amp; TxHmL Non-Day Habilitation Services
2019 Cost Report &amp; 2020 Accountability Report Optional Worksheet to
Estimate Potential Recoupment </t>
  </si>
  <si>
    <t xml:space="preserve">HCS DH LON1 </t>
  </si>
  <si>
    <t xml:space="preserve">HCS DH LON5 </t>
  </si>
  <si>
    <t>HCS DH LON8</t>
  </si>
  <si>
    <t>HCS DH LON6</t>
  </si>
  <si>
    <t>HCS DH LON9</t>
  </si>
  <si>
    <t xml:space="preserve">TxHmL DH </t>
  </si>
  <si>
    <t>HCS &amp; TxHmL Respite Attendant Salaries and Wages, Benefits, and Mileage Reinbursement</t>
  </si>
  <si>
    <t>From Box K</t>
  </si>
  <si>
    <t>Period 1</t>
  </si>
  <si>
    <t>Period 2</t>
  </si>
  <si>
    <t>Period 3</t>
  </si>
  <si>
    <t>From Box N</t>
  </si>
  <si>
    <t>From Box L</t>
  </si>
  <si>
    <t xml:space="preserve">Total Attendant Costs   </t>
  </si>
  <si>
    <t xml:space="preserve">Total Attendant Costs    </t>
  </si>
  <si>
    <t>From Box I</t>
  </si>
  <si>
    <t>Box I</t>
  </si>
  <si>
    <t>Total Resident Days</t>
  </si>
  <si>
    <t xml:space="preserve">                           Calculate Estimated Recoupment Percentage based on Revenue </t>
  </si>
  <si>
    <t>Recoupment Percentage</t>
  </si>
  <si>
    <t xml:space="preserve">Total HCS SL/RSS Attendant Cost  </t>
  </si>
  <si>
    <t xml:space="preserve">Total HCS &amp; TxHmL Respite Attendant Cost  </t>
  </si>
  <si>
    <t xml:space="preserve">Total HCS &amp; TxHmL SE Attendant Cost  </t>
  </si>
  <si>
    <t xml:space="preserve">Total HCS &amp; TxHmL EA Attendant Cost  </t>
  </si>
  <si>
    <t xml:space="preserve">Total HCS SHL/CSS/CFC &amp; TxHmL CSS/CFC Attendant Cost  </t>
  </si>
  <si>
    <t xml:space="preserve">Total HCS Facility-based DH Attendant Costs   </t>
  </si>
  <si>
    <t>Step 6c, Supported Home Living (HCS)  and Community Support Services (TxHmL) and Supported Home Living (HCS) Community Support Services (TxHmL) and Community First Choice (CFC)  Attendant Wages (Columns C + G)</t>
  </si>
  <si>
    <t>Step 6c, Day Habilitation (HCS &amp; TxHmL) Attendant Wages (Columns C + G)</t>
  </si>
  <si>
    <t>Step 6c, (SL/RSS) Supervised Living (3-Bed) &amp; Residential Support Services (4-Bed) (HCS ONLY) - Attendant Wages (Columns C + G)</t>
  </si>
  <si>
    <t xml:space="preserve">Home Community Base Services (HCS) &amp; Texas Home Living (TxHmL) &amp; Community First Choice (CFC)                                                                                                                              Non-Day Services Attendant Compensation Payment Rate Component* </t>
  </si>
  <si>
    <r>
      <t xml:space="preserve">TxHmL Effective 8/1/2017 - Current  </t>
    </r>
    <r>
      <rPr>
        <b/>
        <sz val="10"/>
        <rFont val="Arial"/>
        <family val="2"/>
      </rPr>
      <t>Rate</t>
    </r>
  </si>
  <si>
    <r>
      <t xml:space="preserve">CFC-TxHmL CSS  Effective 9/1/2019 - Current </t>
    </r>
    <r>
      <rPr>
        <b/>
        <sz val="10"/>
        <rFont val="Arial"/>
        <family val="2"/>
      </rPr>
      <t>Rate</t>
    </r>
  </si>
  <si>
    <r>
      <t xml:space="preserve">CFC-HCS SHL Effective 9/1/2019 - Current </t>
    </r>
    <r>
      <rPr>
        <b/>
        <sz val="10"/>
        <rFont val="Arial"/>
        <family val="2"/>
      </rPr>
      <t>Rate</t>
    </r>
  </si>
  <si>
    <r>
      <t xml:space="preserve">HCS </t>
    </r>
    <r>
      <rPr>
        <u/>
        <sz val="10"/>
        <rFont val="Arial"/>
        <family val="2"/>
      </rPr>
      <t>LON1</t>
    </r>
    <r>
      <rPr>
        <sz val="10"/>
        <rFont val="Arial"/>
        <family val="2"/>
      </rPr>
      <t xml:space="preserve"> Effective 8/1/2017 - 8/31/2019 </t>
    </r>
    <r>
      <rPr>
        <b/>
        <sz val="10"/>
        <rFont val="Arial"/>
        <family val="2"/>
      </rPr>
      <t>Rate</t>
    </r>
  </si>
  <si>
    <r>
      <t xml:space="preserve">HCS </t>
    </r>
    <r>
      <rPr>
        <u/>
        <sz val="10"/>
        <rFont val="Arial"/>
        <family val="2"/>
      </rPr>
      <t>LON5</t>
    </r>
    <r>
      <rPr>
        <sz val="10"/>
        <rFont val="Arial"/>
        <family val="2"/>
      </rPr>
      <t xml:space="preserve"> Effective 8/1/2017 - 8/31/2019 </t>
    </r>
    <r>
      <rPr>
        <b/>
        <sz val="10"/>
        <rFont val="Arial"/>
        <family val="2"/>
      </rPr>
      <t>Rate</t>
    </r>
  </si>
  <si>
    <r>
      <t xml:space="preserve">HCS </t>
    </r>
    <r>
      <rPr>
        <u/>
        <sz val="10"/>
        <rFont val="Arial"/>
        <family val="2"/>
      </rPr>
      <t>LON8</t>
    </r>
    <r>
      <rPr>
        <sz val="10"/>
        <rFont val="Arial"/>
        <family val="2"/>
      </rPr>
      <t xml:space="preserve"> Effective 8/1/2017 - 8/31/2019 </t>
    </r>
    <r>
      <rPr>
        <b/>
        <sz val="10"/>
        <rFont val="Arial"/>
        <family val="2"/>
      </rPr>
      <t>Rate</t>
    </r>
  </si>
  <si>
    <r>
      <t xml:space="preserve">HCS </t>
    </r>
    <r>
      <rPr>
        <u/>
        <sz val="10"/>
        <rFont val="Arial"/>
        <family val="2"/>
      </rPr>
      <t>LON6</t>
    </r>
    <r>
      <rPr>
        <sz val="10"/>
        <rFont val="Arial"/>
        <family val="2"/>
      </rPr>
      <t xml:space="preserve"> Effective 8/1/2017 - 8/31/2019 </t>
    </r>
    <r>
      <rPr>
        <b/>
        <sz val="10"/>
        <rFont val="Arial"/>
        <family val="2"/>
      </rPr>
      <t>Rate</t>
    </r>
  </si>
  <si>
    <r>
      <t xml:space="preserve">HCS </t>
    </r>
    <r>
      <rPr>
        <u/>
        <sz val="10"/>
        <rFont val="Arial"/>
        <family val="2"/>
      </rPr>
      <t xml:space="preserve">LON9 </t>
    </r>
    <r>
      <rPr>
        <sz val="10"/>
        <rFont val="Arial"/>
        <family val="2"/>
      </rPr>
      <t xml:space="preserve">Effective 8/1/2017 - 8/31/2019 </t>
    </r>
    <r>
      <rPr>
        <b/>
        <sz val="10"/>
        <rFont val="Arial"/>
        <family val="2"/>
      </rPr>
      <t>Rate</t>
    </r>
  </si>
  <si>
    <r>
      <t xml:space="preserve">HCS </t>
    </r>
    <r>
      <rPr>
        <u/>
        <sz val="10"/>
        <rFont val="Arial"/>
        <family val="2"/>
      </rPr>
      <t>Respite</t>
    </r>
    <r>
      <rPr>
        <sz val="10"/>
        <rFont val="Arial"/>
        <family val="2"/>
      </rPr>
      <t xml:space="preserve"> Effective 9/1/2019 - Current </t>
    </r>
    <r>
      <rPr>
        <b/>
        <sz val="10"/>
        <rFont val="Arial"/>
        <family val="2"/>
      </rPr>
      <t>Rate</t>
    </r>
  </si>
  <si>
    <r>
      <t xml:space="preserve">HCS RSS/SL </t>
    </r>
    <r>
      <rPr>
        <u/>
        <sz val="10"/>
        <rFont val="Arial"/>
        <family val="2"/>
      </rPr>
      <t xml:space="preserve">LON9 </t>
    </r>
    <r>
      <rPr>
        <sz val="10"/>
        <rFont val="Arial"/>
        <family val="2"/>
      </rPr>
      <t xml:space="preserve">Effective 9/1/2019 - Current </t>
    </r>
    <r>
      <rPr>
        <b/>
        <sz val="10"/>
        <rFont val="Arial"/>
        <family val="2"/>
      </rPr>
      <t>Rate</t>
    </r>
  </si>
  <si>
    <r>
      <t xml:space="preserve">HCS RSS/SL </t>
    </r>
    <r>
      <rPr>
        <u/>
        <sz val="10"/>
        <rFont val="Arial"/>
        <family val="2"/>
      </rPr>
      <t xml:space="preserve">LON6 </t>
    </r>
    <r>
      <rPr>
        <sz val="10"/>
        <rFont val="Arial"/>
        <family val="2"/>
      </rPr>
      <t xml:space="preserve">Effective 9/1/2019 - Current </t>
    </r>
    <r>
      <rPr>
        <b/>
        <sz val="10"/>
        <rFont val="Arial"/>
        <family val="2"/>
      </rPr>
      <t>Rate</t>
    </r>
  </si>
  <si>
    <r>
      <t xml:space="preserve">HCS RSS/SL </t>
    </r>
    <r>
      <rPr>
        <u/>
        <sz val="10"/>
        <rFont val="Arial"/>
        <family val="2"/>
      </rPr>
      <t xml:space="preserve">LON8 </t>
    </r>
    <r>
      <rPr>
        <sz val="10"/>
        <rFont val="Arial"/>
        <family val="2"/>
      </rPr>
      <t xml:space="preserve">Effective 9/1/2019 - Current </t>
    </r>
    <r>
      <rPr>
        <b/>
        <sz val="10"/>
        <rFont val="Arial"/>
        <family val="2"/>
      </rPr>
      <t>Rate</t>
    </r>
  </si>
  <si>
    <r>
      <t xml:space="preserve">HCS RSS/SL </t>
    </r>
    <r>
      <rPr>
        <u/>
        <sz val="10"/>
        <rFont val="Arial"/>
        <family val="2"/>
      </rPr>
      <t xml:space="preserve">LON5 </t>
    </r>
    <r>
      <rPr>
        <sz val="10"/>
        <rFont val="Arial"/>
        <family val="2"/>
      </rPr>
      <t xml:space="preserve">Effective 9/1/2019 - Current </t>
    </r>
    <r>
      <rPr>
        <b/>
        <sz val="10"/>
        <rFont val="Arial"/>
        <family val="2"/>
      </rPr>
      <t>Rate</t>
    </r>
  </si>
  <si>
    <r>
      <t xml:space="preserve">HCS RSS/SL </t>
    </r>
    <r>
      <rPr>
        <u/>
        <sz val="10"/>
        <rFont val="Arial"/>
        <family val="2"/>
      </rPr>
      <t>LON1</t>
    </r>
    <r>
      <rPr>
        <sz val="10"/>
        <rFont val="Arial"/>
        <family val="2"/>
      </rPr>
      <t xml:space="preserve"> Effective 9/1/2019 - Current </t>
    </r>
    <r>
      <rPr>
        <b/>
        <sz val="10"/>
        <rFont val="Arial"/>
        <family val="2"/>
      </rPr>
      <t>Rate</t>
    </r>
  </si>
  <si>
    <r>
      <t xml:space="preserve">HCS </t>
    </r>
    <r>
      <rPr>
        <u/>
        <sz val="10"/>
        <rFont val="Arial"/>
        <family val="2"/>
      </rPr>
      <t>EA</t>
    </r>
    <r>
      <rPr>
        <sz val="10"/>
        <rFont val="Arial"/>
        <family val="2"/>
      </rPr>
      <t xml:space="preserve"> Effective 9/1/2019 - Current </t>
    </r>
    <r>
      <rPr>
        <b/>
        <sz val="10"/>
        <rFont val="Arial"/>
        <family val="2"/>
      </rPr>
      <t>Rate</t>
    </r>
  </si>
  <si>
    <r>
      <t xml:space="preserve">HCS </t>
    </r>
    <r>
      <rPr>
        <u/>
        <sz val="10"/>
        <rFont val="Arial"/>
        <family val="2"/>
      </rPr>
      <t>SE</t>
    </r>
    <r>
      <rPr>
        <sz val="10"/>
        <rFont val="Arial"/>
        <family val="2"/>
      </rPr>
      <t xml:space="preserve"> Effective 9/1/2019 - Current </t>
    </r>
    <r>
      <rPr>
        <b/>
        <sz val="10"/>
        <rFont val="Arial"/>
        <family val="2"/>
      </rPr>
      <t>Rate</t>
    </r>
  </si>
  <si>
    <r>
      <t xml:space="preserve">HCS </t>
    </r>
    <r>
      <rPr>
        <u/>
        <sz val="10"/>
        <rFont val="Arial"/>
        <family val="2"/>
      </rPr>
      <t>SHL/SHL-T</t>
    </r>
    <r>
      <rPr>
        <sz val="10"/>
        <rFont val="Arial"/>
        <family val="2"/>
      </rPr>
      <t xml:space="preserve"> Effective 9/1/2019 - Current </t>
    </r>
    <r>
      <rPr>
        <b/>
        <sz val="10"/>
        <rFont val="Arial"/>
        <family val="2"/>
      </rPr>
      <t>Rate</t>
    </r>
  </si>
  <si>
    <r>
      <t xml:space="preserve">TxHmL </t>
    </r>
    <r>
      <rPr>
        <u/>
        <sz val="10"/>
        <rFont val="Arial"/>
        <family val="2"/>
      </rPr>
      <t>EA</t>
    </r>
    <r>
      <rPr>
        <b/>
        <sz val="10"/>
        <rFont val="Arial"/>
        <family val="2"/>
      </rPr>
      <t xml:space="preserve"> </t>
    </r>
    <r>
      <rPr>
        <sz val="10"/>
        <rFont val="Arial"/>
        <family val="2"/>
      </rPr>
      <t xml:space="preserve">Effective 8/1/2017 - Current </t>
    </r>
    <r>
      <rPr>
        <b/>
        <sz val="10"/>
        <rFont val="Arial"/>
        <family val="2"/>
      </rPr>
      <t>Rate</t>
    </r>
  </si>
  <si>
    <r>
      <t xml:space="preserve">TxHmL </t>
    </r>
    <r>
      <rPr>
        <u/>
        <sz val="10"/>
        <rFont val="Arial"/>
        <family val="2"/>
      </rPr>
      <t>SE</t>
    </r>
    <r>
      <rPr>
        <b/>
        <sz val="10"/>
        <rFont val="Arial"/>
        <family val="2"/>
      </rPr>
      <t xml:space="preserve"> </t>
    </r>
    <r>
      <rPr>
        <sz val="10"/>
        <rFont val="Arial"/>
        <family val="2"/>
      </rPr>
      <t>Effective 8/1/2017 - Curren</t>
    </r>
    <r>
      <rPr>
        <b/>
        <sz val="10"/>
        <rFont val="Arial"/>
        <family val="2"/>
      </rPr>
      <t>t Rate</t>
    </r>
  </si>
  <si>
    <r>
      <t xml:space="preserve">TxHmL </t>
    </r>
    <r>
      <rPr>
        <u/>
        <sz val="10"/>
        <rFont val="Arial"/>
        <family val="2"/>
      </rPr>
      <t>Respite</t>
    </r>
    <r>
      <rPr>
        <sz val="10"/>
        <rFont val="Arial"/>
        <family val="2"/>
      </rPr>
      <t xml:space="preserve"> Effective 8/1/2017 - Current </t>
    </r>
    <r>
      <rPr>
        <b/>
        <sz val="10"/>
        <rFont val="Arial"/>
        <family val="2"/>
      </rPr>
      <t>Rate</t>
    </r>
  </si>
  <si>
    <r>
      <t xml:space="preserve">HCS RSS/SL </t>
    </r>
    <r>
      <rPr>
        <u/>
        <sz val="10"/>
        <rFont val="Arial"/>
        <family val="2"/>
      </rPr>
      <t>LON1</t>
    </r>
    <r>
      <rPr>
        <sz val="10"/>
        <rFont val="Arial"/>
        <family val="2"/>
      </rPr>
      <t xml:space="preserve"> Effective 9/1/2017 - 8/31/2019 </t>
    </r>
    <r>
      <rPr>
        <b/>
        <sz val="10"/>
        <rFont val="Arial"/>
        <family val="2"/>
      </rPr>
      <t>Rate</t>
    </r>
  </si>
  <si>
    <r>
      <t xml:space="preserve">HCS RSS/SL </t>
    </r>
    <r>
      <rPr>
        <u/>
        <sz val="10"/>
        <rFont val="Arial"/>
        <family val="2"/>
      </rPr>
      <t xml:space="preserve">LON5 </t>
    </r>
    <r>
      <rPr>
        <sz val="10"/>
        <rFont val="Arial"/>
        <family val="2"/>
      </rPr>
      <t xml:space="preserve">Effective 9/1/2017 - 8/31/2019 </t>
    </r>
    <r>
      <rPr>
        <b/>
        <sz val="10"/>
        <rFont val="Arial"/>
        <family val="2"/>
      </rPr>
      <t>Rate</t>
    </r>
  </si>
  <si>
    <r>
      <t xml:space="preserve">HCS RSS/SL </t>
    </r>
    <r>
      <rPr>
        <u/>
        <sz val="10"/>
        <rFont val="Arial"/>
        <family val="2"/>
      </rPr>
      <t xml:space="preserve">LON8 </t>
    </r>
    <r>
      <rPr>
        <sz val="10"/>
        <rFont val="Arial"/>
        <family val="2"/>
      </rPr>
      <t xml:space="preserve">Effective 9/1/2017 - 8/31/2019 </t>
    </r>
    <r>
      <rPr>
        <b/>
        <sz val="10"/>
        <rFont val="Arial"/>
        <family val="2"/>
      </rPr>
      <t>Rate</t>
    </r>
  </si>
  <si>
    <r>
      <t xml:space="preserve">HCS RSS/SL </t>
    </r>
    <r>
      <rPr>
        <u/>
        <sz val="10"/>
        <rFont val="Arial"/>
        <family val="2"/>
      </rPr>
      <t xml:space="preserve">LON6 </t>
    </r>
    <r>
      <rPr>
        <sz val="10"/>
        <rFont val="Arial"/>
        <family val="2"/>
      </rPr>
      <t xml:space="preserve">Effective 9/1/2017 - 8/31/2019 </t>
    </r>
    <r>
      <rPr>
        <b/>
        <sz val="10"/>
        <rFont val="Arial"/>
        <family val="2"/>
      </rPr>
      <t>Rate</t>
    </r>
  </si>
  <si>
    <r>
      <t xml:space="preserve">HCS RSS/SL </t>
    </r>
    <r>
      <rPr>
        <u/>
        <sz val="10"/>
        <rFont val="Arial"/>
        <family val="2"/>
      </rPr>
      <t xml:space="preserve">LON9 </t>
    </r>
    <r>
      <rPr>
        <sz val="10"/>
        <rFont val="Arial"/>
        <family val="2"/>
      </rPr>
      <t xml:space="preserve">Effective 9/1/2017 - 8/31/2019 </t>
    </r>
    <r>
      <rPr>
        <b/>
        <sz val="10"/>
        <rFont val="Arial"/>
        <family val="2"/>
      </rPr>
      <t>Rate</t>
    </r>
  </si>
  <si>
    <r>
      <t xml:space="preserve">HCS </t>
    </r>
    <r>
      <rPr>
        <u/>
        <sz val="10"/>
        <rFont val="Arial"/>
        <family val="2"/>
      </rPr>
      <t>Respite</t>
    </r>
    <r>
      <rPr>
        <sz val="10"/>
        <rFont val="Arial"/>
        <family val="2"/>
      </rPr>
      <t xml:space="preserve"> Effective 9/1/2017 - 8/31/2019 </t>
    </r>
    <r>
      <rPr>
        <b/>
        <sz val="10"/>
        <rFont val="Arial"/>
        <family val="2"/>
      </rPr>
      <t>Rate</t>
    </r>
  </si>
  <si>
    <r>
      <t xml:space="preserve">HCS </t>
    </r>
    <r>
      <rPr>
        <u/>
        <sz val="10"/>
        <rFont val="Arial"/>
        <family val="2"/>
      </rPr>
      <t>SE</t>
    </r>
    <r>
      <rPr>
        <sz val="10"/>
        <rFont val="Arial"/>
        <family val="2"/>
      </rPr>
      <t xml:space="preserve"> Effective 9/1/2019 - 8/31/2019 </t>
    </r>
    <r>
      <rPr>
        <b/>
        <sz val="10"/>
        <rFont val="Arial"/>
        <family val="2"/>
      </rPr>
      <t>Rate</t>
    </r>
  </si>
  <si>
    <r>
      <t xml:space="preserve">HCS </t>
    </r>
    <r>
      <rPr>
        <u/>
        <sz val="10"/>
        <rFont val="Arial"/>
        <family val="2"/>
      </rPr>
      <t>EA</t>
    </r>
    <r>
      <rPr>
        <sz val="10"/>
        <rFont val="Arial"/>
        <family val="2"/>
      </rPr>
      <t xml:space="preserve"> Effective 9/1/2019 - 8/31/2019 </t>
    </r>
    <r>
      <rPr>
        <b/>
        <sz val="10"/>
        <rFont val="Arial"/>
        <family val="2"/>
      </rPr>
      <t>Rate</t>
    </r>
  </si>
  <si>
    <r>
      <t xml:space="preserve">HCS </t>
    </r>
    <r>
      <rPr>
        <u/>
        <sz val="10"/>
        <rFont val="Arial"/>
        <family val="2"/>
      </rPr>
      <t>SHL/SHL-T</t>
    </r>
    <r>
      <rPr>
        <sz val="10"/>
        <rFont val="Arial"/>
        <family val="2"/>
      </rPr>
      <t xml:space="preserve"> Effective 9/1/2017 - 8/31/2019 </t>
    </r>
    <r>
      <rPr>
        <b/>
        <sz val="10"/>
        <rFont val="Arial"/>
        <family val="2"/>
      </rPr>
      <t>Rate</t>
    </r>
  </si>
  <si>
    <r>
      <t xml:space="preserve">HCS </t>
    </r>
    <r>
      <rPr>
        <u/>
        <sz val="10"/>
        <rFont val="Arial"/>
        <family val="2"/>
      </rPr>
      <t>LON5</t>
    </r>
    <r>
      <rPr>
        <sz val="10"/>
        <rFont val="Arial"/>
        <family val="2"/>
      </rPr>
      <t xml:space="preserve"> Effective 9/1/2019 - Current </t>
    </r>
    <r>
      <rPr>
        <b/>
        <sz val="10"/>
        <rFont val="Arial"/>
        <family val="2"/>
      </rPr>
      <t>Rate</t>
    </r>
  </si>
  <si>
    <r>
      <t xml:space="preserve">HCS </t>
    </r>
    <r>
      <rPr>
        <u/>
        <sz val="10"/>
        <rFont val="Arial"/>
        <family val="2"/>
      </rPr>
      <t>LON1</t>
    </r>
    <r>
      <rPr>
        <sz val="10"/>
        <rFont val="Arial"/>
        <family val="2"/>
      </rPr>
      <t xml:space="preserve"> Effective 9/1/2019 - Current </t>
    </r>
    <r>
      <rPr>
        <b/>
        <sz val="10"/>
        <rFont val="Arial"/>
        <family val="2"/>
      </rPr>
      <t>Rate</t>
    </r>
  </si>
  <si>
    <r>
      <t xml:space="preserve">HCS </t>
    </r>
    <r>
      <rPr>
        <u/>
        <sz val="10"/>
        <rFont val="Arial"/>
        <family val="2"/>
      </rPr>
      <t>LON8</t>
    </r>
    <r>
      <rPr>
        <sz val="10"/>
        <rFont val="Arial"/>
        <family val="2"/>
      </rPr>
      <t xml:space="preserve"> Effective 9/1/2019 - Current </t>
    </r>
    <r>
      <rPr>
        <b/>
        <sz val="10"/>
        <rFont val="Arial"/>
        <family val="2"/>
      </rPr>
      <t>Rate</t>
    </r>
  </si>
  <si>
    <r>
      <t xml:space="preserve">HCS </t>
    </r>
    <r>
      <rPr>
        <u/>
        <sz val="10"/>
        <rFont val="Arial"/>
        <family val="2"/>
      </rPr>
      <t>LON6</t>
    </r>
    <r>
      <rPr>
        <sz val="10"/>
        <rFont val="Arial"/>
        <family val="2"/>
      </rPr>
      <t xml:space="preserve"> Effective 9/1/2019 - Current </t>
    </r>
    <r>
      <rPr>
        <b/>
        <sz val="10"/>
        <rFont val="Arial"/>
        <family val="2"/>
      </rPr>
      <t>Rate</t>
    </r>
  </si>
  <si>
    <r>
      <t xml:space="preserve">HCS </t>
    </r>
    <r>
      <rPr>
        <u/>
        <sz val="10"/>
        <rFont val="Arial"/>
        <family val="2"/>
      </rPr>
      <t xml:space="preserve">LON9 </t>
    </r>
    <r>
      <rPr>
        <sz val="10"/>
        <rFont val="Arial"/>
        <family val="2"/>
      </rPr>
      <t xml:space="preserve">Effective 9/1/2019 - Current </t>
    </r>
    <r>
      <rPr>
        <b/>
        <sz val="10"/>
        <rFont val="Arial"/>
        <family val="2"/>
      </rPr>
      <t>Rate</t>
    </r>
  </si>
  <si>
    <t>Home and Community - Based Services (HCS) &amp; Texas Home Living (TxHmL) Waiver Programs                                                                        Day Habilitation (Day Hab) Services -  Payment Rates Attendant Component</t>
  </si>
  <si>
    <r>
      <t xml:space="preserve">TxHmL </t>
    </r>
    <r>
      <rPr>
        <u/>
        <sz val="10"/>
        <rFont val="Arial"/>
        <family val="2"/>
      </rPr>
      <t>SHL/SHL-T</t>
    </r>
    <r>
      <rPr>
        <sz val="10"/>
        <rFont val="Arial"/>
        <family val="2"/>
      </rPr>
      <t xml:space="preserve"> Effective 8/1/2017 - Current </t>
    </r>
    <r>
      <rPr>
        <b/>
        <sz val="10"/>
        <rFont val="Arial"/>
        <family val="2"/>
      </rPr>
      <t>Rate</t>
    </r>
  </si>
  <si>
    <r>
      <t xml:space="preserve">TxHmL </t>
    </r>
    <r>
      <rPr>
        <u/>
        <sz val="10"/>
        <rFont val="Arial"/>
        <family val="2"/>
      </rPr>
      <t xml:space="preserve">Respite </t>
    </r>
    <r>
      <rPr>
        <sz val="10"/>
        <rFont val="Arial"/>
        <family val="2"/>
      </rPr>
      <t xml:space="preserve">Effective 8/1/2017 - Current </t>
    </r>
    <r>
      <rPr>
        <b/>
        <sz val="10"/>
        <rFont val="Arial"/>
        <family val="2"/>
      </rPr>
      <t>Rate</t>
    </r>
  </si>
  <si>
    <r>
      <t xml:space="preserve">TxHmL </t>
    </r>
    <r>
      <rPr>
        <u/>
        <sz val="10"/>
        <rFont val="Arial"/>
        <family val="2"/>
      </rPr>
      <t>SE</t>
    </r>
    <r>
      <rPr>
        <sz val="10"/>
        <rFont val="Arial"/>
        <family val="2"/>
      </rPr>
      <t xml:space="preserve"> Effective 8/1/2017 - Current </t>
    </r>
    <r>
      <rPr>
        <b/>
        <sz val="10"/>
        <rFont val="Arial"/>
        <family val="2"/>
      </rPr>
      <t>Rate</t>
    </r>
  </si>
  <si>
    <r>
      <t xml:space="preserve">TxHmL </t>
    </r>
    <r>
      <rPr>
        <u/>
        <sz val="10"/>
        <rFont val="Arial"/>
        <family val="2"/>
      </rPr>
      <t>EA</t>
    </r>
    <r>
      <rPr>
        <sz val="10"/>
        <rFont val="Arial"/>
        <family val="2"/>
      </rPr>
      <t xml:space="preserve"> Effective 8/1/2017 - Current </t>
    </r>
    <r>
      <rPr>
        <b/>
        <sz val="10"/>
        <rFont val="Arial"/>
        <family val="2"/>
      </rPr>
      <t>Rate</t>
    </r>
  </si>
  <si>
    <r>
      <t xml:space="preserve">CFC-HCS </t>
    </r>
    <r>
      <rPr>
        <u/>
        <sz val="10"/>
        <rFont val="Arial"/>
        <family val="2"/>
      </rPr>
      <t>SHL</t>
    </r>
    <r>
      <rPr>
        <sz val="10"/>
        <rFont val="Arial"/>
        <family val="2"/>
      </rPr>
      <t xml:space="preserve"> Effective 8/1/2017 -8/31/2019</t>
    </r>
    <r>
      <rPr>
        <b/>
        <sz val="10"/>
        <rFont val="Arial"/>
        <family val="2"/>
      </rPr>
      <t>Rate</t>
    </r>
  </si>
  <si>
    <r>
      <t xml:space="preserve">CFC-TxHmL </t>
    </r>
    <r>
      <rPr>
        <u/>
        <sz val="10"/>
        <rFont val="Arial"/>
        <family val="2"/>
      </rPr>
      <t>CSS</t>
    </r>
    <r>
      <rPr>
        <sz val="10"/>
        <rFont val="Arial"/>
        <family val="2"/>
      </rPr>
      <t xml:space="preserve"> Effective 8/1/2017 - 8/31/2019 </t>
    </r>
    <r>
      <rPr>
        <b/>
        <sz val="10"/>
        <rFont val="Arial"/>
        <family val="2"/>
      </rPr>
      <t>Rate</t>
    </r>
  </si>
  <si>
    <t>Rate Period 1</t>
  </si>
  <si>
    <t>Rate Period 2</t>
  </si>
  <si>
    <t>Rate Period 3</t>
  </si>
  <si>
    <t>HCS, TxHmL, CFC SHL/CSS &amp; TxHmL CSS/CFC Attendant Salaries and Wages, Benefits, and Mileage Reinbursement</t>
  </si>
  <si>
    <t>HCS Only SL/RSS Attendant Salaries and Wages, Benefits, and Mileage Reinbursement</t>
  </si>
  <si>
    <t xml:space="preserve">TxHmL/CFC CSS </t>
  </si>
  <si>
    <t>Box H</t>
  </si>
  <si>
    <t>Total Units from Boxes G</t>
  </si>
  <si>
    <t xml:space="preserve">Medicaid Units of Service </t>
  </si>
  <si>
    <t>Box G</t>
  </si>
  <si>
    <t>Box J</t>
  </si>
  <si>
    <t>Medicaid Units From Box H</t>
  </si>
  <si>
    <t>Box K (Total Medicaid Revenue)</t>
  </si>
  <si>
    <t>From Box M</t>
  </si>
  <si>
    <t>From Box J</t>
  </si>
  <si>
    <t>Total Recoupment From Box O</t>
  </si>
  <si>
    <t>Revenue From Box K</t>
  </si>
  <si>
    <t>Step 5b, SHL Non-Medicaid Units of Service</t>
  </si>
  <si>
    <r>
      <t xml:space="preserve">Step 5b, </t>
    </r>
    <r>
      <rPr>
        <u/>
        <sz val="11"/>
        <rFont val="Arial"/>
        <family val="2"/>
      </rPr>
      <t>Respite Non-Medicaid Units of Service</t>
    </r>
  </si>
  <si>
    <r>
      <t xml:space="preserve">Step 5b, </t>
    </r>
    <r>
      <rPr>
        <u/>
        <sz val="11"/>
        <rFont val="Arial"/>
        <family val="2"/>
      </rPr>
      <t>SE Non-Medicaid Units of Service</t>
    </r>
  </si>
  <si>
    <r>
      <t xml:space="preserve">Step 5b, </t>
    </r>
    <r>
      <rPr>
        <u/>
        <sz val="11"/>
        <rFont val="Arial"/>
        <family val="2"/>
      </rPr>
      <t>EA Non-Medicaid Units of Service</t>
    </r>
  </si>
  <si>
    <r>
      <t xml:space="preserve">Step 5b, </t>
    </r>
    <r>
      <rPr>
        <u/>
        <sz val="11"/>
        <rFont val="Arial"/>
        <family val="2"/>
      </rPr>
      <t>SL Non-Medicaid Units of Service</t>
    </r>
  </si>
  <si>
    <r>
      <t xml:space="preserve">Step 5b, </t>
    </r>
    <r>
      <rPr>
        <u/>
        <sz val="11"/>
        <rFont val="Arial"/>
        <family val="2"/>
      </rPr>
      <t>RSS Non-Medicaid Units of Service</t>
    </r>
  </si>
  <si>
    <r>
      <t xml:space="preserve">Step 5b,  </t>
    </r>
    <r>
      <rPr>
        <u/>
        <sz val="11"/>
        <rFont val="Arial"/>
        <family val="2"/>
      </rPr>
      <t>CSS Non-Medicaid Units of Service</t>
    </r>
  </si>
  <si>
    <t>Step 5b, TxHmL CSS Units of Service</t>
  </si>
  <si>
    <t>Total HCS &amp; TxHml DH Units of Services</t>
  </si>
  <si>
    <t>Total HCS &amp; TxHml Non-Day Hab Units of Services</t>
  </si>
  <si>
    <t xml:space="preserve"> Box I</t>
  </si>
  <si>
    <t>Total Units from Box G</t>
  </si>
  <si>
    <t>Box L (Weighted Average Rate)</t>
  </si>
  <si>
    <t xml:space="preserve">If Cost Per Unit Box J is greater than Box M, then you have met the spending requirment. If Box N is a positive number, then you have not met the spending requirement from Step 5 and could potentially face recoupment. </t>
  </si>
  <si>
    <t>Step 5b, HCS SHL Units of Service</t>
  </si>
  <si>
    <t>Step 5b, CFC SHL Units of Service</t>
  </si>
  <si>
    <t>Step 5b, CFC CSS Units of Service</t>
  </si>
  <si>
    <t>HCS/CFC  SHL</t>
  </si>
  <si>
    <t>Medicaid Units from Box H</t>
  </si>
  <si>
    <r>
      <t>Step 5b,</t>
    </r>
    <r>
      <rPr>
        <u/>
        <sz val="11"/>
        <rFont val="Arial"/>
        <family val="2"/>
      </rPr>
      <t xml:space="preserve"> HCS Facility-Based DH Non Medicaid  Units of Service</t>
    </r>
  </si>
  <si>
    <r>
      <t xml:space="preserve">Step 5b, </t>
    </r>
    <r>
      <rPr>
        <u/>
        <sz val="11"/>
        <rFont val="Arial"/>
        <family val="2"/>
      </rPr>
      <t>TxHmL Faciltity-Based DH Non Medicaid Units of Service</t>
    </r>
  </si>
  <si>
    <t>Cost Per Unit (Actual Spending)</t>
  </si>
  <si>
    <t xml:space="preserve">HCS &amp; TxHmL 
2019 Cost Report &amp; 2020 Accountability Report Optional Worksheet to
Estimate Potential Recoupment </t>
  </si>
  <si>
    <t>** Effective 9/1/19 ** Step 6c, Out-of-Home Respite Supervised Living &amp; Residential Support Services Attendant Wages (Columns C + G)</t>
  </si>
  <si>
    <t>** Effective 9/1/19 ** Step 6c, Out-of-Home Respite - Facility-based Day Habilitation Attendant Wages (Columns C + G)</t>
  </si>
  <si>
    <t>** Effective 9/1/19 ** Step 6c, Out-of-Home Respite - Host Home/Companion Care Attendant Wages (Columns C + G)</t>
  </si>
  <si>
    <t>** Effective 9/1/19 ** Step 6c, In-Home Respite Attendant Wages (Columns C + G)</t>
  </si>
  <si>
    <t>** Effective 9/1/19 ** Step 6c, Out-of-Home Respite - Respite Facility  Attendant Wages (Columns C + G)</t>
  </si>
  <si>
    <t>** Effective 9/1/19 ** Step 6c, Out-of-Home Respite - Camp  Attendant Wages (Columns C + G)</t>
  </si>
  <si>
    <t>** Effective 9/1/19 ** Step 6c, Out-of-Home Respite - Other (Including Non-Medicaid) Attendant Wages (Columns C + G)</t>
  </si>
  <si>
    <t>** Effective 9/1/19 **  Step 5b, HCS In-Home DH LON 1 Units of Service</t>
  </si>
  <si>
    <t>** Effective 9/1/19 **  Step 5b, HCS In-Home DH LON 5 Units of Service</t>
  </si>
  <si>
    <t>** Effective 9/1/19 **  Step 5b, HCS In-Home DH LON 8 Units of Service</t>
  </si>
  <si>
    <t>** Effective 9/1/19 **  Step 5b, HCS In-Home DH LON 6 Units of Service</t>
  </si>
  <si>
    <t>** Effective 9/1/19 **  Step 5b, TxHmL In-Home DH Units of Service</t>
  </si>
  <si>
    <t>** Effective 9/1/19 ** Step 5b, HCS In-Home DH LON 9 Units of Service</t>
  </si>
  <si>
    <t xml:space="preserve">Step 7, HCS DH Attendant Allocated Payroll Taxes &amp; Workers' Compensation </t>
  </si>
  <si>
    <t xml:space="preserve">If Cost Per Unit Box J is greater than Box M, then you have met the spending requirement. If Box N is a positive number then you have not met the spending requirement from Step 5 and could potentially face recoupment. </t>
  </si>
  <si>
    <t>Medicaid Only Units from Box H</t>
  </si>
  <si>
    <t>Step 6c, (SE) Supported Employment (HCS &amp; TxHmL) - Attendant Only (Columns C + G)</t>
  </si>
  <si>
    <t>Step 6c, Respite (HCS &amp; TxHmL) - Attendant Only (Columns C + G)</t>
  </si>
  <si>
    <t>Step 6c, (EA) Employment Assistance (HCS &amp; TxHmL) - Attendant Only (Collumns C + G)</t>
  </si>
  <si>
    <t>Step 7, SL/RSS Attendant Allocated Payroll Taxes &amp; Workers' Compensation</t>
  </si>
  <si>
    <t>Step 7, Respite Attendant Allocated Payroll Taxes &amp; Workers' Compensation</t>
  </si>
  <si>
    <t>Step 7, SE Attendant Allocated Payroll Taxes &amp; Workers' Compensation</t>
  </si>
  <si>
    <t>Step 7, EA Attendant Allocated Payroll Taxes &amp; Workers' Compensation</t>
  </si>
  <si>
    <r>
      <t xml:space="preserve">Contracted Day Hab - </t>
    </r>
    <r>
      <rPr>
        <u/>
        <sz val="11"/>
        <rFont val="Arial"/>
        <family val="2"/>
      </rPr>
      <t>Non-related Party</t>
    </r>
    <r>
      <rPr>
        <sz val="11"/>
        <rFont val="Arial"/>
        <family val="2"/>
      </rPr>
      <t xml:space="preserve"> (</t>
    </r>
    <r>
      <rPr>
        <sz val="8"/>
        <rFont val="Arial"/>
        <family val="2"/>
      </rPr>
      <t xml:space="preserve">Per TAC §355.112(ff)(2) Allowed 1/2 of contracted Day Hab for Participants in Rate Enhancement) </t>
    </r>
  </si>
  <si>
    <t>Spending Requirment</t>
  </si>
  <si>
    <t>From Box G (Total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</si>
</sst>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
    <numFmt numFmtId="165" formatCode="&quot;$&quot;#,##0.00"/>
    <numFmt numFmtId="166" formatCode="0.00_)"/>
    <numFmt numFmtId="167" formatCode="&quot;$&quot;#,##0"/>
  </numFmts>
  <fonts count="31"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4"/>
      <name val="Arial"/>
      <family val="2"/>
    </font>
    <font>
      <sz val="12"/>
      <name val="Arial"/>
      <family val="2"/>
    </font>
    <font>
      <sz val="10"/>
      <name val="Arial"/>
      <family val="2"/>
    </font>
    <font>
      <sz val="11"/>
      <name val="Arial"/>
      <family val="2"/>
    </font>
    <font>
      <vertAlign val="superscript"/>
      <sz val="8"/>
      <name val="Arial"/>
      <family val="2"/>
    </font>
    <font>
      <b/>
      <sz val="11"/>
      <name val="Arial"/>
      <family val="2"/>
    </font>
    <font>
      <vertAlign val="superscript"/>
      <sz val="11"/>
      <name val="Arial"/>
      <family val="2"/>
    </font>
    <font>
      <sz val="7"/>
      <name val="Small Fonts"/>
      <family val="2"/>
    </font>
    <font>
      <sz val="11"/>
      <color theme="1"/>
      <name val="Calibri"/>
      <family val="2"/>
      <scheme val="minor"/>
    </font>
    <font>
      <b/>
      <sz val="10"/>
      <name val="Arial"/>
      <family val="2"/>
    </font>
    <font>
      <sz val="10"/>
      <name val="Arial"/>
      <family val="2"/>
    </font>
    <font>
      <sz val="16"/>
      <name val="Arial"/>
      <family val="2"/>
    </font>
    <font>
      <vertAlign val="superscript"/>
      <sz val="10"/>
      <name val="Arial"/>
      <family val="2"/>
    </font>
    <font>
      <sz val="9"/>
      <name val="Arial"/>
      <family val="2"/>
    </font>
    <font>
      <b/>
      <sz val="7"/>
      <color rgb="FF474747"/>
      <name val="Arial"/>
      <family val="2"/>
    </font>
    <font>
      <sz val="7"/>
      <color rgb="FF474747"/>
      <name val="Arial"/>
      <family val="2"/>
    </font>
    <font>
      <sz val="9"/>
      <color rgb="FF474747"/>
      <name val="Calibri"/>
      <family val="2"/>
      <scheme val="minor"/>
    </font>
    <font>
      <sz val="9"/>
      <name val="Calibri"/>
      <family val="2"/>
      <scheme val="minor"/>
    </font>
    <font>
      <sz val="11"/>
      <color rgb="FFFF0000"/>
      <name val="Arial"/>
      <family val="2"/>
    </font>
    <font>
      <sz val="10"/>
      <color rgb="FFFF0000"/>
      <name val="Arial"/>
      <family val="2"/>
    </font>
    <font>
      <u/>
      <sz val="11"/>
      <name val="Arial"/>
      <family val="2"/>
    </font>
    <font>
      <b/>
      <sz val="12"/>
      <name val="Arial"/>
      <family val="2"/>
    </font>
    <font>
      <sz val="8"/>
      <color theme="1"/>
      <name val="Arial"/>
      <family val="2"/>
    </font>
    <font>
      <u/>
      <sz val="10"/>
      <name val="Arial"/>
      <family val="2"/>
    </font>
  </fonts>
  <fills count="12">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s>
  <cellStyleXfs count="27">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37" fontId="14" fillId="0" borderId="0"/>
    <xf numFmtId="166" fontId="6"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 fillId="0" borderId="0"/>
  </cellStyleXfs>
  <cellXfs count="510">
    <xf numFmtId="0" fontId="0" fillId="0" borderId="0" xfId="0"/>
    <xf numFmtId="0" fontId="7" fillId="0" borderId="0" xfId="14" applyFont="1" applyBorder="1" applyAlignment="1">
      <alignment horizontal="center" vertical="center" wrapText="1"/>
    </xf>
    <xf numFmtId="0" fontId="9" fillId="0" borderId="0" xfId="14" applyFont="1" applyBorder="1"/>
    <xf numFmtId="0" fontId="9" fillId="0" borderId="0" xfId="14" applyFont="1" applyBorder="1" applyAlignment="1">
      <alignment horizontal="center"/>
    </xf>
    <xf numFmtId="0" fontId="10" fillId="0" borderId="0" xfId="14" applyFont="1" applyFill="1" applyBorder="1" applyAlignment="1">
      <alignment vertical="center"/>
    </xf>
    <xf numFmtId="0" fontId="10" fillId="0" borderId="0" xfId="14" quotePrefix="1" applyFont="1" applyFill="1" applyBorder="1" applyAlignment="1">
      <alignment horizontal="right" vertical="center"/>
    </xf>
    <xf numFmtId="0" fontId="13" fillId="0" borderId="0" xfId="14" quotePrefix="1" applyFont="1" applyFill="1" applyBorder="1" applyAlignment="1">
      <alignment horizontal="left" vertical="center" wrapText="1"/>
    </xf>
    <xf numFmtId="0" fontId="10" fillId="0" borderId="0" xfId="14" applyFont="1" applyBorder="1" applyAlignment="1">
      <alignment vertical="center"/>
    </xf>
    <xf numFmtId="0" fontId="7" fillId="0" borderId="0" xfId="14" applyFont="1" applyBorder="1" applyAlignment="1">
      <alignment vertical="center"/>
    </xf>
    <xf numFmtId="0" fontId="9" fillId="0" borderId="0" xfId="14" applyFont="1" applyBorder="1" applyAlignment="1">
      <alignment vertical="center"/>
    </xf>
    <xf numFmtId="0" fontId="9" fillId="0" borderId="0" xfId="14" applyBorder="1"/>
    <xf numFmtId="0" fontId="1" fillId="0" borderId="0" xfId="0" applyFont="1"/>
    <xf numFmtId="0" fontId="1" fillId="0" borderId="0" xfId="26"/>
    <xf numFmtId="0" fontId="1" fillId="0" borderId="7" xfId="0" applyFont="1" applyBorder="1"/>
    <xf numFmtId="0" fontId="1" fillId="0" borderId="0" xfId="0" applyFont="1" applyBorder="1"/>
    <xf numFmtId="0" fontId="1" fillId="0" borderId="6" xfId="0" applyFont="1" applyBorder="1"/>
    <xf numFmtId="0" fontId="0" fillId="0" borderId="0" xfId="0" applyFill="1"/>
    <xf numFmtId="165" fontId="4" fillId="0" borderId="1" xfId="0" applyNumberFormat="1" applyFont="1" applyFill="1" applyBorder="1" applyAlignment="1" applyProtection="1">
      <protection locked="0"/>
    </xf>
    <xf numFmtId="0" fontId="10" fillId="0" borderId="0" xfId="0" quotePrefix="1" applyFont="1" applyBorder="1" applyAlignment="1">
      <alignment horizontal="center" vertical="center"/>
    </xf>
    <xf numFmtId="165" fontId="4" fillId="0" borderId="2" xfId="0" applyNumberFormat="1" applyFont="1" applyFill="1" applyBorder="1" applyAlignment="1" applyProtection="1">
      <protection locked="0"/>
    </xf>
    <xf numFmtId="0" fontId="0" fillId="0" borderId="7" xfId="0" applyBorder="1"/>
    <xf numFmtId="0" fontId="0" fillId="0" borderId="0" xfId="0" applyBorder="1"/>
    <xf numFmtId="0" fontId="10" fillId="0" borderId="0" xfId="0" applyFont="1" applyFill="1" applyAlignment="1">
      <alignment vertical="center"/>
    </xf>
    <xf numFmtId="167" fontId="12" fillId="0" borderId="2" xfId="0" applyNumberFormat="1" applyFont="1" applyBorder="1" applyAlignment="1" applyProtection="1">
      <alignment horizontal="right"/>
    </xf>
    <xf numFmtId="0" fontId="10" fillId="0" borderId="0" xfId="0" applyFont="1" applyAlignment="1">
      <alignment vertical="center"/>
    </xf>
    <xf numFmtId="167" fontId="10" fillId="5" borderId="2" xfId="0" applyNumberFormat="1" applyFont="1" applyFill="1" applyBorder="1" applyAlignment="1" applyProtection="1">
      <alignment horizontal="right" vertical="center"/>
      <protection locked="0"/>
    </xf>
    <xf numFmtId="0" fontId="10" fillId="0" borderId="0" xfId="0" applyFont="1" applyFill="1" applyBorder="1" applyAlignment="1">
      <alignment vertical="center"/>
    </xf>
    <xf numFmtId="0" fontId="10" fillId="0" borderId="0" xfId="0" applyFont="1"/>
    <xf numFmtId="167" fontId="10" fillId="5" borderId="2" xfId="0" applyNumberFormat="1" applyFont="1" applyFill="1" applyBorder="1" applyAlignment="1" applyProtection="1">
      <alignment vertical="center"/>
      <protection locked="0"/>
    </xf>
    <xf numFmtId="0" fontId="11" fillId="0" borderId="2" xfId="0" applyFont="1" applyBorder="1" applyAlignment="1" applyProtection="1">
      <alignment horizontal="left" vertical="center"/>
      <protection locked="0"/>
    </xf>
    <xf numFmtId="167" fontId="1" fillId="5" borderId="2" xfId="14" applyNumberFormat="1" applyFont="1" applyFill="1" applyBorder="1" applyAlignment="1" applyProtection="1">
      <alignment horizontal="right" vertical="center"/>
      <protection locked="0"/>
    </xf>
    <xf numFmtId="0" fontId="1" fillId="0" borderId="0" xfId="14" applyFont="1" applyFill="1" applyBorder="1" applyAlignment="1">
      <alignment vertical="center"/>
    </xf>
    <xf numFmtId="0" fontId="19" fillId="0" borderId="2" xfId="14" applyFont="1" applyBorder="1" applyAlignment="1">
      <alignment horizontal="left" vertical="top" wrapText="1"/>
    </xf>
    <xf numFmtId="167" fontId="1" fillId="5" borderId="2" xfId="14" applyNumberFormat="1" applyFont="1" applyFill="1" applyBorder="1" applyAlignment="1" applyProtection="1">
      <alignment vertical="center"/>
      <protection locked="0"/>
    </xf>
    <xf numFmtId="167" fontId="1" fillId="0" borderId="2" xfId="14" applyNumberFormat="1" applyFont="1" applyFill="1" applyBorder="1" applyAlignment="1" applyProtection="1">
      <alignment vertical="center"/>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165" fontId="1" fillId="0" borderId="2" xfId="26" applyNumberFormat="1" applyBorder="1" applyAlignment="1">
      <alignment horizontal="right"/>
    </xf>
    <xf numFmtId="165" fontId="1" fillId="0" borderId="2" xfId="26" applyNumberFormat="1" applyBorder="1"/>
    <xf numFmtId="165" fontId="0" fillId="0" borderId="2" xfId="0" applyNumberFormat="1" applyBorder="1" applyAlignment="1">
      <alignment horizontal="right"/>
    </xf>
    <xf numFmtId="165" fontId="0" fillId="0" borderId="2" xfId="0" applyNumberFormat="1" applyFill="1" applyBorder="1" applyAlignment="1">
      <alignment horizontal="right"/>
    </xf>
    <xf numFmtId="165" fontId="1" fillId="0" borderId="2" xfId="0" applyNumberFormat="1" applyFont="1" applyFill="1" applyBorder="1" applyAlignment="1">
      <alignment horizontal="right"/>
    </xf>
    <xf numFmtId="165" fontId="0" fillId="0" borderId="2" xfId="0" applyNumberFormat="1" applyBorder="1"/>
    <xf numFmtId="0" fontId="1" fillId="0" borderId="0" xfId="0" applyFont="1" applyFill="1" applyBorder="1" applyAlignment="1">
      <alignment vertical="center"/>
    </xf>
    <xf numFmtId="0" fontId="8" fillId="0" borderId="0" xfId="0" applyFont="1" applyBorder="1" applyAlignment="1">
      <alignment wrapText="1"/>
    </xf>
    <xf numFmtId="0" fontId="10" fillId="0" borderId="0" xfId="0" applyFont="1" applyBorder="1"/>
    <xf numFmtId="0" fontId="0" fillId="0" borderId="0" xfId="0" applyFill="1" applyBorder="1"/>
    <xf numFmtId="0" fontId="8" fillId="0" borderId="2" xfId="0" applyFont="1" applyBorder="1" applyAlignment="1">
      <alignment horizontal="center" wrapText="1"/>
    </xf>
    <xf numFmtId="0" fontId="10" fillId="0" borderId="0" xfId="0" applyFont="1" applyBorder="1" applyAlignment="1">
      <alignment vertical="center"/>
    </xf>
    <xf numFmtId="0" fontId="10" fillId="0" borderId="0" xfId="0" applyFont="1" applyBorder="1" applyAlignment="1">
      <alignment vertical="center" wrapText="1"/>
    </xf>
    <xf numFmtId="43" fontId="10" fillId="0" borderId="2" xfId="24" applyFont="1" applyFill="1" applyBorder="1" applyAlignment="1" applyProtection="1"/>
    <xf numFmtId="0" fontId="10" fillId="0" borderId="0" xfId="0" applyFont="1" applyFill="1" applyBorder="1"/>
    <xf numFmtId="0" fontId="1" fillId="0" borderId="0" xfId="26" applyBorder="1"/>
    <xf numFmtId="0" fontId="4" fillId="0" borderId="2" xfId="0" applyFont="1" applyBorder="1" applyAlignment="1">
      <alignment horizontal="center" wrapText="1"/>
    </xf>
    <xf numFmtId="0" fontId="18" fillId="0" borderId="0" xfId="0" applyFont="1" applyFill="1" applyBorder="1" applyAlignment="1" applyProtection="1">
      <alignment vertical="center" wrapText="1"/>
    </xf>
    <xf numFmtId="165" fontId="4" fillId="0" borderId="14" xfId="0" applyNumberFormat="1" applyFont="1" applyFill="1" applyBorder="1" applyAlignment="1" applyProtection="1">
      <protection locked="0"/>
    </xf>
    <xf numFmtId="165" fontId="4" fillId="0" borderId="14" xfId="0" applyNumberFormat="1" applyFont="1" applyFill="1" applyBorder="1" applyAlignment="1" applyProtection="1">
      <alignment vertical="center"/>
      <protection locked="0"/>
    </xf>
    <xf numFmtId="165" fontId="4" fillId="0" borderId="10" xfId="0" applyNumberFormat="1" applyFont="1" applyFill="1" applyBorder="1" applyAlignment="1" applyProtection="1">
      <protection locked="0"/>
    </xf>
    <xf numFmtId="0" fontId="1" fillId="0" borderId="0" xfId="0" applyFont="1" applyFill="1"/>
    <xf numFmtId="0" fontId="16" fillId="0" borderId="0" xfId="0" applyFont="1"/>
    <xf numFmtId="167" fontId="25" fillId="0" borderId="0" xfId="0" applyNumberFormat="1" applyFont="1" applyFill="1" applyAlignment="1">
      <alignment vertical="center"/>
    </xf>
    <xf numFmtId="0" fontId="26" fillId="0" borderId="0" xfId="0" applyFont="1" applyFill="1"/>
    <xf numFmtId="0" fontId="26" fillId="0" borderId="0" xfId="0" applyFont="1"/>
    <xf numFmtId="0" fontId="19" fillId="0" borderId="2" xfId="14" applyFont="1" applyBorder="1" applyAlignment="1">
      <alignment horizontal="left" vertical="center" wrapText="1"/>
    </xf>
    <xf numFmtId="43" fontId="0" fillId="0" borderId="0" xfId="0" applyNumberFormat="1" applyFill="1"/>
    <xf numFmtId="43" fontId="10" fillId="0" borderId="2" xfId="0" applyNumberFormat="1" applyFont="1" applyBorder="1" applyAlignment="1">
      <alignment vertical="center" wrapText="1"/>
    </xf>
    <xf numFmtId="0" fontId="1" fillId="0" borderId="0" xfId="0" applyFont="1" applyFill="1" applyBorder="1"/>
    <xf numFmtId="1" fontId="23" fillId="0" borderId="0" xfId="0" applyNumberFormat="1" applyFont="1" applyFill="1" applyBorder="1" applyAlignment="1">
      <alignment horizontal="right" vertical="center" wrapText="1"/>
    </xf>
    <xf numFmtId="1" fontId="24" fillId="0" borderId="0" xfId="0" applyNumberFormat="1" applyFont="1" applyFill="1" applyBorder="1" applyAlignment="1">
      <alignment horizontal="right"/>
    </xf>
    <xf numFmtId="0" fontId="21"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3" fillId="0" borderId="0" xfId="0" applyFont="1" applyFill="1" applyBorder="1" applyAlignment="1">
      <alignment horizontal="right" vertical="center" wrapText="1"/>
    </xf>
    <xf numFmtId="6" fontId="23" fillId="0" borderId="0" xfId="0" applyNumberFormat="1" applyFont="1" applyFill="1" applyBorder="1" applyAlignment="1">
      <alignment horizontal="right" vertical="center" wrapText="1"/>
    </xf>
    <xf numFmtId="8" fontId="23" fillId="0" borderId="0" xfId="0" applyNumberFormat="1" applyFont="1" applyFill="1" applyBorder="1" applyAlignment="1">
      <alignment horizontal="right" vertical="center" wrapText="1"/>
    </xf>
    <xf numFmtId="0" fontId="24" fillId="0" borderId="0" xfId="0" applyFont="1" applyFill="1" applyBorder="1" applyAlignment="1">
      <alignment horizontal="right"/>
    </xf>
    <xf numFmtId="167" fontId="9" fillId="6" borderId="14" xfId="14" applyNumberFormat="1" applyFont="1" applyFill="1" applyBorder="1" applyAlignment="1" applyProtection="1">
      <alignment vertical="center"/>
      <protection locked="0"/>
    </xf>
    <xf numFmtId="167" fontId="10" fillId="0" borderId="2" xfId="0" applyNumberFormat="1" applyFont="1" applyFill="1" applyBorder="1" applyAlignment="1" applyProtection="1">
      <alignment horizontal="right" vertical="center"/>
    </xf>
    <xf numFmtId="167" fontId="10" fillId="0" borderId="9" xfId="0" applyNumberFormat="1" applyFont="1" applyFill="1" applyBorder="1" applyAlignment="1" applyProtection="1">
      <alignment vertical="center"/>
    </xf>
    <xf numFmtId="0" fontId="11" fillId="0" borderId="2" xfId="0" applyFont="1" applyBorder="1" applyAlignment="1" applyProtection="1">
      <alignment horizontal="left" vertical="top" wrapText="1"/>
    </xf>
    <xf numFmtId="0" fontId="10" fillId="0" borderId="0" xfId="0" quotePrefix="1" applyFont="1" applyBorder="1" applyAlignment="1" applyProtection="1">
      <alignment horizontal="center"/>
    </xf>
    <xf numFmtId="165" fontId="10" fillId="0" borderId="2" xfId="0" applyNumberFormat="1" applyFont="1" applyFill="1" applyBorder="1" applyAlignment="1" applyProtection="1"/>
    <xf numFmtId="0" fontId="4" fillId="0" borderId="0" xfId="0" applyFont="1" applyFill="1" applyBorder="1" applyAlignment="1" applyProtection="1">
      <alignment horizontal="center"/>
    </xf>
    <xf numFmtId="0" fontId="10" fillId="0" borderId="0" xfId="0" applyFont="1" applyFill="1" applyBorder="1" applyAlignment="1" applyProtection="1">
      <alignment horizontal="center" vertical="center" wrapText="1"/>
    </xf>
    <xf numFmtId="0" fontId="0" fillId="0" borderId="0" xfId="0" applyFill="1" applyBorder="1" applyAlignment="1" applyProtection="1">
      <alignment horizontal="center"/>
    </xf>
    <xf numFmtId="165" fontId="4" fillId="0" borderId="0" xfId="0" applyNumberFormat="1" applyFont="1" applyFill="1" applyBorder="1" applyAlignment="1" applyProtection="1">
      <alignment horizontal="center"/>
    </xf>
    <xf numFmtId="41" fontId="10" fillId="5" borderId="2" xfId="24" applyNumberFormat="1" applyFont="1" applyFill="1" applyBorder="1" applyAlignment="1" applyProtection="1">
      <alignment vertical="center"/>
      <protection locked="0"/>
    </xf>
    <xf numFmtId="41" fontId="10" fillId="5" borderId="15" xfId="24" applyNumberFormat="1" applyFont="1" applyFill="1" applyBorder="1" applyAlignment="1" applyProtection="1">
      <alignment vertical="center"/>
      <protection locked="0"/>
    </xf>
    <xf numFmtId="0" fontId="0" fillId="0" borderId="0" xfId="0" applyAlignment="1">
      <alignment horizontal="right"/>
    </xf>
    <xf numFmtId="167" fontId="1" fillId="0" borderId="2" xfId="14" applyNumberFormat="1" applyFont="1" applyBorder="1" applyAlignment="1" applyProtection="1">
      <alignment horizontal="right"/>
    </xf>
    <xf numFmtId="41" fontId="1" fillId="0" borderId="9" xfId="0" applyNumberFormat="1" applyFont="1" applyBorder="1"/>
    <xf numFmtId="0" fontId="11" fillId="10" borderId="13" xfId="0" applyFont="1" applyFill="1" applyBorder="1" applyAlignment="1" applyProtection="1">
      <alignment horizontal="left" vertical="center"/>
      <protection locked="0"/>
    </xf>
    <xf numFmtId="0" fontId="8" fillId="10" borderId="0" xfId="0" applyFont="1" applyFill="1" applyBorder="1"/>
    <xf numFmtId="43" fontId="10" fillId="10" borderId="0" xfId="24" quotePrefix="1" applyFont="1" applyFill="1" applyBorder="1" applyAlignment="1">
      <alignment horizontal="center"/>
    </xf>
    <xf numFmtId="43" fontId="10" fillId="10" borderId="6" xfId="24" quotePrefix="1" applyFont="1" applyFill="1" applyBorder="1" applyAlignment="1">
      <alignment horizontal="center"/>
    </xf>
    <xf numFmtId="43" fontId="10" fillId="10" borderId="13" xfId="24" quotePrefix="1" applyFont="1" applyFill="1" applyBorder="1" applyAlignment="1">
      <alignment horizontal="center"/>
    </xf>
    <xf numFmtId="0" fontId="1" fillId="10" borderId="14" xfId="0" applyFont="1" applyFill="1" applyBorder="1"/>
    <xf numFmtId="0" fontId="1" fillId="10" borderId="13" xfId="0" applyFont="1" applyFill="1" applyBorder="1"/>
    <xf numFmtId="0" fontId="1" fillId="10" borderId="0" xfId="0" applyFont="1" applyFill="1"/>
    <xf numFmtId="0" fontId="11" fillId="10" borderId="8" xfId="0" applyFont="1" applyFill="1" applyBorder="1" applyAlignment="1" applyProtection="1">
      <alignment horizontal="left" vertical="center"/>
      <protection locked="0"/>
    </xf>
    <xf numFmtId="41" fontId="1" fillId="10" borderId="8" xfId="0" applyNumberFormat="1" applyFont="1" applyFill="1" applyBorder="1"/>
    <xf numFmtId="0" fontId="1" fillId="10" borderId="0" xfId="0" applyFont="1" applyFill="1" applyBorder="1"/>
    <xf numFmtId="0" fontId="8" fillId="10" borderId="0" xfId="0" applyFont="1" applyFill="1" applyBorder="1" applyAlignment="1">
      <alignment wrapText="1"/>
    </xf>
    <xf numFmtId="0" fontId="0" fillId="10" borderId="0" xfId="0" applyFill="1" applyBorder="1"/>
    <xf numFmtId="0" fontId="1" fillId="10" borderId="6" xfId="0" applyFont="1" applyFill="1" applyBorder="1"/>
    <xf numFmtId="0" fontId="11" fillId="10" borderId="9" xfId="0" applyFont="1" applyFill="1" applyBorder="1" applyAlignment="1">
      <alignment horizontal="left" vertical="top"/>
    </xf>
    <xf numFmtId="0" fontId="10" fillId="10" borderId="8" xfId="0" applyFont="1" applyFill="1" applyBorder="1" applyAlignment="1">
      <alignment horizontal="left" vertical="center"/>
    </xf>
    <xf numFmtId="0" fontId="11" fillId="10" borderId="9" xfId="0" applyFont="1" applyFill="1" applyBorder="1" applyAlignment="1" applyProtection="1">
      <alignment horizontal="left" vertical="top"/>
    </xf>
    <xf numFmtId="0" fontId="11" fillId="10" borderId="9" xfId="0" applyFont="1" applyFill="1" applyBorder="1" applyAlignment="1" applyProtection="1">
      <alignment horizontal="left" vertical="top" wrapText="1"/>
    </xf>
    <xf numFmtId="0" fontId="1" fillId="10" borderId="6"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0" fillId="10" borderId="7" xfId="0" applyFill="1" applyBorder="1"/>
    <xf numFmtId="0" fontId="1" fillId="10" borderId="0" xfId="26" applyFont="1" applyFill="1" applyBorder="1" applyAlignment="1">
      <alignment wrapText="1"/>
    </xf>
    <xf numFmtId="0" fontId="10" fillId="10" borderId="0" xfId="0" quotePrefix="1" applyFont="1" applyFill="1" applyBorder="1" applyAlignment="1" applyProtection="1">
      <alignment horizontal="center"/>
    </xf>
    <xf numFmtId="165" fontId="4" fillId="10" borderId="0" xfId="0" applyNumberFormat="1" applyFont="1" applyFill="1" applyBorder="1" applyAlignment="1" applyProtection="1"/>
    <xf numFmtId="0" fontId="10" fillId="10" borderId="0" xfId="0" applyFont="1" applyFill="1" applyBorder="1" applyAlignment="1">
      <alignment vertical="center" wrapText="1"/>
    </xf>
    <xf numFmtId="0" fontId="1" fillId="10" borderId="7" xfId="0" applyFont="1" applyFill="1" applyBorder="1"/>
    <xf numFmtId="0" fontId="10" fillId="10" borderId="7" xfId="0" quotePrefix="1" applyFont="1" applyFill="1" applyBorder="1" applyAlignment="1">
      <alignment horizontal="center"/>
    </xf>
    <xf numFmtId="0" fontId="0" fillId="10" borderId="14" xfId="0" applyFill="1" applyBorder="1"/>
    <xf numFmtId="0" fontId="10" fillId="10" borderId="0" xfId="0" applyFont="1" applyFill="1" applyBorder="1" applyAlignment="1" applyProtection="1">
      <alignment vertical="center" wrapText="1"/>
    </xf>
    <xf numFmtId="0" fontId="10" fillId="10" borderId="12" xfId="0" applyFont="1" applyFill="1" applyBorder="1" applyAlignment="1">
      <alignment vertical="center" wrapText="1"/>
    </xf>
    <xf numFmtId="0" fontId="4" fillId="10" borderId="0" xfId="0" applyFont="1" applyFill="1" applyBorder="1" applyAlignment="1" applyProtection="1"/>
    <xf numFmtId="0" fontId="10" fillId="10" borderId="6" xfId="0" applyFont="1" applyFill="1" applyBorder="1" applyAlignment="1">
      <alignment vertical="center" wrapText="1"/>
    </xf>
    <xf numFmtId="0" fontId="10" fillId="10" borderId="0" xfId="0" applyFont="1" applyFill="1" applyBorder="1" applyAlignment="1" applyProtection="1"/>
    <xf numFmtId="165" fontId="10" fillId="10" borderId="0" xfId="0" applyNumberFormat="1" applyFont="1" applyFill="1" applyBorder="1" applyAlignment="1" applyProtection="1">
      <alignment horizontal="center"/>
    </xf>
    <xf numFmtId="0" fontId="0" fillId="10" borderId="0" xfId="0" applyFill="1" applyBorder="1" applyProtection="1"/>
    <xf numFmtId="0" fontId="4" fillId="10" borderId="0" xfId="0" applyFont="1" applyFill="1" applyBorder="1" applyAlignment="1">
      <alignment horizontal="center" wrapText="1"/>
    </xf>
    <xf numFmtId="0" fontId="4" fillId="10" borderId="9" xfId="0" applyFont="1" applyFill="1" applyBorder="1" applyAlignment="1">
      <alignment horizontal="center" wrapText="1"/>
    </xf>
    <xf numFmtId="0" fontId="4" fillId="10" borderId="1" xfId="0" applyFont="1" applyFill="1" applyBorder="1" applyAlignment="1">
      <alignment horizontal="center" wrapText="1"/>
    </xf>
    <xf numFmtId="0" fontId="4" fillId="10" borderId="7" xfId="0" applyFont="1" applyFill="1" applyBorder="1" applyAlignment="1">
      <alignment horizontal="center" wrapText="1"/>
    </xf>
    <xf numFmtId="0" fontId="10" fillId="10" borderId="10" xfId="0" applyFont="1" applyFill="1" applyBorder="1" applyAlignment="1">
      <alignment vertical="center" wrapText="1"/>
    </xf>
    <xf numFmtId="0" fontId="10" fillId="10" borderId="12" xfId="0" quotePrefix="1" applyFont="1" applyFill="1" applyBorder="1" applyAlignment="1">
      <alignment horizontal="center"/>
    </xf>
    <xf numFmtId="0" fontId="10" fillId="10" borderId="0" xfId="0" quotePrefix="1" applyFont="1" applyFill="1" applyBorder="1" applyAlignment="1">
      <alignment horizontal="center" vertical="center"/>
    </xf>
    <xf numFmtId="0" fontId="10" fillId="10" borderId="0" xfId="0" quotePrefix="1" applyFont="1" applyFill="1" applyBorder="1" applyAlignment="1">
      <alignment horizontal="center"/>
    </xf>
    <xf numFmtId="0" fontId="10" fillId="10" borderId="6" xfId="0" applyFont="1" applyFill="1" applyBorder="1" applyAlignment="1">
      <alignment horizontal="center" vertical="center" wrapText="1"/>
    </xf>
    <xf numFmtId="0" fontId="11" fillId="10" borderId="9" xfId="0" applyFont="1" applyFill="1" applyBorder="1" applyAlignment="1">
      <alignment horizontal="left" vertical="top" wrapText="1"/>
    </xf>
    <xf numFmtId="0" fontId="4" fillId="10" borderId="4" xfId="0" applyFont="1" applyFill="1" applyBorder="1" applyAlignment="1" applyProtection="1">
      <alignment horizontal="center"/>
      <protection locked="0"/>
    </xf>
    <xf numFmtId="165" fontId="4" fillId="10" borderId="4" xfId="0" applyNumberFormat="1" applyFont="1" applyFill="1" applyBorder="1" applyAlignment="1" applyProtection="1">
      <alignment horizontal="center"/>
      <protection locked="0"/>
    </xf>
    <xf numFmtId="165" fontId="12" fillId="0" borderId="2" xfId="0" applyNumberFormat="1" applyFont="1" applyFill="1" applyBorder="1" applyAlignment="1" applyProtection="1">
      <alignment horizontal="right"/>
    </xf>
    <xf numFmtId="0" fontId="10" fillId="10" borderId="0" xfId="0" applyFont="1" applyFill="1" applyBorder="1" applyAlignment="1">
      <alignment vertical="center"/>
    </xf>
    <xf numFmtId="0" fontId="10" fillId="10" borderId="0" xfId="0" applyFont="1" applyFill="1" applyBorder="1"/>
    <xf numFmtId="165" fontId="4" fillId="10" borderId="12" xfId="0" applyNumberFormat="1" applyFont="1" applyFill="1" applyBorder="1" applyAlignment="1" applyProtection="1">
      <alignment horizontal="center"/>
      <protection locked="0"/>
    </xf>
    <xf numFmtId="0" fontId="10" fillId="10" borderId="12" xfId="0" quotePrefix="1" applyFont="1" applyFill="1" applyBorder="1" applyAlignment="1">
      <alignment horizontal="center" vertical="center"/>
    </xf>
    <xf numFmtId="0" fontId="10" fillId="0" borderId="2" xfId="0" applyFont="1" applyBorder="1" applyAlignment="1">
      <alignment horizontal="center" vertical="center" wrapText="1"/>
    </xf>
    <xf numFmtId="0" fontId="20" fillId="10" borderId="6" xfId="26" applyFont="1" applyFill="1" applyBorder="1" applyAlignment="1">
      <alignment horizontal="right" wrapText="1"/>
    </xf>
    <xf numFmtId="41" fontId="10" fillId="5" borderId="9" xfId="24" applyNumberFormat="1" applyFont="1" applyFill="1" applyBorder="1" applyAlignment="1" applyProtection="1">
      <alignment vertical="center"/>
      <protection locked="0"/>
    </xf>
    <xf numFmtId="0" fontId="11" fillId="10" borderId="2" xfId="0" applyFont="1" applyFill="1" applyBorder="1" applyAlignment="1" applyProtection="1">
      <alignment horizontal="left" vertical="center"/>
      <protection locked="0"/>
    </xf>
    <xf numFmtId="0" fontId="1" fillId="10" borderId="12" xfId="0" applyFont="1" applyFill="1" applyBorder="1" applyAlignment="1">
      <alignment horizontal="center" vertical="center" wrapText="1"/>
    </xf>
    <xf numFmtId="0" fontId="10" fillId="10" borderId="0" xfId="0" applyFont="1" applyFill="1" applyBorder="1" applyAlignment="1">
      <alignment horizontal="left" vertical="center" wrapText="1"/>
    </xf>
    <xf numFmtId="41" fontId="1" fillId="10" borderId="2" xfId="0" applyNumberFormat="1" applyFont="1" applyFill="1" applyBorder="1"/>
    <xf numFmtId="0" fontId="0" fillId="10" borderId="12" xfId="0" applyFill="1" applyBorder="1"/>
    <xf numFmtId="0" fontId="4" fillId="10" borderId="0" xfId="0" applyFont="1" applyFill="1" applyBorder="1" applyAlignment="1" applyProtection="1">
      <protection locked="0"/>
    </xf>
    <xf numFmtId="165" fontId="4" fillId="10" borderId="0" xfId="0" applyNumberFormat="1" applyFont="1" applyFill="1" applyBorder="1" applyAlignment="1" applyProtection="1">
      <protection locked="0"/>
    </xf>
    <xf numFmtId="0" fontId="8" fillId="10" borderId="0" xfId="0" applyFont="1" applyFill="1" applyBorder="1" applyAlignment="1" applyProtection="1">
      <alignment horizontal="center"/>
    </xf>
    <xf numFmtId="0" fontId="8" fillId="10" borderId="0" xfId="0" applyFont="1" applyFill="1" applyBorder="1" applyAlignment="1">
      <alignment horizontal="left" wrapText="1"/>
    </xf>
    <xf numFmtId="165" fontId="4" fillId="10" borderId="0" xfId="0" applyNumberFormat="1" applyFont="1" applyFill="1" applyBorder="1" applyAlignment="1" applyProtection="1">
      <alignment horizontal="center"/>
    </xf>
    <xf numFmtId="0" fontId="10" fillId="10" borderId="0" xfId="0" applyFont="1" applyFill="1" applyBorder="1" applyAlignment="1" applyProtection="1">
      <alignment horizontal="center" vertical="center" wrapText="1"/>
    </xf>
    <xf numFmtId="43" fontId="10" fillId="10" borderId="0" xfId="24" applyFont="1" applyFill="1" applyBorder="1" applyAlignment="1" applyProtection="1"/>
    <xf numFmtId="0" fontId="10" fillId="10" borderId="13" xfId="0" applyFont="1" applyFill="1" applyBorder="1" applyAlignment="1">
      <alignment horizontal="center" vertical="center" wrapText="1"/>
    </xf>
    <xf numFmtId="0" fontId="10" fillId="10" borderId="7" xfId="0" applyFont="1" applyFill="1" applyBorder="1" applyAlignment="1">
      <alignment vertical="center"/>
    </xf>
    <xf numFmtId="0" fontId="10" fillId="10" borderId="7" xfId="0" applyFont="1" applyFill="1" applyBorder="1"/>
    <xf numFmtId="0" fontId="26" fillId="10" borderId="0" xfId="0" applyFont="1" applyFill="1" applyBorder="1"/>
    <xf numFmtId="0" fontId="0" fillId="10" borderId="6" xfId="0" applyFill="1" applyBorder="1"/>
    <xf numFmtId="0" fontId="10" fillId="10" borderId="11" xfId="0" applyFont="1" applyFill="1" applyBorder="1" applyAlignment="1">
      <alignment vertical="center" wrapText="1"/>
    </xf>
    <xf numFmtId="0" fontId="1" fillId="10" borderId="0" xfId="0" applyFont="1" applyFill="1" applyBorder="1" applyAlignment="1">
      <alignment vertical="center" wrapText="1"/>
    </xf>
    <xf numFmtId="0" fontId="1" fillId="10" borderId="4" xfId="0" applyFont="1" applyFill="1" applyBorder="1" applyAlignment="1">
      <alignment vertical="center" wrapText="1"/>
    </xf>
    <xf numFmtId="0" fontId="1" fillId="10" borderId="0" xfId="26" applyFill="1"/>
    <xf numFmtId="0" fontId="15" fillId="0" borderId="7" xfId="13" applyBorder="1"/>
    <xf numFmtId="0" fontId="0" fillId="10" borderId="10" xfId="0" applyFill="1" applyBorder="1"/>
    <xf numFmtId="0" fontId="0" fillId="10" borderId="11" xfId="0" applyFill="1" applyBorder="1"/>
    <xf numFmtId="0" fontId="7" fillId="10" borderId="5" xfId="26" applyFont="1" applyFill="1" applyBorder="1" applyAlignment="1">
      <alignment horizontal="center" vertical="center" wrapText="1"/>
    </xf>
    <xf numFmtId="0" fontId="15" fillId="10" borderId="7" xfId="13" applyFill="1" applyBorder="1"/>
    <xf numFmtId="0" fontId="7" fillId="10" borderId="3" xfId="26" applyFont="1" applyFill="1" applyBorder="1" applyAlignment="1">
      <alignment horizontal="center" vertical="center" wrapText="1"/>
    </xf>
    <xf numFmtId="0" fontId="10" fillId="0" borderId="2" xfId="0" applyNumberFormat="1" applyFont="1" applyBorder="1" applyAlignment="1">
      <alignment horizontal="center" vertical="center" wrapText="1"/>
    </xf>
    <xf numFmtId="41" fontId="0" fillId="5" borderId="2" xfId="24" applyNumberFormat="1" applyFont="1" applyFill="1" applyBorder="1" applyAlignment="1" applyProtection="1">
      <alignment vertical="center"/>
      <protection locked="0"/>
    </xf>
    <xf numFmtId="0" fontId="11" fillId="10" borderId="2" xfId="0" applyFont="1" applyFill="1" applyBorder="1" applyAlignment="1" applyProtection="1">
      <alignment horizontal="left" wrapText="1"/>
    </xf>
    <xf numFmtId="0" fontId="28" fillId="10" borderId="0" xfId="0" applyFont="1" applyFill="1" applyBorder="1" applyAlignment="1" applyProtection="1">
      <alignment horizontal="right"/>
    </xf>
    <xf numFmtId="0" fontId="8" fillId="10" borderId="0" xfId="0" applyFont="1" applyFill="1" applyBorder="1" applyProtection="1"/>
    <xf numFmtId="0" fontId="10" fillId="10" borderId="0" xfId="0" quotePrefix="1" applyFont="1" applyFill="1" applyBorder="1" applyAlignment="1" applyProtection="1">
      <alignment horizontal="center" vertical="center"/>
    </xf>
    <xf numFmtId="0" fontId="10" fillId="10" borderId="12" xfId="0" quotePrefix="1" applyFont="1" applyFill="1" applyBorder="1" applyAlignment="1" applyProtection="1">
      <alignment horizontal="center"/>
    </xf>
    <xf numFmtId="0" fontId="1" fillId="10" borderId="6" xfId="0" applyFont="1" applyFill="1" applyBorder="1" applyAlignment="1">
      <alignment vertical="center" wrapText="1"/>
    </xf>
    <xf numFmtId="0" fontId="10" fillId="10" borderId="0"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0" fillId="10" borderId="13" xfId="0" applyFill="1" applyBorder="1"/>
    <xf numFmtId="0" fontId="10" fillId="10" borderId="3" xfId="0" applyFont="1" applyFill="1" applyBorder="1" applyAlignment="1">
      <alignment vertical="center" wrapText="1"/>
    </xf>
    <xf numFmtId="0" fontId="4" fillId="10" borderId="7" xfId="0" applyFont="1" applyFill="1" applyBorder="1" applyAlignment="1">
      <alignment vertical="center" wrapText="1"/>
    </xf>
    <xf numFmtId="0" fontId="10" fillId="10" borderId="7" xfId="0" quotePrefix="1" applyFont="1" applyFill="1" applyBorder="1" applyAlignment="1">
      <alignment horizontal="center" vertical="center" wrapText="1"/>
    </xf>
    <xf numFmtId="165" fontId="4" fillId="10" borderId="12" xfId="0" applyNumberFormat="1" applyFont="1" applyFill="1" applyBorder="1" applyAlignment="1" applyProtection="1">
      <protection locked="0"/>
    </xf>
    <xf numFmtId="0" fontId="1" fillId="10" borderId="6" xfId="26" applyFont="1" applyFill="1" applyBorder="1" applyAlignment="1">
      <alignment horizontal="center" wrapText="1"/>
    </xf>
    <xf numFmtId="0" fontId="11" fillId="10" borderId="8" xfId="0" applyFont="1" applyFill="1" applyBorder="1" applyAlignment="1">
      <alignment horizontal="left" vertical="top"/>
    </xf>
    <xf numFmtId="0" fontId="11" fillId="10" borderId="8" xfId="0" applyFont="1" applyFill="1" applyBorder="1" applyAlignment="1" applyProtection="1">
      <alignment horizontal="left" vertical="top" wrapText="1"/>
    </xf>
    <xf numFmtId="167" fontId="10" fillId="0" borderId="2" xfId="0" applyNumberFormat="1" applyFont="1" applyFill="1" applyBorder="1" applyAlignment="1" applyProtection="1">
      <alignment vertical="center"/>
      <protection locked="0"/>
    </xf>
    <xf numFmtId="0" fontId="10" fillId="10" borderId="8" xfId="0" applyFont="1" applyFill="1" applyBorder="1" applyAlignment="1" applyProtection="1">
      <alignment horizontal="left" vertical="center" wrapText="1"/>
    </xf>
    <xf numFmtId="167" fontId="10" fillId="0" borderId="9" xfId="0" applyNumberFormat="1" applyFont="1" applyFill="1" applyBorder="1" applyAlignment="1" applyProtection="1">
      <alignment vertical="center"/>
      <protection locked="0"/>
    </xf>
    <xf numFmtId="167" fontId="10" fillId="0" borderId="8" xfId="0" applyNumberFormat="1" applyFont="1" applyFill="1" applyBorder="1" applyAlignment="1" applyProtection="1">
      <alignment vertical="center"/>
      <protection locked="0"/>
    </xf>
    <xf numFmtId="167" fontId="10" fillId="0" borderId="2" xfId="0" applyNumberFormat="1" applyFont="1" applyFill="1" applyBorder="1" applyAlignment="1" applyProtection="1">
      <alignment vertical="center"/>
    </xf>
    <xf numFmtId="0" fontId="10" fillId="10" borderId="12" xfId="0" applyFont="1" applyFill="1" applyBorder="1" applyAlignment="1">
      <alignment horizontal="left" vertical="center"/>
    </xf>
    <xf numFmtId="0" fontId="11" fillId="10" borderId="12" xfId="0" applyFont="1" applyFill="1" applyBorder="1" applyAlignment="1">
      <alignment horizontal="left" vertical="top" wrapText="1"/>
    </xf>
    <xf numFmtId="167" fontId="10" fillId="0" borderId="12" xfId="0" applyNumberFormat="1" applyFont="1" applyFill="1" applyBorder="1" applyAlignment="1" applyProtection="1">
      <alignment vertical="center"/>
    </xf>
    <xf numFmtId="165" fontId="4" fillId="0" borderId="9" xfId="0" applyNumberFormat="1" applyFont="1" applyFill="1" applyBorder="1" applyAlignment="1" applyProtection="1">
      <alignment horizontal="center" wrapText="1"/>
      <protection locked="0"/>
    </xf>
    <xf numFmtId="165" fontId="4" fillId="0" borderId="1" xfId="0" applyNumberFormat="1" applyFont="1" applyFill="1" applyBorder="1" applyAlignment="1" applyProtection="1">
      <alignment vertical="top"/>
      <protection locked="0"/>
    </xf>
    <xf numFmtId="0" fontId="4" fillId="10" borderId="4" xfId="0" applyFont="1" applyFill="1" applyBorder="1" applyAlignment="1" applyProtection="1">
      <alignment horizontal="center" vertical="center"/>
      <protection locked="0"/>
    </xf>
    <xf numFmtId="165" fontId="4" fillId="10" borderId="4" xfId="0" applyNumberFormat="1" applyFont="1" applyFill="1" applyBorder="1" applyAlignment="1" applyProtection="1">
      <alignment horizontal="center" vertical="center"/>
      <protection locked="0"/>
    </xf>
    <xf numFmtId="0" fontId="7" fillId="10" borderId="0" xfId="14" applyFont="1" applyFill="1" applyBorder="1" applyAlignment="1">
      <alignment vertical="center"/>
    </xf>
    <xf numFmtId="0" fontId="7" fillId="10" borderId="0" xfId="14" applyFont="1" applyFill="1" applyBorder="1" applyAlignment="1">
      <alignment vertical="center" wrapText="1"/>
    </xf>
    <xf numFmtId="0" fontId="9" fillId="10" borderId="0" xfId="14" applyFont="1" applyFill="1" applyBorder="1"/>
    <xf numFmtId="0" fontId="9" fillId="10" borderId="3" xfId="14" applyFont="1" applyFill="1" applyBorder="1"/>
    <xf numFmtId="0" fontId="8" fillId="10" borderId="10" xfId="14" applyFont="1" applyFill="1" applyBorder="1" applyAlignment="1">
      <alignment vertical="center"/>
    </xf>
    <xf numFmtId="0" fontId="9" fillId="10" borderId="12" xfId="14" applyFont="1" applyFill="1" applyBorder="1"/>
    <xf numFmtId="0" fontId="9" fillId="10" borderId="11" xfId="14" applyFont="1" applyFill="1" applyBorder="1" applyAlignment="1">
      <alignment horizontal="center"/>
    </xf>
    <xf numFmtId="0" fontId="10" fillId="10" borderId="0" xfId="14" applyFont="1" applyFill="1" applyBorder="1" applyAlignment="1">
      <alignment vertical="center"/>
    </xf>
    <xf numFmtId="0" fontId="10" fillId="10" borderId="0" xfId="14" applyFont="1" applyFill="1" applyBorder="1"/>
    <xf numFmtId="0" fontId="1" fillId="10" borderId="0" xfId="14" applyFont="1" applyFill="1" applyBorder="1"/>
    <xf numFmtId="0" fontId="0" fillId="11" borderId="0" xfId="0" applyFill="1"/>
    <xf numFmtId="0" fontId="0" fillId="10" borderId="28" xfId="0" applyFill="1" applyBorder="1"/>
    <xf numFmtId="0" fontId="0" fillId="10" borderId="23" xfId="0" applyFill="1" applyBorder="1"/>
    <xf numFmtId="0" fontId="0" fillId="10" borderId="24" xfId="0" applyFill="1" applyBorder="1"/>
    <xf numFmtId="44" fontId="0" fillId="0" borderId="0" xfId="0" applyNumberFormat="1" applyFill="1" applyBorder="1" applyAlignment="1">
      <alignment horizontal="center"/>
    </xf>
    <xf numFmtId="1" fontId="0" fillId="0" borderId="26" xfId="0" applyNumberFormat="1" applyBorder="1" applyAlignment="1">
      <alignment horizontal="right" wrapText="1"/>
    </xf>
    <xf numFmtId="1" fontId="0" fillId="0" borderId="26" xfId="0" applyNumberFormat="1" applyFill="1" applyBorder="1" applyAlignment="1">
      <alignment horizontal="right" wrapText="1"/>
    </xf>
    <xf numFmtId="0" fontId="0" fillId="10" borderId="27" xfId="0" applyFill="1" applyBorder="1"/>
    <xf numFmtId="165" fontId="0" fillId="10" borderId="6" xfId="0" applyNumberFormat="1" applyFill="1" applyBorder="1" applyAlignment="1">
      <alignment horizontal="right"/>
    </xf>
    <xf numFmtId="165" fontId="0" fillId="10" borderId="6" xfId="0" applyNumberFormat="1" applyFill="1" applyBorder="1"/>
    <xf numFmtId="0" fontId="1" fillId="10" borderId="28" xfId="0" applyFont="1" applyFill="1" applyBorder="1" applyAlignment="1">
      <alignment vertical="center" wrapText="1"/>
    </xf>
    <xf numFmtId="165" fontId="0" fillId="10" borderId="28" xfId="0" applyNumberFormat="1" applyFill="1" applyBorder="1" applyAlignment="1">
      <alignment horizontal="right"/>
    </xf>
    <xf numFmtId="165" fontId="0" fillId="10" borderId="28" xfId="0" applyNumberFormat="1" applyFill="1" applyBorder="1"/>
    <xf numFmtId="0" fontId="1" fillId="0" borderId="2" xfId="0" applyFont="1" applyBorder="1" applyAlignment="1">
      <alignment horizontal="center"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165" fontId="1" fillId="0" borderId="9" xfId="26" applyNumberFormat="1" applyBorder="1" applyAlignment="1">
      <alignment horizontal="right"/>
    </xf>
    <xf numFmtId="165" fontId="1" fillId="0" borderId="9" xfId="26" applyNumberFormat="1" applyBorder="1"/>
    <xf numFmtId="1" fontId="15" fillId="10" borderId="2" xfId="13" applyNumberFormat="1" applyFill="1" applyBorder="1"/>
    <xf numFmtId="1" fontId="15" fillId="0" borderId="2" xfId="13" applyNumberFormat="1" applyBorder="1"/>
    <xf numFmtId="0" fontId="15" fillId="10" borderId="14" xfId="13" applyFill="1" applyBorder="1" applyAlignment="1">
      <alignment horizontal="center" wrapText="1"/>
    </xf>
    <xf numFmtId="0" fontId="15" fillId="10" borderId="10" xfId="13" applyFill="1" applyBorder="1" applyAlignment="1">
      <alignment horizontal="center" wrapText="1"/>
    </xf>
    <xf numFmtId="0" fontId="7" fillId="10" borderId="15" xfId="26" applyFont="1" applyFill="1" applyBorder="1" applyAlignment="1">
      <alignment horizontal="center" vertical="center" wrapText="1"/>
    </xf>
    <xf numFmtId="0" fontId="1" fillId="0" borderId="25" xfId="0" applyFont="1" applyBorder="1" applyAlignment="1">
      <alignment wrapText="1"/>
    </xf>
    <xf numFmtId="0" fontId="10" fillId="0" borderId="6" xfId="0" applyFont="1" applyFill="1" applyBorder="1" applyAlignment="1">
      <alignment horizontal="center" vertical="center" wrapText="1"/>
    </xf>
    <xf numFmtId="165" fontId="4" fillId="0" borderId="9" xfId="0" applyNumberFormat="1" applyFont="1" applyFill="1" applyBorder="1" applyAlignment="1" applyProtection="1">
      <alignment horizontal="center" wrapText="1"/>
      <protection locked="0"/>
    </xf>
    <xf numFmtId="165" fontId="4" fillId="0" borderId="9" xfId="0" applyNumberFormat="1" applyFont="1" applyFill="1" applyBorder="1" applyAlignment="1" applyProtection="1">
      <alignment horizontal="center" wrapText="1"/>
    </xf>
    <xf numFmtId="0" fontId="28" fillId="0" borderId="0" xfId="0" applyFont="1" applyBorder="1" applyAlignment="1">
      <alignment horizontal="center" vertical="center" wrapText="1"/>
    </xf>
    <xf numFmtId="0" fontId="28" fillId="10" borderId="6" xfId="0" applyFont="1" applyFill="1" applyBorder="1" applyAlignment="1">
      <alignment horizontal="center" vertical="center" wrapText="1"/>
    </xf>
    <xf numFmtId="0" fontId="28" fillId="10" borderId="0" xfId="0" applyFont="1" applyFill="1" applyBorder="1" applyAlignment="1">
      <alignment horizontal="center" vertical="center" wrapText="1"/>
    </xf>
    <xf numFmtId="0" fontId="1" fillId="10" borderId="0" xfId="0" applyFont="1" applyFill="1" applyAlignment="1"/>
    <xf numFmtId="41" fontId="1" fillId="10" borderId="4" xfId="0" applyNumberFormat="1" applyFont="1" applyFill="1" applyBorder="1"/>
    <xf numFmtId="0" fontId="11" fillId="10" borderId="4" xfId="0" applyFont="1" applyFill="1" applyBorder="1" applyAlignment="1" applyProtection="1">
      <alignment horizontal="left" vertical="center"/>
      <protection locked="0"/>
    </xf>
    <xf numFmtId="0" fontId="1" fillId="10" borderId="13" xfId="0" applyFont="1" applyFill="1" applyBorder="1" applyAlignment="1"/>
    <xf numFmtId="165" fontId="4" fillId="0" borderId="2" xfId="0" applyNumberFormat="1" applyFont="1" applyFill="1" applyBorder="1" applyAlignment="1" applyProtection="1">
      <alignment horizontal="center" wrapText="1"/>
      <protection locked="0"/>
    </xf>
    <xf numFmtId="0" fontId="8" fillId="10" borderId="0" xfId="0" quotePrefix="1" applyFont="1" applyFill="1" applyAlignment="1">
      <alignment horizontal="center" vertical="center"/>
    </xf>
    <xf numFmtId="0" fontId="10" fillId="0" borderId="7" xfId="0" quotePrefix="1" applyFont="1" applyFill="1" applyBorder="1" applyAlignment="1">
      <alignment horizontal="center"/>
    </xf>
    <xf numFmtId="41" fontId="10" fillId="10" borderId="9" xfId="24" applyNumberFormat="1" applyFont="1" applyFill="1" applyBorder="1" applyAlignment="1" applyProtection="1">
      <protection locked="0"/>
    </xf>
    <xf numFmtId="41" fontId="10" fillId="0" borderId="2" xfId="24" applyNumberFormat="1" applyFont="1" applyFill="1" applyBorder="1" applyAlignment="1" applyProtection="1">
      <alignment vertical="center"/>
    </xf>
    <xf numFmtId="41" fontId="1" fillId="0" borderId="9" xfId="0" applyNumberFormat="1" applyFont="1" applyBorder="1" applyProtection="1"/>
    <xf numFmtId="0" fontId="10" fillId="10" borderId="8" xfId="26" applyFont="1" applyFill="1" applyBorder="1" applyAlignment="1">
      <alignment vertical="center" wrapText="1"/>
    </xf>
    <xf numFmtId="0" fontId="9" fillId="10" borderId="9" xfId="14" applyFont="1" applyFill="1" applyBorder="1"/>
    <xf numFmtId="0" fontId="1" fillId="10" borderId="0" xfId="14" applyFont="1" applyFill="1" applyBorder="1" applyAlignment="1">
      <alignment vertical="center"/>
    </xf>
    <xf numFmtId="0" fontId="19" fillId="10" borderId="0" xfId="14" quotePrefix="1" applyFont="1" applyFill="1" applyBorder="1" applyAlignment="1" applyProtection="1">
      <alignment horizontal="left" vertical="top" wrapText="1"/>
    </xf>
    <xf numFmtId="167" fontId="1" fillId="10" borderId="0" xfId="14" applyNumberFormat="1" applyFont="1" applyFill="1" applyBorder="1" applyAlignment="1" applyProtection="1">
      <alignment vertical="center"/>
    </xf>
    <xf numFmtId="165" fontId="4" fillId="10" borderId="12" xfId="0" applyNumberFormat="1" applyFont="1" applyFill="1" applyBorder="1" applyAlignment="1" applyProtection="1">
      <alignment horizontal="center"/>
      <protection locked="0"/>
    </xf>
    <xf numFmtId="165" fontId="10" fillId="0" borderId="8" xfId="0" applyNumberFormat="1" applyFont="1" applyFill="1" applyBorder="1" applyAlignment="1" applyProtection="1">
      <alignment horizontal="center"/>
    </xf>
    <xf numFmtId="165" fontId="10" fillId="0" borderId="2" xfId="0" applyNumberFormat="1" applyFont="1" applyFill="1" applyBorder="1" applyAlignment="1" applyProtection="1">
      <alignment horizontal="center"/>
    </xf>
    <xf numFmtId="43" fontId="10" fillId="0" borderId="2" xfId="24" applyFont="1" applyFill="1" applyBorder="1" applyAlignment="1" applyProtection="1">
      <alignment horizontal="center"/>
    </xf>
    <xf numFmtId="0" fontId="8" fillId="0" borderId="2" xfId="0" applyFont="1" applyBorder="1" applyAlignment="1">
      <alignment horizontal="center" wrapText="1"/>
    </xf>
    <xf numFmtId="0" fontId="1" fillId="10" borderId="6" xfId="0" applyFont="1" applyFill="1" applyBorder="1" applyAlignment="1">
      <alignment horizontal="center"/>
    </xf>
    <xf numFmtId="43" fontId="10" fillId="0" borderId="8" xfId="24" applyFont="1" applyFill="1" applyBorder="1" applyAlignment="1" applyProtection="1">
      <alignment horizontal="center"/>
    </xf>
    <xf numFmtId="165" fontId="4" fillId="10" borderId="0" xfId="0" applyNumberFormat="1" applyFont="1" applyFill="1" applyBorder="1" applyAlignment="1" applyProtection="1">
      <alignment horizontal="center"/>
      <protection locked="0"/>
    </xf>
    <xf numFmtId="0" fontId="4" fillId="10" borderId="0" xfId="0" applyFont="1" applyFill="1" applyBorder="1" applyAlignment="1" applyProtection="1">
      <alignment horizontal="center"/>
      <protection locked="0"/>
    </xf>
    <xf numFmtId="0" fontId="18" fillId="10" borderId="7" xfId="0" applyFont="1" applyFill="1" applyBorder="1"/>
    <xf numFmtId="165" fontId="26" fillId="10" borderId="0" xfId="0" applyNumberFormat="1" applyFont="1" applyFill="1" applyBorder="1"/>
    <xf numFmtId="41" fontId="10" fillId="10" borderId="2" xfId="0" applyNumberFormat="1" applyFont="1" applyFill="1" applyBorder="1" applyAlignment="1" applyProtection="1"/>
    <xf numFmtId="41" fontId="10" fillId="10" borderId="2" xfId="24" applyNumberFormat="1" applyFont="1" applyFill="1" applyBorder="1" applyAlignment="1" applyProtection="1">
      <alignment horizontal="center" vertical="center"/>
    </xf>
    <xf numFmtId="41" fontId="1" fillId="0" borderId="2" xfId="0" applyNumberFormat="1" applyFont="1" applyBorder="1" applyAlignment="1">
      <alignment horizontal="right"/>
    </xf>
    <xf numFmtId="0" fontId="1" fillId="10" borderId="10" xfId="0" applyFont="1" applyFill="1" applyBorder="1"/>
    <xf numFmtId="0" fontId="1" fillId="10" borderId="11" xfId="0" applyFont="1" applyFill="1" applyBorder="1"/>
    <xf numFmtId="0" fontId="1" fillId="10" borderId="12" xfId="0" applyFont="1" applyFill="1" applyBorder="1"/>
    <xf numFmtId="0" fontId="4" fillId="10" borderId="8" xfId="0" applyFont="1" applyFill="1" applyBorder="1" applyAlignment="1">
      <alignment horizontal="center" vertical="center"/>
    </xf>
    <xf numFmtId="0" fontId="1" fillId="10" borderId="8" xfId="0" applyFont="1" applyFill="1" applyBorder="1"/>
    <xf numFmtId="0" fontId="4" fillId="10" borderId="12" xfId="0" applyFont="1" applyFill="1" applyBorder="1" applyAlignment="1">
      <alignment horizontal="center" vertical="center"/>
    </xf>
    <xf numFmtId="0" fontId="10" fillId="10" borderId="8" xfId="0" applyFont="1" applyFill="1" applyBorder="1" applyAlignment="1">
      <alignment horizontal="center" vertical="center"/>
    </xf>
    <xf numFmtId="0" fontId="10" fillId="10" borderId="12" xfId="0" applyFont="1" applyFill="1" applyBorder="1" applyAlignment="1">
      <alignment horizontal="center" vertical="center"/>
    </xf>
    <xf numFmtId="0" fontId="4" fillId="10" borderId="2" xfId="0" applyFont="1" applyFill="1" applyBorder="1" applyAlignment="1">
      <alignment horizontal="center" vertical="center" wrapText="1"/>
    </xf>
    <xf numFmtId="165" fontId="4" fillId="10" borderId="8" xfId="0" applyNumberFormat="1" applyFont="1" applyFill="1" applyBorder="1" applyAlignment="1" applyProtection="1">
      <alignment horizontal="center"/>
      <protection locked="0"/>
    </xf>
    <xf numFmtId="165" fontId="4" fillId="10" borderId="8" xfId="0" applyNumberFormat="1" applyFont="1" applyFill="1" applyBorder="1" applyAlignment="1" applyProtection="1">
      <protection locked="0"/>
    </xf>
    <xf numFmtId="165" fontId="4" fillId="10" borderId="9" xfId="0" applyNumberFormat="1" applyFont="1" applyFill="1" applyBorder="1" applyAlignment="1" applyProtection="1">
      <alignment wrapText="1"/>
      <protection locked="0"/>
    </xf>
    <xf numFmtId="0" fontId="10" fillId="10" borderId="0" xfId="0" applyFont="1" applyFill="1" applyAlignment="1">
      <alignment vertical="center"/>
    </xf>
    <xf numFmtId="0" fontId="0" fillId="10" borderId="0" xfId="0" applyFill="1"/>
    <xf numFmtId="0" fontId="22" fillId="10" borderId="0" xfId="0" applyFont="1" applyFill="1" applyBorder="1" applyAlignment="1">
      <alignment vertical="center" wrapText="1"/>
    </xf>
    <xf numFmtId="167" fontId="25" fillId="10" borderId="0" xfId="0" applyNumberFormat="1" applyFont="1" applyFill="1" applyAlignment="1">
      <alignment vertical="center"/>
    </xf>
    <xf numFmtId="0" fontId="1" fillId="0" borderId="1" xfId="14" applyFont="1" applyBorder="1" applyAlignment="1">
      <alignment wrapText="1"/>
    </xf>
    <xf numFmtId="0" fontId="0" fillId="0" borderId="9" xfId="0" applyBorder="1" applyAlignment="1">
      <alignment wrapText="1"/>
    </xf>
    <xf numFmtId="0" fontId="0" fillId="0" borderId="8" xfId="0" applyBorder="1" applyAlignment="1">
      <alignment wrapText="1"/>
    </xf>
    <xf numFmtId="0" fontId="0" fillId="0" borderId="9" xfId="0" applyBorder="1" applyAlignment="1"/>
    <xf numFmtId="0" fontId="1" fillId="0" borderId="1" xfId="14" applyFont="1" applyFill="1" applyBorder="1" applyAlignment="1">
      <alignment wrapText="1"/>
    </xf>
    <xf numFmtId="0" fontId="0" fillId="0" borderId="8" xfId="0" applyFill="1" applyBorder="1" applyAlignment="1">
      <alignment wrapText="1"/>
    </xf>
    <xf numFmtId="0" fontId="0" fillId="0" borderId="9" xfId="0" applyFill="1" applyBorder="1" applyAlignment="1"/>
    <xf numFmtId="0" fontId="16" fillId="10" borderId="1" xfId="14" applyFont="1" applyFill="1" applyBorder="1" applyAlignment="1">
      <alignment horizontal="left" vertical="center"/>
    </xf>
    <xf numFmtId="0" fontId="16" fillId="10" borderId="8" xfId="14" applyFont="1" applyFill="1" applyBorder="1" applyAlignment="1">
      <alignment horizontal="left" vertical="center"/>
    </xf>
    <xf numFmtId="0" fontId="18" fillId="10" borderId="1" xfId="0" applyFont="1" applyFill="1" applyBorder="1" applyAlignment="1" applyProtection="1">
      <alignment horizontal="center" vertical="center" wrapText="1"/>
    </xf>
    <xf numFmtId="0" fontId="18" fillId="10" borderId="8" xfId="0" applyFont="1" applyFill="1" applyBorder="1" applyAlignment="1" applyProtection="1">
      <alignment horizontal="center" vertical="center" wrapText="1"/>
    </xf>
    <xf numFmtId="0" fontId="18" fillId="10" borderId="9" xfId="0" applyFont="1" applyFill="1" applyBorder="1" applyAlignment="1" applyProtection="1">
      <alignment horizontal="center" vertical="center" wrapText="1"/>
    </xf>
    <xf numFmtId="0" fontId="1" fillId="10" borderId="9" xfId="14" applyFont="1" applyFill="1" applyBorder="1" applyAlignment="1">
      <alignment horizontal="center" vertical="center" wrapText="1"/>
    </xf>
    <xf numFmtId="0" fontId="1" fillId="10" borderId="2" xfId="14" applyFont="1" applyFill="1" applyBorder="1" applyAlignment="1">
      <alignment horizontal="center" vertical="center" wrapText="1"/>
    </xf>
    <xf numFmtId="0" fontId="1" fillId="10" borderId="2" xfId="14" applyFont="1" applyFill="1" applyBorder="1" applyAlignment="1">
      <alignment horizontal="center" vertical="center"/>
    </xf>
    <xf numFmtId="0" fontId="12" fillId="10" borderId="4" xfId="14" applyFont="1" applyFill="1" applyBorder="1" applyAlignment="1">
      <alignment horizontal="right" vertical="center"/>
    </xf>
    <xf numFmtId="0" fontId="12" fillId="10" borderId="5" xfId="14" applyFont="1" applyFill="1" applyBorder="1" applyAlignment="1">
      <alignment horizontal="right" vertical="center"/>
    </xf>
    <xf numFmtId="0" fontId="16" fillId="0" borderId="2" xfId="14" applyFont="1" applyBorder="1" applyAlignment="1">
      <alignment horizontal="left" vertical="center"/>
    </xf>
    <xf numFmtId="0" fontId="16" fillId="10" borderId="2" xfId="14" applyFont="1" applyFill="1" applyBorder="1" applyAlignment="1">
      <alignment horizontal="left" vertical="center"/>
    </xf>
    <xf numFmtId="0" fontId="10" fillId="0" borderId="1"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8" fillId="10" borderId="1" xfId="0" applyFont="1" applyFill="1" applyBorder="1" applyAlignment="1">
      <alignment horizontal="right"/>
    </xf>
    <xf numFmtId="0" fontId="28" fillId="0" borderId="8" xfId="0" applyFont="1" applyBorder="1" applyAlignment="1">
      <alignment horizontal="right"/>
    </xf>
    <xf numFmtId="43" fontId="29" fillId="10" borderId="10" xfId="24" applyFont="1" applyFill="1" applyBorder="1" applyAlignment="1" applyProtection="1">
      <alignment horizontal="center" vertical="center"/>
      <protection locked="0"/>
    </xf>
    <xf numFmtId="0" fontId="0" fillId="10" borderId="11" xfId="0" applyFill="1" applyBorder="1" applyAlignment="1">
      <alignment horizontal="center" vertical="center"/>
    </xf>
    <xf numFmtId="0" fontId="4" fillId="10" borderId="10" xfId="0" applyFont="1" applyFill="1" applyBorder="1" applyAlignment="1">
      <alignment horizontal="center"/>
    </xf>
    <xf numFmtId="0" fontId="4" fillId="0" borderId="11" xfId="0" applyFont="1" applyBorder="1" applyAlignment="1">
      <alignment horizontal="center"/>
    </xf>
    <xf numFmtId="0" fontId="10" fillId="0" borderId="2"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4" fillId="10" borderId="6" xfId="0" applyFont="1" applyFill="1" applyBorder="1" applyAlignment="1">
      <alignment horizontal="center" vertical="top" wrapText="1"/>
    </xf>
    <xf numFmtId="0" fontId="16" fillId="10" borderId="11" xfId="0" applyFont="1" applyFill="1" applyBorder="1" applyAlignment="1">
      <alignment horizontal="center" vertical="top" wrapText="1"/>
    </xf>
    <xf numFmtId="0" fontId="4" fillId="10" borderId="11" xfId="0" applyFont="1" applyFill="1" applyBorder="1" applyAlignment="1">
      <alignment horizontal="center" vertical="top" wrapText="1"/>
    </xf>
    <xf numFmtId="0" fontId="16" fillId="0" borderId="3" xfId="0" applyFont="1" applyFill="1" applyBorder="1" applyAlignment="1">
      <alignment horizontal="center" wrapText="1"/>
    </xf>
    <xf numFmtId="0" fontId="16" fillId="0" borderId="5" xfId="0" applyFont="1" applyFill="1" applyBorder="1" applyAlignment="1">
      <alignment horizontal="center" wrapText="1"/>
    </xf>
    <xf numFmtId="0" fontId="16" fillId="0" borderId="3" xfId="0" applyFont="1" applyBorder="1" applyAlignment="1">
      <alignment horizontal="center" wrapText="1"/>
    </xf>
    <xf numFmtId="0" fontId="16" fillId="0" borderId="5" xfId="0" applyFont="1" applyBorder="1" applyAlignment="1">
      <alignment horizontal="center" wrapText="1"/>
    </xf>
    <xf numFmtId="0" fontId="16" fillId="10" borderId="3" xfId="0" applyFont="1" applyFill="1" applyBorder="1" applyAlignment="1">
      <alignment horizontal="center" wrapText="1"/>
    </xf>
    <xf numFmtId="0" fontId="16" fillId="10" borderId="5" xfId="0" applyFont="1" applyFill="1" applyBorder="1" applyAlignment="1">
      <alignment horizontal="center" wrapText="1"/>
    </xf>
    <xf numFmtId="0" fontId="10" fillId="0" borderId="2"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4" fillId="0" borderId="1" xfId="0" applyFont="1" applyBorder="1" applyAlignment="1">
      <alignment horizontal="center" wrapText="1"/>
    </xf>
    <xf numFmtId="0" fontId="4" fillId="0" borderId="9" xfId="0" applyFont="1" applyBorder="1" applyAlignment="1">
      <alignment horizontal="center" wrapText="1"/>
    </xf>
    <xf numFmtId="165" fontId="10" fillId="0" borderId="1"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0" fontId="28" fillId="10" borderId="3"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28" fillId="10" borderId="5" xfId="0" applyFont="1" applyFill="1" applyBorder="1" applyAlignment="1">
      <alignment horizontal="center" vertical="center" wrapText="1"/>
    </xf>
    <xf numFmtId="0" fontId="8" fillId="0" borderId="2" xfId="0" applyFont="1" applyBorder="1" applyAlignment="1">
      <alignment horizontal="center" wrapText="1"/>
    </xf>
    <xf numFmtId="165" fontId="4" fillId="0" borderId="1" xfId="0" applyNumberFormat="1" applyFont="1" applyFill="1" applyBorder="1" applyAlignment="1" applyProtection="1">
      <alignment horizontal="center"/>
      <protection locked="0"/>
    </xf>
    <xf numFmtId="165" fontId="4" fillId="0" borderId="9" xfId="0" applyNumberFormat="1" applyFont="1" applyFill="1" applyBorder="1" applyAlignment="1" applyProtection="1">
      <alignment horizontal="center"/>
      <protection locked="0"/>
    </xf>
    <xf numFmtId="0" fontId="16" fillId="9" borderId="27"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28" xfId="0" applyFont="1" applyFill="1" applyBorder="1" applyAlignment="1">
      <alignment horizontal="center" vertical="center" wrapText="1"/>
    </xf>
    <xf numFmtId="1" fontId="8" fillId="6" borderId="22" xfId="26" applyNumberFormat="1" applyFont="1" applyFill="1" applyBorder="1" applyAlignment="1" applyProtection="1">
      <alignment horizontal="center"/>
      <protection locked="0"/>
    </xf>
    <xf numFmtId="1" fontId="8" fillId="6" borderId="23" xfId="26" applyNumberFormat="1" applyFont="1" applyFill="1" applyBorder="1" applyAlignment="1" applyProtection="1">
      <alignment horizontal="center"/>
      <protection locked="0"/>
    </xf>
    <xf numFmtId="1" fontId="8" fillId="6" borderId="24" xfId="26" applyNumberFormat="1" applyFont="1" applyFill="1" applyBorder="1" applyAlignment="1" applyProtection="1">
      <alignment horizontal="center"/>
      <protection locked="0"/>
    </xf>
    <xf numFmtId="0" fontId="28" fillId="0" borderId="1" xfId="0" applyFont="1" applyBorder="1" applyAlignment="1" applyProtection="1">
      <alignment horizontal="right"/>
    </xf>
    <xf numFmtId="0" fontId="28" fillId="0" borderId="8" xfId="0" applyFont="1" applyBorder="1" applyAlignment="1" applyProtection="1">
      <alignment horizontal="right"/>
    </xf>
    <xf numFmtId="0" fontId="28" fillId="0" borderId="9" xfId="0" applyFont="1" applyBorder="1" applyAlignment="1" applyProtection="1">
      <alignment horizontal="right"/>
    </xf>
    <xf numFmtId="165" fontId="4" fillId="0" borderId="2" xfId="0" applyNumberFormat="1" applyFont="1" applyFill="1" applyBorder="1" applyAlignment="1" applyProtection="1">
      <alignment horizontal="center"/>
      <protection locked="0"/>
    </xf>
    <xf numFmtId="0" fontId="10" fillId="10" borderId="1" xfId="0" applyFont="1" applyFill="1" applyBorder="1" applyAlignment="1">
      <alignment horizontal="left" vertical="center"/>
    </xf>
    <xf numFmtId="0" fontId="10" fillId="10" borderId="8" xfId="0" applyFont="1" applyFill="1" applyBorder="1" applyAlignment="1">
      <alignment horizontal="left" vertical="center"/>
    </xf>
    <xf numFmtId="0" fontId="0" fillId="10" borderId="6" xfId="0" applyFill="1" applyBorder="1" applyAlignment="1">
      <alignment horizontal="center"/>
    </xf>
    <xf numFmtId="0" fontId="0" fillId="10" borderId="0" xfId="0" applyFill="1" applyBorder="1" applyAlignment="1">
      <alignment horizontal="center"/>
    </xf>
    <xf numFmtId="0" fontId="0" fillId="10" borderId="7" xfId="0" applyFill="1" applyBorder="1" applyAlignment="1">
      <alignment horizontal="center"/>
    </xf>
    <xf numFmtId="0" fontId="10" fillId="10" borderId="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9" fontId="10" fillId="0" borderId="1" xfId="25" applyFont="1" applyFill="1" applyBorder="1" applyAlignment="1" applyProtection="1">
      <alignment horizontal="center"/>
    </xf>
    <xf numFmtId="9" fontId="10" fillId="0" borderId="8" xfId="25" applyFont="1" applyFill="1" applyBorder="1" applyAlignment="1" applyProtection="1">
      <alignment horizontal="center"/>
    </xf>
    <xf numFmtId="9" fontId="10" fillId="0" borderId="9" xfId="25" applyFont="1" applyFill="1" applyBorder="1" applyAlignment="1" applyProtection="1">
      <alignment horizontal="center"/>
    </xf>
    <xf numFmtId="0" fontId="16" fillId="9" borderId="17" xfId="0" applyFont="1" applyFill="1" applyBorder="1" applyAlignment="1">
      <alignment horizontal="center" wrapText="1"/>
    </xf>
    <xf numFmtId="0" fontId="16" fillId="9" borderId="16" xfId="0" applyFont="1" applyFill="1" applyBorder="1" applyAlignment="1">
      <alignment horizontal="center" wrapText="1"/>
    </xf>
    <xf numFmtId="0" fontId="16" fillId="9" borderId="18" xfId="0" applyFont="1" applyFill="1" applyBorder="1" applyAlignment="1">
      <alignment horizontal="center" wrapText="1"/>
    </xf>
    <xf numFmtId="0" fontId="1" fillId="10" borderId="0" xfId="0" applyFont="1" applyFill="1" applyBorder="1" applyAlignment="1">
      <alignment horizontal="left"/>
    </xf>
    <xf numFmtId="165" fontId="4" fillId="0" borderId="1" xfId="0" applyNumberFormat="1" applyFont="1" applyFill="1" applyBorder="1" applyAlignment="1" applyProtection="1">
      <alignment horizontal="center" wrapText="1"/>
      <protection locked="0"/>
    </xf>
    <xf numFmtId="165" fontId="4" fillId="0" borderId="9" xfId="0" applyNumberFormat="1" applyFont="1" applyFill="1" applyBorder="1" applyAlignment="1" applyProtection="1">
      <alignment horizontal="center" wrapText="1"/>
      <protection locked="0"/>
    </xf>
    <xf numFmtId="43" fontId="10" fillId="0" borderId="2" xfId="24" applyFont="1" applyFill="1" applyBorder="1" applyAlignment="1" applyProtection="1">
      <alignment horizontal="center"/>
    </xf>
    <xf numFmtId="165" fontId="4" fillId="0" borderId="8" xfId="0" applyNumberFormat="1" applyFont="1" applyFill="1" applyBorder="1" applyAlignment="1" applyProtection="1">
      <alignment horizontal="center"/>
      <protection locked="0"/>
    </xf>
    <xf numFmtId="8" fontId="10" fillId="0" borderId="2" xfId="0" applyNumberFormat="1" applyFont="1" applyFill="1" applyBorder="1" applyAlignment="1" applyProtection="1">
      <alignment horizont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65" fontId="10" fillId="0" borderId="8" xfId="0" applyNumberFormat="1" applyFont="1" applyFill="1" applyBorder="1" applyAlignment="1" applyProtection="1">
      <alignment horizontal="center"/>
    </xf>
    <xf numFmtId="165" fontId="4" fillId="0" borderId="2" xfId="0" applyNumberFormat="1" applyFont="1" applyFill="1" applyBorder="1" applyAlignment="1" applyProtection="1">
      <alignment horizontal="left" vertical="center" wrapText="1"/>
      <protection locked="0"/>
    </xf>
    <xf numFmtId="165" fontId="10" fillId="0" borderId="2" xfId="0" applyNumberFormat="1" applyFont="1" applyFill="1" applyBorder="1" applyAlignment="1" applyProtection="1">
      <alignment horizontal="center"/>
    </xf>
    <xf numFmtId="165" fontId="4" fillId="0" borderId="2" xfId="0" applyNumberFormat="1" applyFont="1" applyFill="1" applyBorder="1" applyAlignment="1" applyProtection="1">
      <alignment horizontal="center" vertical="center"/>
      <protection locked="0"/>
    </xf>
    <xf numFmtId="165" fontId="4" fillId="0" borderId="1" xfId="0" applyNumberFormat="1" applyFont="1" applyFill="1" applyBorder="1" applyAlignment="1" applyProtection="1">
      <alignment horizontal="center" vertical="center"/>
      <protection locked="0"/>
    </xf>
    <xf numFmtId="165" fontId="4" fillId="0" borderId="8" xfId="0" applyNumberFormat="1" applyFont="1" applyFill="1" applyBorder="1" applyAlignment="1" applyProtection="1">
      <alignment horizontal="center" vertical="center"/>
      <protection locked="0"/>
    </xf>
    <xf numFmtId="165" fontId="4" fillId="0" borderId="9"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165" fontId="4" fillId="0" borderId="2" xfId="0" applyNumberFormat="1" applyFont="1" applyFill="1" applyBorder="1" applyAlignment="1" applyProtection="1">
      <alignment horizontal="center" vertical="center" wrapText="1"/>
      <protection locked="0"/>
    </xf>
    <xf numFmtId="0" fontId="28" fillId="0" borderId="3" xfId="0" applyFont="1" applyFill="1" applyBorder="1" applyAlignment="1"/>
    <xf numFmtId="0" fontId="28" fillId="0" borderId="4" xfId="0" applyFont="1" applyBorder="1" applyAlignment="1"/>
    <xf numFmtId="0" fontId="28" fillId="0" borderId="5" xfId="0" applyFont="1" applyBorder="1" applyAlignment="1"/>
    <xf numFmtId="165" fontId="10" fillId="0" borderId="1"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0" borderId="13" xfId="0" quotePrefix="1" applyFont="1" applyFill="1" applyBorder="1" applyAlignment="1">
      <alignment horizontal="center" vertical="center"/>
    </xf>
    <xf numFmtId="0" fontId="0" fillId="0" borderId="14" xfId="0" applyBorder="1" applyAlignment="1">
      <alignment horizontal="center" vertical="center"/>
    </xf>
    <xf numFmtId="165" fontId="10" fillId="0" borderId="1" xfId="0" applyNumberFormat="1" applyFont="1" applyFill="1" applyBorder="1" applyAlignment="1">
      <alignment horizontal="center" vertical="center"/>
    </xf>
    <xf numFmtId="0" fontId="0" fillId="0" borderId="9" xfId="0" applyBorder="1" applyAlignment="1">
      <alignment horizontal="center" vertical="center"/>
    </xf>
    <xf numFmtId="9" fontId="10" fillId="0" borderId="1" xfId="0" applyNumberFormat="1" applyFont="1" applyFill="1" applyBorder="1" applyAlignment="1">
      <alignment horizontal="center" vertical="center"/>
    </xf>
    <xf numFmtId="9" fontId="0" fillId="0" borderId="9" xfId="0" applyNumberFormat="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9" xfId="0" applyFont="1" applyBorder="1" applyAlignment="1">
      <alignment horizontal="center" vertical="center"/>
    </xf>
    <xf numFmtId="0" fontId="4" fillId="0" borderId="1"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165" fontId="4" fillId="10" borderId="12" xfId="0" applyNumberFormat="1" applyFont="1" applyFill="1" applyBorder="1" applyAlignment="1" applyProtection="1">
      <alignment horizontal="center"/>
      <protection locked="0"/>
    </xf>
    <xf numFmtId="165" fontId="10" fillId="0" borderId="2" xfId="25" applyNumberFormat="1" applyFont="1" applyFill="1" applyBorder="1" applyAlignment="1" applyProtection="1">
      <alignment horizontal="center"/>
    </xf>
    <xf numFmtId="0" fontId="21" fillId="10" borderId="0" xfId="0" applyFont="1" applyFill="1" applyBorder="1" applyAlignment="1">
      <alignment horizontal="center" vertical="center" wrapText="1"/>
    </xf>
    <xf numFmtId="0" fontId="8" fillId="10" borderId="0" xfId="0" applyFont="1" applyFill="1" applyBorder="1" applyAlignment="1">
      <alignment horizontal="center" vertical="center" wrapText="1"/>
    </xf>
    <xf numFmtId="0" fontId="8" fillId="10" borderId="12" xfId="0" applyFont="1" applyFill="1" applyBorder="1" applyAlignment="1">
      <alignment horizontal="center" wrapText="1"/>
    </xf>
    <xf numFmtId="0" fontId="10" fillId="10" borderId="1" xfId="0" applyFont="1" applyFill="1" applyBorder="1" applyAlignment="1" applyProtection="1">
      <alignment horizontal="left" vertical="center" wrapText="1"/>
    </xf>
    <xf numFmtId="0" fontId="10" fillId="10" borderId="8" xfId="0" applyFont="1" applyFill="1" applyBorder="1" applyAlignment="1" applyProtection="1">
      <alignment horizontal="left" vertical="center" wrapText="1"/>
    </xf>
    <xf numFmtId="0" fontId="0" fillId="0" borderId="8" xfId="0" applyBorder="1" applyAlignment="1">
      <alignment horizontal="left"/>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8" fillId="0" borderId="1" xfId="0" applyFont="1" applyBorder="1" applyAlignment="1">
      <alignment horizontal="right"/>
    </xf>
    <xf numFmtId="0" fontId="28" fillId="0" borderId="9" xfId="0" applyFont="1" applyBorder="1" applyAlignment="1">
      <alignment horizontal="right"/>
    </xf>
    <xf numFmtId="165" fontId="1" fillId="10" borderId="1" xfId="0" applyNumberFormat="1" applyFont="1" applyFill="1" applyBorder="1" applyAlignment="1">
      <alignment horizontal="center"/>
    </xf>
    <xf numFmtId="0" fontId="0" fillId="0" borderId="9" xfId="0" applyBorder="1" applyAlignment="1">
      <alignment horizontal="center"/>
    </xf>
    <xf numFmtId="165" fontId="10" fillId="10" borderId="3" xfId="0" applyNumberFormat="1" applyFont="1" applyFill="1" applyBorder="1" applyAlignment="1">
      <alignment horizontal="center" vertical="center"/>
    </xf>
    <xf numFmtId="165" fontId="10" fillId="0" borderId="5" xfId="0" applyNumberFormat="1" applyFont="1" applyBorder="1" applyAlignment="1">
      <alignment horizontal="center" vertical="center"/>
    </xf>
    <xf numFmtId="0" fontId="4" fillId="10" borderId="10" xfId="0" applyFont="1" applyFill="1" applyBorder="1" applyAlignment="1">
      <alignment horizontal="center" vertical="center"/>
    </xf>
    <xf numFmtId="0" fontId="4" fillId="0" borderId="11" xfId="0" applyFont="1" applyBorder="1" applyAlignment="1">
      <alignment horizontal="center" vertical="center"/>
    </xf>
    <xf numFmtId="9" fontId="10" fillId="10" borderId="3" xfId="0" applyNumberFormat="1" applyFont="1" applyFill="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165" fontId="4" fillId="10" borderId="0" xfId="0" applyNumberFormat="1" applyFont="1" applyFill="1" applyBorder="1" applyAlignment="1" applyProtection="1">
      <alignment horizontal="center"/>
      <protection locked="0"/>
    </xf>
    <xf numFmtId="165" fontId="10" fillId="0" borderId="2" xfId="0" applyNumberFormat="1" applyFont="1" applyBorder="1" applyAlignment="1">
      <alignment horizontal="center"/>
    </xf>
    <xf numFmtId="0" fontId="10" fillId="0" borderId="2" xfId="0" applyFont="1" applyBorder="1" applyAlignment="1">
      <alignment horizontal="center"/>
    </xf>
    <xf numFmtId="8" fontId="10" fillId="0" borderId="1" xfId="0" quotePrefix="1" applyNumberFormat="1" applyFont="1" applyFill="1" applyBorder="1" applyAlignment="1" applyProtection="1">
      <alignment horizontal="center"/>
    </xf>
    <xf numFmtId="8" fontId="10" fillId="0" borderId="9" xfId="0" quotePrefix="1" applyNumberFormat="1" applyFont="1" applyFill="1" applyBorder="1" applyAlignment="1" applyProtection="1">
      <alignment horizontal="center"/>
    </xf>
    <xf numFmtId="165" fontId="10" fillId="10" borderId="3" xfId="0" applyNumberFormat="1" applyFont="1" applyFill="1" applyBorder="1" applyAlignment="1" applyProtection="1">
      <alignment horizontal="center"/>
    </xf>
    <xf numFmtId="165" fontId="10" fillId="10" borderId="5" xfId="0" applyNumberFormat="1" applyFont="1" applyFill="1" applyBorder="1" applyAlignment="1" applyProtection="1">
      <alignment horizontal="center"/>
    </xf>
    <xf numFmtId="0" fontId="4" fillId="10" borderId="1" xfId="0" applyFont="1" applyFill="1" applyBorder="1" applyAlignment="1" applyProtection="1">
      <alignment horizontal="center" vertical="center"/>
      <protection locked="0"/>
    </xf>
    <xf numFmtId="0" fontId="4" fillId="10" borderId="9" xfId="0" applyFont="1" applyFill="1" applyBorder="1" applyAlignment="1" applyProtection="1">
      <alignment horizontal="center" vertical="center"/>
      <protection locked="0"/>
    </xf>
    <xf numFmtId="165" fontId="10" fillId="0" borderId="0" xfId="0" applyNumberFormat="1" applyFont="1" applyFill="1" applyBorder="1" applyAlignment="1" applyProtection="1">
      <alignment horizont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43" fontId="10" fillId="0" borderId="1" xfId="24" applyFont="1" applyFill="1" applyBorder="1" applyAlignment="1" applyProtection="1">
      <alignment horizontal="center"/>
    </xf>
    <xf numFmtId="43" fontId="10" fillId="0" borderId="8" xfId="24" applyFont="1" applyFill="1" applyBorder="1" applyAlignment="1" applyProtection="1">
      <alignment horizontal="center"/>
    </xf>
    <xf numFmtId="43" fontId="10" fillId="0" borderId="9" xfId="24" applyFont="1" applyFill="1" applyBorder="1" applyAlignment="1" applyProtection="1">
      <alignment horizontal="center"/>
    </xf>
    <xf numFmtId="165" fontId="10" fillId="0" borderId="1" xfId="25" applyNumberFormat="1" applyFont="1" applyFill="1" applyBorder="1" applyAlignment="1" applyProtection="1">
      <alignment horizontal="center"/>
    </xf>
    <xf numFmtId="165" fontId="10" fillId="0" borderId="9" xfId="25" applyNumberFormat="1" applyFont="1" applyFill="1" applyBorder="1" applyAlignment="1" applyProtection="1">
      <alignment horizontal="center"/>
    </xf>
    <xf numFmtId="0" fontId="28" fillId="10" borderId="2" xfId="0" applyFont="1" applyFill="1" applyBorder="1" applyAlignment="1" applyProtection="1">
      <alignment horizontal="right"/>
    </xf>
    <xf numFmtId="0" fontId="28" fillId="10" borderId="1" xfId="0" applyFont="1" applyFill="1" applyBorder="1" applyAlignment="1" applyProtection="1">
      <alignment horizontal="right"/>
    </xf>
    <xf numFmtId="43" fontId="10" fillId="10" borderId="0" xfId="24" applyFont="1" applyFill="1" applyBorder="1" applyAlignment="1" applyProtection="1">
      <alignment horizontal="center"/>
    </xf>
    <xf numFmtId="1" fontId="8" fillId="6" borderId="19" xfId="26" applyNumberFormat="1" applyFont="1" applyFill="1" applyBorder="1" applyAlignment="1" applyProtection="1">
      <alignment horizontal="center"/>
      <protection locked="0"/>
    </xf>
    <xf numFmtId="1" fontId="8" fillId="6" borderId="20" xfId="26" applyNumberFormat="1" applyFont="1" applyFill="1" applyBorder="1" applyAlignment="1" applyProtection="1">
      <alignment horizontal="center"/>
      <protection locked="0"/>
    </xf>
    <xf numFmtId="1" fontId="8" fillId="6" borderId="21" xfId="26" applyNumberFormat="1" applyFont="1" applyFill="1" applyBorder="1" applyAlignment="1" applyProtection="1">
      <alignment horizontal="center"/>
      <protection locked="0"/>
    </xf>
    <xf numFmtId="165" fontId="10" fillId="0" borderId="2" xfId="0" applyNumberFormat="1" applyFont="1" applyBorder="1" applyAlignment="1" applyProtection="1">
      <alignment horizontal="center"/>
    </xf>
    <xf numFmtId="0" fontId="12" fillId="10" borderId="1" xfId="0" applyFont="1" applyFill="1" applyBorder="1" applyAlignment="1" applyProtection="1">
      <alignment horizontal="right" vertical="center" wrapText="1"/>
    </xf>
    <xf numFmtId="0" fontId="16" fillId="0" borderId="8" xfId="0" applyFont="1" applyBorder="1" applyAlignment="1">
      <alignment horizontal="right" vertical="center" wrapText="1"/>
    </xf>
    <xf numFmtId="0" fontId="16" fillId="0" borderId="8" xfId="0" applyFont="1" applyBorder="1" applyAlignment="1"/>
    <xf numFmtId="0" fontId="16" fillId="0" borderId="9" xfId="0" applyFont="1" applyBorder="1" applyAlignment="1"/>
    <xf numFmtId="0" fontId="4" fillId="10" borderId="1" xfId="0" applyFont="1" applyFill="1" applyBorder="1" applyAlignment="1">
      <alignment horizontal="center" vertical="center" wrapText="1"/>
    </xf>
    <xf numFmtId="0" fontId="4" fillId="10" borderId="1" xfId="0" applyFont="1" applyFill="1" applyBorder="1" applyAlignment="1">
      <alignment horizontal="center" wrapText="1"/>
    </xf>
    <xf numFmtId="165" fontId="0" fillId="10" borderId="1" xfId="0" applyNumberFormat="1" applyFill="1" applyBorder="1" applyAlignment="1">
      <alignment horizontal="center"/>
    </xf>
    <xf numFmtId="165" fontId="0" fillId="0" borderId="9" xfId="0" applyNumberFormat="1" applyBorder="1" applyAlignment="1">
      <alignment horizontal="center"/>
    </xf>
    <xf numFmtId="0" fontId="4" fillId="10" borderId="9" xfId="0" applyFont="1" applyFill="1" applyBorder="1" applyAlignment="1">
      <alignment horizontal="center" wrapText="1"/>
    </xf>
    <xf numFmtId="41" fontId="0" fillId="10" borderId="1" xfId="0" applyNumberFormat="1" applyFill="1" applyBorder="1" applyAlignment="1">
      <alignment horizontal="center"/>
    </xf>
    <xf numFmtId="165" fontId="10" fillId="10" borderId="1" xfId="0" applyNumberFormat="1" applyFont="1" applyFill="1" applyBorder="1" applyAlignment="1">
      <alignment vertical="center" wrapText="1"/>
    </xf>
    <xf numFmtId="0" fontId="0" fillId="0" borderId="9" xfId="0" applyBorder="1" applyAlignment="1">
      <alignment vertical="center" wrapText="1"/>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167" fontId="10" fillId="0" borderId="1" xfId="0" applyNumberFormat="1" applyFont="1" applyFill="1" applyBorder="1" applyAlignment="1" applyProtection="1">
      <alignment horizontal="center"/>
    </xf>
    <xf numFmtId="167" fontId="10" fillId="0" borderId="9" xfId="0" applyNumberFormat="1" applyFont="1" applyFill="1" applyBorder="1" applyAlignment="1" applyProtection="1">
      <alignment horizontal="center"/>
    </xf>
    <xf numFmtId="0" fontId="10" fillId="10" borderId="10" xfId="0" applyFont="1" applyFill="1" applyBorder="1" applyAlignment="1" applyProtection="1">
      <alignment horizontal="center" vertical="center" wrapText="1"/>
    </xf>
    <xf numFmtId="0" fontId="10" fillId="10" borderId="11" xfId="0" applyFont="1" applyFill="1" applyBorder="1" applyAlignment="1" applyProtection="1">
      <alignment horizontal="center" vertical="center" wrapText="1"/>
    </xf>
    <xf numFmtId="165" fontId="4" fillId="0" borderId="1" xfId="0" applyNumberFormat="1" applyFont="1" applyFill="1" applyBorder="1" applyAlignment="1" applyProtection="1">
      <alignment horizontal="center"/>
    </xf>
    <xf numFmtId="165" fontId="4" fillId="0" borderId="9" xfId="0" applyNumberFormat="1" applyFont="1" applyFill="1" applyBorder="1" applyAlignment="1" applyProtection="1">
      <alignment horizontal="center"/>
    </xf>
    <xf numFmtId="165" fontId="4" fillId="0" borderId="1" xfId="0" applyNumberFormat="1" applyFont="1" applyFill="1" applyBorder="1" applyAlignment="1" applyProtection="1">
      <alignment horizontal="center" wrapText="1"/>
    </xf>
    <xf numFmtId="165" fontId="4" fillId="0" borderId="9" xfId="0" applyNumberFormat="1" applyFont="1" applyFill="1" applyBorder="1" applyAlignment="1" applyProtection="1">
      <alignment horizontal="center" wrapText="1"/>
    </xf>
    <xf numFmtId="0" fontId="1" fillId="10" borderId="6" xfId="0" applyFont="1" applyFill="1" applyBorder="1" applyAlignment="1">
      <alignment horizontal="center"/>
    </xf>
    <xf numFmtId="0" fontId="1" fillId="10" borderId="0" xfId="0" applyFont="1" applyFill="1" applyBorder="1" applyAlignment="1">
      <alignment horizontal="center"/>
    </xf>
    <xf numFmtId="0" fontId="1" fillId="10" borderId="7" xfId="0" applyFont="1" applyFill="1" applyBorder="1" applyAlignment="1">
      <alignment horizontal="center"/>
    </xf>
    <xf numFmtId="0" fontId="1" fillId="10" borderId="6" xfId="0" applyFont="1" applyFill="1" applyBorder="1" applyAlignment="1" applyProtection="1">
      <alignment horizontal="center"/>
    </xf>
    <xf numFmtId="0" fontId="1" fillId="10" borderId="0" xfId="0" applyFont="1" applyFill="1" applyBorder="1" applyAlignment="1" applyProtection="1">
      <alignment horizontal="center"/>
    </xf>
    <xf numFmtId="0" fontId="8" fillId="10" borderId="12" xfId="0" applyFont="1" applyFill="1" applyBorder="1" applyAlignment="1" applyProtection="1">
      <alignment horizontal="center" wrapText="1"/>
    </xf>
    <xf numFmtId="0" fontId="8" fillId="10" borderId="12" xfId="0" applyFont="1" applyFill="1" applyBorder="1" applyAlignment="1" applyProtection="1">
      <alignment horizontal="center" vertical="center" wrapText="1"/>
    </xf>
    <xf numFmtId="0" fontId="0" fillId="10" borderId="0" xfId="0" applyFill="1" applyBorder="1" applyAlignment="1" applyProtection="1">
      <alignment horizontal="center"/>
    </xf>
    <xf numFmtId="0" fontId="0" fillId="10" borderId="7" xfId="0" applyFill="1" applyBorder="1" applyAlignment="1" applyProtection="1">
      <alignment horizontal="center"/>
    </xf>
    <xf numFmtId="0" fontId="1" fillId="0" borderId="10" xfId="26" applyFont="1" applyFill="1" applyBorder="1" applyAlignment="1">
      <alignment horizontal="left" wrapText="1"/>
    </xf>
    <xf numFmtId="0" fontId="1" fillId="0" borderId="12" xfId="26" applyFont="1" applyFill="1" applyBorder="1" applyAlignment="1">
      <alignment horizontal="left" wrapText="1"/>
    </xf>
    <xf numFmtId="0" fontId="1" fillId="0" borderId="11" xfId="26" applyFont="1" applyFill="1" applyBorder="1" applyAlignment="1">
      <alignment horizontal="left"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1" fillId="0" borderId="2" xfId="0" applyFont="1" applyFill="1" applyBorder="1" applyAlignment="1">
      <alignment horizontal="center" vertical="center" wrapText="1"/>
    </xf>
    <xf numFmtId="0" fontId="0" fillId="0" borderId="2" xfId="0" applyFill="1" applyBorder="1" applyAlignment="1">
      <alignment horizontal="center" wrapText="1"/>
    </xf>
    <xf numFmtId="0" fontId="7" fillId="0" borderId="12" xfId="26" applyFont="1" applyFill="1" applyBorder="1" applyAlignment="1">
      <alignment horizontal="center" vertical="center" wrapText="1"/>
    </xf>
    <xf numFmtId="0" fontId="0" fillId="0" borderId="12" xfId="0" applyBorder="1" applyAlignment="1"/>
    <xf numFmtId="0" fontId="1" fillId="0" borderId="2" xfId="26" applyFont="1" applyFill="1" applyBorder="1" applyAlignment="1">
      <alignment horizontal="center" vertical="center" wrapText="1"/>
    </xf>
    <xf numFmtId="0" fontId="1" fillId="0" borderId="2" xfId="0" applyFont="1" applyBorder="1" applyAlignment="1">
      <alignment horizontal="center" wrapText="1"/>
    </xf>
    <xf numFmtId="0" fontId="7" fillId="0" borderId="17" xfId="0" applyFont="1" applyBorder="1" applyAlignment="1">
      <alignment horizontal="center"/>
    </xf>
    <xf numFmtId="0" fontId="7" fillId="0" borderId="16" xfId="0" applyFont="1" applyBorder="1" applyAlignment="1">
      <alignment horizontal="center"/>
    </xf>
    <xf numFmtId="0" fontId="7" fillId="0" borderId="18" xfId="0" applyFont="1" applyBorder="1" applyAlignment="1">
      <alignment horizontal="center"/>
    </xf>
    <xf numFmtId="0" fontId="7" fillId="0" borderId="2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0" fillId="0" borderId="23" xfId="0" applyBorder="1" applyAlignment="1"/>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10" borderId="22" xfId="0" applyNumberFormat="1" applyFont="1" applyFill="1" applyBorder="1" applyAlignment="1">
      <alignment horizontal="left" wrapText="1"/>
    </xf>
    <xf numFmtId="0" fontId="0" fillId="10" borderId="23" xfId="0" applyNumberFormat="1" applyFill="1" applyBorder="1" applyAlignment="1">
      <alignment horizontal="left" wrapText="1"/>
    </xf>
  </cellXfs>
  <cellStyles count="27">
    <cellStyle name="Comma" xfId="24" builtinId="3"/>
    <cellStyle name="COSTREPORT" xfId="1" xr:uid="{00000000-0005-0000-0000-000001000000}"/>
    <cellStyle name="cr" xfId="2" xr:uid="{00000000-0005-0000-0000-000002000000}"/>
    <cellStyle name="Grey" xfId="3" xr:uid="{00000000-0005-0000-0000-000003000000}"/>
    <cellStyle name="Input [yellow]" xfId="4" xr:uid="{00000000-0005-0000-0000-000004000000}"/>
    <cellStyle name="no dec" xfId="5" xr:uid="{00000000-0005-0000-0000-000005000000}"/>
    <cellStyle name="no dec 2" xfId="6" xr:uid="{00000000-0005-0000-0000-000006000000}"/>
    <cellStyle name="Normal" xfId="0" builtinId="0"/>
    <cellStyle name="Normal - Style1" xfId="7" xr:uid="{00000000-0005-0000-0000-000008000000}"/>
    <cellStyle name="Normal 10" xfId="8" xr:uid="{00000000-0005-0000-0000-000009000000}"/>
    <cellStyle name="Normal 11" xfId="9" xr:uid="{00000000-0005-0000-0000-00000A000000}"/>
    <cellStyle name="Normal 12" xfId="10" xr:uid="{00000000-0005-0000-0000-00000B000000}"/>
    <cellStyle name="Normal 13" xfId="11" xr:uid="{00000000-0005-0000-0000-00000C000000}"/>
    <cellStyle name="Normal 14" xfId="12" xr:uid="{00000000-0005-0000-0000-00000D000000}"/>
    <cellStyle name="Normal 15" xfId="13" xr:uid="{00000000-0005-0000-0000-00000E000000}"/>
    <cellStyle name="Normal 2" xfId="14" xr:uid="{00000000-0005-0000-0000-00000F000000}"/>
    <cellStyle name="Normal 2 2" xfId="26" xr:uid="{00000000-0005-0000-0000-000010000000}"/>
    <cellStyle name="Normal 3" xfId="15" xr:uid="{00000000-0005-0000-0000-000011000000}"/>
    <cellStyle name="Normal 4" xfId="16" xr:uid="{00000000-0005-0000-0000-000012000000}"/>
    <cellStyle name="Normal 5" xfId="17" xr:uid="{00000000-0005-0000-0000-000013000000}"/>
    <cellStyle name="Normal 6" xfId="18" xr:uid="{00000000-0005-0000-0000-000014000000}"/>
    <cellStyle name="Normal 7" xfId="19" xr:uid="{00000000-0005-0000-0000-000015000000}"/>
    <cellStyle name="Normal 8" xfId="20" xr:uid="{00000000-0005-0000-0000-000016000000}"/>
    <cellStyle name="Normal 9" xfId="21" xr:uid="{00000000-0005-0000-0000-000017000000}"/>
    <cellStyle name="Percent" xfId="25" builtinId="5"/>
    <cellStyle name="Percent [2]" xfId="22" xr:uid="{00000000-0005-0000-0000-000019000000}"/>
    <cellStyle name="Percent [2] 2" xfId="23" xr:uid="{00000000-0005-0000-0000-00001A00000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129541</xdr:colOff>
      <xdr:row>0</xdr:row>
      <xdr:rowOff>790575</xdr:rowOff>
    </xdr:from>
    <xdr:to>
      <xdr:col>2</xdr:col>
      <xdr:colOff>1400175</xdr:colOff>
      <xdr:row>2</xdr:row>
      <xdr:rowOff>285750</xdr:rowOff>
    </xdr:to>
    <xdr:sp macro="" textlink="">
      <xdr:nvSpPr>
        <xdr:cNvPr id="5" name="Oval 4">
          <a:extLst>
            <a:ext uri="{FF2B5EF4-FFF2-40B4-BE49-F238E27FC236}">
              <a16:creationId xmlns:a16="http://schemas.microsoft.com/office/drawing/2014/main" id="{00000000-0008-0000-0000-000005000000}"/>
            </a:ext>
          </a:extLst>
        </xdr:cNvPr>
        <xdr:cNvSpPr/>
      </xdr:nvSpPr>
      <xdr:spPr>
        <a:xfrm>
          <a:off x="281941" y="790575"/>
          <a:ext cx="1518284" cy="86677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1 - All Participants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2</xdr:row>
      <xdr:rowOff>310515</xdr:rowOff>
    </xdr:from>
    <xdr:to>
      <xdr:col>1</xdr:col>
      <xdr:colOff>962025</xdr:colOff>
      <xdr:row>4</xdr:row>
      <xdr:rowOff>38100</xdr:rowOff>
    </xdr:to>
    <xdr:grpSp>
      <xdr:nvGrpSpPr>
        <xdr:cNvPr id="5" name="Group 4">
          <a:extLst>
            <a:ext uri="{FF2B5EF4-FFF2-40B4-BE49-F238E27FC236}">
              <a16:creationId xmlns:a16="http://schemas.microsoft.com/office/drawing/2014/main" id="{B2620CE5-FBCF-4DC8-958E-F4E6DBFFFDB3}"/>
            </a:ext>
          </a:extLst>
        </xdr:cNvPr>
        <xdr:cNvGrpSpPr>
          <a:grpSpLocks/>
        </xdr:cNvGrpSpPr>
      </xdr:nvGrpSpPr>
      <xdr:grpSpPr bwMode="auto">
        <a:xfrm>
          <a:off x="381000" y="1918335"/>
          <a:ext cx="847725" cy="443865"/>
          <a:chOff x="14" y="101"/>
          <a:chExt cx="91" cy="34"/>
        </a:xfrm>
      </xdr:grpSpPr>
      <xdr:sp macro="" textlink="">
        <xdr:nvSpPr>
          <xdr:cNvPr id="6" name="Oval 5">
            <a:extLst>
              <a:ext uri="{FF2B5EF4-FFF2-40B4-BE49-F238E27FC236}">
                <a16:creationId xmlns:a16="http://schemas.microsoft.com/office/drawing/2014/main" id="{57A6B73B-EED5-4E68-9233-0E9729E6F981}"/>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39DCA664-467E-4902-B153-DC3CE71E0E7B}"/>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38099</xdr:colOff>
      <xdr:row>0</xdr:row>
      <xdr:rowOff>933449</xdr:rowOff>
    </xdr:from>
    <xdr:to>
      <xdr:col>3</xdr:col>
      <xdr:colOff>57150</xdr:colOff>
      <xdr:row>2</xdr:row>
      <xdr:rowOff>180974</xdr:rowOff>
    </xdr:to>
    <xdr:sp macro="" textlink="">
      <xdr:nvSpPr>
        <xdr:cNvPr id="9" name="Oval 8">
          <a:extLst>
            <a:ext uri="{FF2B5EF4-FFF2-40B4-BE49-F238E27FC236}">
              <a16:creationId xmlns:a16="http://schemas.microsoft.com/office/drawing/2014/main" id="{9A01C47D-6745-4400-85EA-820EAD5ECB9A}"/>
            </a:ext>
          </a:extLst>
        </xdr:cNvPr>
        <xdr:cNvSpPr/>
      </xdr:nvSpPr>
      <xdr:spPr>
        <a:xfrm>
          <a:off x="295274" y="933449"/>
          <a:ext cx="2305051" cy="8477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2A - Day Habilitation Participants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2</xdr:row>
      <xdr:rowOff>228600</xdr:rowOff>
    </xdr:from>
    <xdr:to>
      <xdr:col>1</xdr:col>
      <xdr:colOff>1019175</xdr:colOff>
      <xdr:row>4</xdr:row>
      <xdr:rowOff>28575</xdr:rowOff>
    </xdr:to>
    <xdr:grpSp>
      <xdr:nvGrpSpPr>
        <xdr:cNvPr id="2" name="Group 4">
          <a:extLst>
            <a:ext uri="{FF2B5EF4-FFF2-40B4-BE49-F238E27FC236}">
              <a16:creationId xmlns:a16="http://schemas.microsoft.com/office/drawing/2014/main" id="{00000000-0008-0000-0100-000002000000}"/>
            </a:ext>
          </a:extLst>
        </xdr:cNvPr>
        <xdr:cNvGrpSpPr>
          <a:grpSpLocks/>
        </xdr:cNvGrpSpPr>
      </xdr:nvGrpSpPr>
      <xdr:grpSpPr bwMode="auto">
        <a:xfrm>
          <a:off x="342900" y="1836420"/>
          <a:ext cx="942975" cy="363855"/>
          <a:chOff x="14" y="101"/>
          <a:chExt cx="91" cy="34"/>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95250</xdr:colOff>
      <xdr:row>15</xdr:row>
      <xdr:rowOff>62865</xdr:rowOff>
    </xdr:from>
    <xdr:to>
      <xdr:col>1</xdr:col>
      <xdr:colOff>1219200</xdr:colOff>
      <xdr:row>17</xdr:row>
      <xdr:rowOff>19050</xdr:rowOff>
    </xdr:to>
    <xdr:grpSp>
      <xdr:nvGrpSpPr>
        <xdr:cNvPr id="8" name="Group 4">
          <a:extLst>
            <a:ext uri="{FF2B5EF4-FFF2-40B4-BE49-F238E27FC236}">
              <a16:creationId xmlns:a16="http://schemas.microsoft.com/office/drawing/2014/main" id="{00000000-0008-0000-0100-000008000000}"/>
            </a:ext>
          </a:extLst>
        </xdr:cNvPr>
        <xdr:cNvGrpSpPr>
          <a:grpSpLocks/>
        </xdr:cNvGrpSpPr>
      </xdr:nvGrpSpPr>
      <xdr:grpSpPr bwMode="auto">
        <a:xfrm>
          <a:off x="361950" y="4764405"/>
          <a:ext cx="1123950" cy="481965"/>
          <a:chOff x="14" y="101"/>
          <a:chExt cx="91" cy="34"/>
        </a:xfrm>
      </xdr:grpSpPr>
      <xdr:sp macro="" textlink="">
        <xdr:nvSpPr>
          <xdr:cNvPr id="9" name="Oval 5">
            <a:extLst>
              <a:ext uri="{FF2B5EF4-FFF2-40B4-BE49-F238E27FC236}">
                <a16:creationId xmlns:a16="http://schemas.microsoft.com/office/drawing/2014/main" id="{00000000-0008-0000-01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85724</xdr:colOff>
      <xdr:row>21</xdr:row>
      <xdr:rowOff>72390</xdr:rowOff>
    </xdr:from>
    <xdr:to>
      <xdr:col>1</xdr:col>
      <xdr:colOff>1247775</xdr:colOff>
      <xdr:row>23</xdr:row>
      <xdr:rowOff>38100</xdr:rowOff>
    </xdr:to>
    <xdr:grpSp>
      <xdr:nvGrpSpPr>
        <xdr:cNvPr id="11" name="Group 4">
          <a:extLst>
            <a:ext uri="{FF2B5EF4-FFF2-40B4-BE49-F238E27FC236}">
              <a16:creationId xmlns:a16="http://schemas.microsoft.com/office/drawing/2014/main" id="{00000000-0008-0000-0100-00000B000000}"/>
            </a:ext>
          </a:extLst>
        </xdr:cNvPr>
        <xdr:cNvGrpSpPr>
          <a:grpSpLocks/>
        </xdr:cNvGrpSpPr>
      </xdr:nvGrpSpPr>
      <xdr:grpSpPr bwMode="auto">
        <a:xfrm>
          <a:off x="352424" y="6496050"/>
          <a:ext cx="1162051" cy="529590"/>
          <a:chOff x="14" y="101"/>
          <a:chExt cx="91" cy="34"/>
        </a:xfrm>
      </xdr:grpSpPr>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1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76200</xdr:colOff>
      <xdr:row>49</xdr:row>
      <xdr:rowOff>51435</xdr:rowOff>
    </xdr:from>
    <xdr:to>
      <xdr:col>1</xdr:col>
      <xdr:colOff>1162050</xdr:colOff>
      <xdr:row>51</xdr:row>
      <xdr:rowOff>0</xdr:rowOff>
    </xdr:to>
    <xdr:grpSp>
      <xdr:nvGrpSpPr>
        <xdr:cNvPr id="14" name="Group 4">
          <a:extLst>
            <a:ext uri="{FF2B5EF4-FFF2-40B4-BE49-F238E27FC236}">
              <a16:creationId xmlns:a16="http://schemas.microsoft.com/office/drawing/2014/main" id="{00000000-0008-0000-0100-00000E000000}"/>
            </a:ext>
          </a:extLst>
        </xdr:cNvPr>
        <xdr:cNvGrpSpPr>
          <a:grpSpLocks/>
        </xdr:cNvGrpSpPr>
      </xdr:nvGrpSpPr>
      <xdr:grpSpPr bwMode="auto">
        <a:xfrm>
          <a:off x="342900" y="14178915"/>
          <a:ext cx="1085850" cy="474345"/>
          <a:chOff x="14" y="101"/>
          <a:chExt cx="91" cy="34"/>
        </a:xfrm>
      </xdr:grpSpPr>
      <xdr:sp macro="" textlink="">
        <xdr:nvSpPr>
          <xdr:cNvPr id="15" name="Oval 5">
            <a:extLst>
              <a:ext uri="{FF2B5EF4-FFF2-40B4-BE49-F238E27FC236}">
                <a16:creationId xmlns:a16="http://schemas.microsoft.com/office/drawing/2014/main" id="{00000000-0008-0000-01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1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85726</xdr:colOff>
      <xdr:row>44</xdr:row>
      <xdr:rowOff>53340</xdr:rowOff>
    </xdr:from>
    <xdr:to>
      <xdr:col>1</xdr:col>
      <xdr:colOff>1076326</xdr:colOff>
      <xdr:row>46</xdr:row>
      <xdr:rowOff>66675</xdr:rowOff>
    </xdr:to>
    <xdr:grpSp>
      <xdr:nvGrpSpPr>
        <xdr:cNvPr id="17" name="Group 4">
          <a:extLst>
            <a:ext uri="{FF2B5EF4-FFF2-40B4-BE49-F238E27FC236}">
              <a16:creationId xmlns:a16="http://schemas.microsoft.com/office/drawing/2014/main" id="{00000000-0008-0000-0100-000011000000}"/>
            </a:ext>
          </a:extLst>
        </xdr:cNvPr>
        <xdr:cNvGrpSpPr>
          <a:grpSpLocks/>
        </xdr:cNvGrpSpPr>
      </xdr:nvGrpSpPr>
      <xdr:grpSpPr bwMode="auto">
        <a:xfrm>
          <a:off x="352426" y="12946380"/>
          <a:ext cx="990600" cy="539115"/>
          <a:chOff x="14" y="101"/>
          <a:chExt cx="91" cy="34"/>
        </a:xfrm>
      </xdr:grpSpPr>
      <xdr:sp macro="" textlink="">
        <xdr:nvSpPr>
          <xdr:cNvPr id="18" name="Oval 5">
            <a:extLst>
              <a:ext uri="{FF2B5EF4-FFF2-40B4-BE49-F238E27FC236}">
                <a16:creationId xmlns:a16="http://schemas.microsoft.com/office/drawing/2014/main" id="{00000000-0008-0000-01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66676</xdr:colOff>
      <xdr:row>56</xdr:row>
      <xdr:rowOff>32386</xdr:rowOff>
    </xdr:from>
    <xdr:to>
      <xdr:col>1</xdr:col>
      <xdr:colOff>914400</xdr:colOff>
      <xdr:row>57</xdr:row>
      <xdr:rowOff>95251</xdr:rowOff>
    </xdr:to>
    <xdr:grpSp>
      <xdr:nvGrpSpPr>
        <xdr:cNvPr id="23" name="Group 4">
          <a:extLst>
            <a:ext uri="{FF2B5EF4-FFF2-40B4-BE49-F238E27FC236}">
              <a16:creationId xmlns:a16="http://schemas.microsoft.com/office/drawing/2014/main" id="{71A25714-0FE3-446F-BA00-43A24F9C54C7}"/>
            </a:ext>
          </a:extLst>
        </xdr:cNvPr>
        <xdr:cNvGrpSpPr>
          <a:grpSpLocks/>
        </xdr:cNvGrpSpPr>
      </xdr:nvGrpSpPr>
      <xdr:grpSpPr bwMode="auto">
        <a:xfrm>
          <a:off x="333376" y="15927706"/>
          <a:ext cx="847724" cy="375285"/>
          <a:chOff x="14" y="101"/>
          <a:chExt cx="91" cy="34"/>
        </a:xfrm>
      </xdr:grpSpPr>
      <xdr:sp macro="" textlink="">
        <xdr:nvSpPr>
          <xdr:cNvPr id="24" name="Oval 5">
            <a:extLst>
              <a:ext uri="{FF2B5EF4-FFF2-40B4-BE49-F238E27FC236}">
                <a16:creationId xmlns:a16="http://schemas.microsoft.com/office/drawing/2014/main" id="{A0A48F97-EAA9-486D-A622-0CEB197F4F67}"/>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5" name="Text Box 6">
            <a:extLst>
              <a:ext uri="{FF2B5EF4-FFF2-40B4-BE49-F238E27FC236}">
                <a16:creationId xmlns:a16="http://schemas.microsoft.com/office/drawing/2014/main" id="{4D35BE3C-63A5-4A5A-9519-DB94AE107528}"/>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104775</xdr:colOff>
      <xdr:row>0</xdr:row>
      <xdr:rowOff>914400</xdr:rowOff>
    </xdr:from>
    <xdr:to>
      <xdr:col>4</xdr:col>
      <xdr:colOff>66676</xdr:colOff>
      <xdr:row>2</xdr:row>
      <xdr:rowOff>161925</xdr:rowOff>
    </xdr:to>
    <xdr:sp macro="" textlink="">
      <xdr:nvSpPr>
        <xdr:cNvPr id="20" name="Oval 19">
          <a:extLst>
            <a:ext uri="{FF2B5EF4-FFF2-40B4-BE49-F238E27FC236}">
              <a16:creationId xmlns:a16="http://schemas.microsoft.com/office/drawing/2014/main" id="{DD64A814-EE70-4908-9898-2FAD3D654AE2}"/>
            </a:ext>
          </a:extLst>
        </xdr:cNvPr>
        <xdr:cNvSpPr/>
      </xdr:nvSpPr>
      <xdr:spPr>
        <a:xfrm>
          <a:off x="361950" y="914400"/>
          <a:ext cx="2305051" cy="8477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2A - Day Habilitation Participants</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70485</xdr:colOff>
      <xdr:row>2</xdr:row>
      <xdr:rowOff>243841</xdr:rowOff>
    </xdr:from>
    <xdr:to>
      <xdr:col>1</xdr:col>
      <xdr:colOff>1085851</xdr:colOff>
      <xdr:row>4</xdr:row>
      <xdr:rowOff>85725</xdr:rowOff>
    </xdr:to>
    <xdr:grpSp>
      <xdr:nvGrpSpPr>
        <xdr:cNvPr id="5" name="Group 4">
          <a:extLst>
            <a:ext uri="{FF2B5EF4-FFF2-40B4-BE49-F238E27FC236}">
              <a16:creationId xmlns:a16="http://schemas.microsoft.com/office/drawing/2014/main" id="{B12B3997-EBAA-4E13-B7F1-FD1317A55CCB}"/>
            </a:ext>
          </a:extLst>
        </xdr:cNvPr>
        <xdr:cNvGrpSpPr>
          <a:grpSpLocks/>
        </xdr:cNvGrpSpPr>
      </xdr:nvGrpSpPr>
      <xdr:grpSpPr bwMode="auto">
        <a:xfrm>
          <a:off x="337185" y="1851661"/>
          <a:ext cx="1015366" cy="512444"/>
          <a:chOff x="14" y="101"/>
          <a:chExt cx="91" cy="34"/>
        </a:xfrm>
      </xdr:grpSpPr>
      <xdr:sp macro="" textlink="">
        <xdr:nvSpPr>
          <xdr:cNvPr id="6" name="Oval 5">
            <a:extLst>
              <a:ext uri="{FF2B5EF4-FFF2-40B4-BE49-F238E27FC236}">
                <a16:creationId xmlns:a16="http://schemas.microsoft.com/office/drawing/2014/main" id="{0B51C511-B514-46B0-BBA2-49AB528B3AD6}"/>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897CE4AC-C0D0-493D-AB7C-06BC3D7699A7}"/>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38100</xdr:colOff>
      <xdr:row>0</xdr:row>
      <xdr:rowOff>857250</xdr:rowOff>
    </xdr:from>
    <xdr:to>
      <xdr:col>3</xdr:col>
      <xdr:colOff>85726</xdr:colOff>
      <xdr:row>2</xdr:row>
      <xdr:rowOff>104775</xdr:rowOff>
    </xdr:to>
    <xdr:sp macro="" textlink="">
      <xdr:nvSpPr>
        <xdr:cNvPr id="8" name="Oval 7">
          <a:extLst>
            <a:ext uri="{FF2B5EF4-FFF2-40B4-BE49-F238E27FC236}">
              <a16:creationId xmlns:a16="http://schemas.microsoft.com/office/drawing/2014/main" id="{18820CCD-D315-4D0C-A800-0319C02FDBBE}"/>
            </a:ext>
          </a:extLst>
        </xdr:cNvPr>
        <xdr:cNvSpPr/>
      </xdr:nvSpPr>
      <xdr:spPr>
        <a:xfrm>
          <a:off x="295275" y="857250"/>
          <a:ext cx="2305051" cy="8477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2B - Non-Day Habilitation Participants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60960</xdr:colOff>
      <xdr:row>2</xdr:row>
      <xdr:rowOff>100965</xdr:rowOff>
    </xdr:from>
    <xdr:to>
      <xdr:col>1</xdr:col>
      <xdr:colOff>990600</xdr:colOff>
      <xdr:row>4</xdr:row>
      <xdr:rowOff>0</xdr:rowOff>
    </xdr:to>
    <xdr:grpSp>
      <xdr:nvGrpSpPr>
        <xdr:cNvPr id="2" name="Group 4">
          <a:extLst>
            <a:ext uri="{FF2B5EF4-FFF2-40B4-BE49-F238E27FC236}">
              <a16:creationId xmlns:a16="http://schemas.microsoft.com/office/drawing/2014/main" id="{00000000-0008-0000-0200-000002000000}"/>
            </a:ext>
          </a:extLst>
        </xdr:cNvPr>
        <xdr:cNvGrpSpPr>
          <a:grpSpLocks/>
        </xdr:cNvGrpSpPr>
      </xdr:nvGrpSpPr>
      <xdr:grpSpPr bwMode="auto">
        <a:xfrm>
          <a:off x="327660" y="1708785"/>
          <a:ext cx="929640" cy="462915"/>
          <a:chOff x="14" y="101"/>
          <a:chExt cx="91" cy="34"/>
        </a:xfrm>
      </xdr:grpSpPr>
      <xdr:sp macro="" textlink="">
        <xdr:nvSpPr>
          <xdr:cNvPr id="3" name="Oval 5">
            <a:extLst>
              <a:ext uri="{FF2B5EF4-FFF2-40B4-BE49-F238E27FC236}">
                <a16:creationId xmlns:a16="http://schemas.microsoft.com/office/drawing/2014/main" id="{00000000-0008-0000-02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106680</xdr:colOff>
      <xdr:row>97</xdr:row>
      <xdr:rowOff>99060</xdr:rowOff>
    </xdr:from>
    <xdr:to>
      <xdr:col>1</xdr:col>
      <xdr:colOff>906780</xdr:colOff>
      <xdr:row>99</xdr:row>
      <xdr:rowOff>0</xdr:rowOff>
    </xdr:to>
    <xdr:grpSp>
      <xdr:nvGrpSpPr>
        <xdr:cNvPr id="14" name="Group 4">
          <a:extLst>
            <a:ext uri="{FF2B5EF4-FFF2-40B4-BE49-F238E27FC236}">
              <a16:creationId xmlns:a16="http://schemas.microsoft.com/office/drawing/2014/main" id="{00000000-0008-0000-0200-00000E000000}"/>
            </a:ext>
          </a:extLst>
        </xdr:cNvPr>
        <xdr:cNvGrpSpPr>
          <a:grpSpLocks/>
        </xdr:cNvGrpSpPr>
      </xdr:nvGrpSpPr>
      <xdr:grpSpPr bwMode="auto">
        <a:xfrm>
          <a:off x="373380" y="25039320"/>
          <a:ext cx="800100" cy="426720"/>
          <a:chOff x="14" y="101"/>
          <a:chExt cx="91" cy="34"/>
        </a:xfrm>
      </xdr:grpSpPr>
      <xdr:sp macro="" textlink="">
        <xdr:nvSpPr>
          <xdr:cNvPr id="15" name="Oval 5">
            <a:extLst>
              <a:ext uri="{FF2B5EF4-FFF2-40B4-BE49-F238E27FC236}">
                <a16:creationId xmlns:a16="http://schemas.microsoft.com/office/drawing/2014/main" id="{00000000-0008-0000-02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43815</xdr:colOff>
      <xdr:row>92</xdr:row>
      <xdr:rowOff>62865</xdr:rowOff>
    </xdr:from>
    <xdr:to>
      <xdr:col>1</xdr:col>
      <xdr:colOff>843915</xdr:colOff>
      <xdr:row>93</xdr:row>
      <xdr:rowOff>152400</xdr:rowOff>
    </xdr:to>
    <xdr:grpSp>
      <xdr:nvGrpSpPr>
        <xdr:cNvPr id="17" name="Group 4">
          <a:extLst>
            <a:ext uri="{FF2B5EF4-FFF2-40B4-BE49-F238E27FC236}">
              <a16:creationId xmlns:a16="http://schemas.microsoft.com/office/drawing/2014/main" id="{00000000-0008-0000-0200-000011000000}"/>
            </a:ext>
          </a:extLst>
        </xdr:cNvPr>
        <xdr:cNvGrpSpPr>
          <a:grpSpLocks/>
        </xdr:cNvGrpSpPr>
      </xdr:nvGrpSpPr>
      <xdr:grpSpPr bwMode="auto">
        <a:xfrm>
          <a:off x="310515" y="23654385"/>
          <a:ext cx="800100" cy="447675"/>
          <a:chOff x="14" y="101"/>
          <a:chExt cx="91" cy="34"/>
        </a:xfrm>
      </xdr:grpSpPr>
      <xdr:sp macro="" textlink="">
        <xdr:nvSpPr>
          <xdr:cNvPr id="18" name="Oval 5">
            <a:extLst>
              <a:ext uri="{FF2B5EF4-FFF2-40B4-BE49-F238E27FC236}">
                <a16:creationId xmlns:a16="http://schemas.microsoft.com/office/drawing/2014/main" id="{00000000-0008-0000-02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74295</xdr:colOff>
      <xdr:row>46</xdr:row>
      <xdr:rowOff>43815</xdr:rowOff>
    </xdr:from>
    <xdr:to>
      <xdr:col>1</xdr:col>
      <xdr:colOff>981075</xdr:colOff>
      <xdr:row>47</xdr:row>
      <xdr:rowOff>152400</xdr:rowOff>
    </xdr:to>
    <xdr:grpSp>
      <xdr:nvGrpSpPr>
        <xdr:cNvPr id="26" name="Group 4">
          <a:extLst>
            <a:ext uri="{FF2B5EF4-FFF2-40B4-BE49-F238E27FC236}">
              <a16:creationId xmlns:a16="http://schemas.microsoft.com/office/drawing/2014/main" id="{7398EF0B-5808-4A21-AE3F-CF12261B954E}"/>
            </a:ext>
          </a:extLst>
        </xdr:cNvPr>
        <xdr:cNvGrpSpPr>
          <a:grpSpLocks/>
        </xdr:cNvGrpSpPr>
      </xdr:nvGrpSpPr>
      <xdr:grpSpPr bwMode="auto">
        <a:xfrm>
          <a:off x="340995" y="12753975"/>
          <a:ext cx="906780" cy="497205"/>
          <a:chOff x="14" y="101"/>
          <a:chExt cx="91" cy="34"/>
        </a:xfrm>
      </xdr:grpSpPr>
      <xdr:sp macro="" textlink="">
        <xdr:nvSpPr>
          <xdr:cNvPr id="27" name="Oval 5">
            <a:extLst>
              <a:ext uri="{FF2B5EF4-FFF2-40B4-BE49-F238E27FC236}">
                <a16:creationId xmlns:a16="http://schemas.microsoft.com/office/drawing/2014/main" id="{53B92755-F4BE-4B21-8461-290707FD374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AF41AADA-8E5F-46C0-AD36-83EA090B2F3A}"/>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66676</xdr:colOff>
      <xdr:row>105</xdr:row>
      <xdr:rowOff>32386</xdr:rowOff>
    </xdr:from>
    <xdr:to>
      <xdr:col>1</xdr:col>
      <xdr:colOff>914400</xdr:colOff>
      <xdr:row>106</xdr:row>
      <xdr:rowOff>95251</xdr:rowOff>
    </xdr:to>
    <xdr:grpSp>
      <xdr:nvGrpSpPr>
        <xdr:cNvPr id="32" name="Group 4">
          <a:extLst>
            <a:ext uri="{FF2B5EF4-FFF2-40B4-BE49-F238E27FC236}">
              <a16:creationId xmlns:a16="http://schemas.microsoft.com/office/drawing/2014/main" id="{2E54AE8C-B59E-45D5-BDCC-AD114EE0BF0E}"/>
            </a:ext>
          </a:extLst>
        </xdr:cNvPr>
        <xdr:cNvGrpSpPr>
          <a:grpSpLocks/>
        </xdr:cNvGrpSpPr>
      </xdr:nvGrpSpPr>
      <xdr:grpSpPr bwMode="auto">
        <a:xfrm>
          <a:off x="333376" y="27007186"/>
          <a:ext cx="847724" cy="451485"/>
          <a:chOff x="14" y="101"/>
          <a:chExt cx="91" cy="34"/>
        </a:xfrm>
      </xdr:grpSpPr>
      <xdr:sp macro="" textlink="">
        <xdr:nvSpPr>
          <xdr:cNvPr id="33" name="Oval 5">
            <a:extLst>
              <a:ext uri="{FF2B5EF4-FFF2-40B4-BE49-F238E27FC236}">
                <a16:creationId xmlns:a16="http://schemas.microsoft.com/office/drawing/2014/main" id="{CCD29840-39A5-4A06-96DF-809DEB3BB4C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5D32F905-DAB1-4E93-9FEB-03D88E31990A}"/>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twoCellAnchor>
    <xdr:from>
      <xdr:col>1</xdr:col>
      <xdr:colOff>180975</xdr:colOff>
      <xdr:row>0</xdr:row>
      <xdr:rowOff>838200</xdr:rowOff>
    </xdr:from>
    <xdr:to>
      <xdr:col>3</xdr:col>
      <xdr:colOff>228601</xdr:colOff>
      <xdr:row>2</xdr:row>
      <xdr:rowOff>85725</xdr:rowOff>
    </xdr:to>
    <xdr:sp macro="" textlink="">
      <xdr:nvSpPr>
        <xdr:cNvPr id="22" name="Oval 21">
          <a:extLst>
            <a:ext uri="{FF2B5EF4-FFF2-40B4-BE49-F238E27FC236}">
              <a16:creationId xmlns:a16="http://schemas.microsoft.com/office/drawing/2014/main" id="{6D30EBAA-9E5D-4E1D-97A0-2CB7E8CE5E02}"/>
            </a:ext>
          </a:extLst>
        </xdr:cNvPr>
        <xdr:cNvSpPr/>
      </xdr:nvSpPr>
      <xdr:spPr>
        <a:xfrm>
          <a:off x="438150" y="838200"/>
          <a:ext cx="2305051" cy="847725"/>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2B - Non-Day Habilitation Participants</a:t>
          </a:r>
          <a:endParaRPr lang="en-US" sz="1100"/>
        </a:p>
      </xdr:txBody>
    </xdr:sp>
    <xdr:clientData/>
  </xdr:twoCellAnchor>
  <xdr:twoCellAnchor>
    <xdr:from>
      <xdr:col>1</xdr:col>
      <xdr:colOff>85725</xdr:colOff>
      <xdr:row>52</xdr:row>
      <xdr:rowOff>123825</xdr:rowOff>
    </xdr:from>
    <xdr:to>
      <xdr:col>1</xdr:col>
      <xdr:colOff>1076325</xdr:colOff>
      <xdr:row>54</xdr:row>
      <xdr:rowOff>1</xdr:rowOff>
    </xdr:to>
    <xdr:grpSp>
      <xdr:nvGrpSpPr>
        <xdr:cNvPr id="46" name="Group 4">
          <a:extLst>
            <a:ext uri="{FF2B5EF4-FFF2-40B4-BE49-F238E27FC236}">
              <a16:creationId xmlns:a16="http://schemas.microsoft.com/office/drawing/2014/main" id="{C3944720-869C-4E83-9669-F7BED7047710}"/>
            </a:ext>
          </a:extLst>
        </xdr:cNvPr>
        <xdr:cNvGrpSpPr>
          <a:grpSpLocks/>
        </xdr:cNvGrpSpPr>
      </xdr:nvGrpSpPr>
      <xdr:grpSpPr bwMode="auto">
        <a:xfrm>
          <a:off x="352425" y="15150465"/>
          <a:ext cx="990600" cy="516256"/>
          <a:chOff x="14" y="101"/>
          <a:chExt cx="91" cy="34"/>
        </a:xfrm>
      </xdr:grpSpPr>
      <xdr:sp macro="" textlink="">
        <xdr:nvSpPr>
          <xdr:cNvPr id="47" name="Oval 5">
            <a:extLst>
              <a:ext uri="{FF2B5EF4-FFF2-40B4-BE49-F238E27FC236}">
                <a16:creationId xmlns:a16="http://schemas.microsoft.com/office/drawing/2014/main" id="{43545CBB-8B01-4C8B-8596-7B840A457599}"/>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8" name="Text Box 6">
            <a:extLst>
              <a:ext uri="{FF2B5EF4-FFF2-40B4-BE49-F238E27FC236}">
                <a16:creationId xmlns:a16="http://schemas.microsoft.com/office/drawing/2014/main" id="{C6611B6E-38E4-4C25-BEB7-5A9B5E720074}"/>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tabSelected="1" zoomScaleNormal="100" workbookViewId="0">
      <selection activeCell="J4" sqref="J4"/>
    </sheetView>
  </sheetViews>
  <sheetFormatPr defaultColWidth="9.109375" defaultRowHeight="13.2" x14ac:dyDescent="0.25"/>
  <cols>
    <col min="1" max="1" width="2.33203125" style="2" customWidth="1"/>
    <col min="2" max="2" width="3.6640625" style="2" customWidth="1"/>
    <col min="3" max="3" width="70.33203125" style="2" customWidth="1"/>
    <col min="4" max="4" width="8.109375" style="2" customWidth="1"/>
    <col min="5" max="5" width="18.88671875" style="2" customWidth="1"/>
    <col min="6" max="16384" width="9.109375" style="10"/>
  </cols>
  <sheetData>
    <row r="1" spans="1:12" s="8" customFormat="1" ht="90" customHeight="1" x14ac:dyDescent="0.25">
      <c r="A1" s="204"/>
      <c r="B1" s="298" t="s">
        <v>216</v>
      </c>
      <c r="C1" s="299"/>
      <c r="D1" s="299"/>
      <c r="E1" s="300"/>
      <c r="F1" s="54"/>
      <c r="G1" s="54"/>
      <c r="H1" s="54"/>
      <c r="I1" s="54"/>
      <c r="J1" s="54"/>
      <c r="K1" s="54"/>
      <c r="L1" s="54"/>
    </row>
    <row r="2" spans="1:12" s="9" customFormat="1" ht="17.399999999999999" x14ac:dyDescent="0.25">
      <c r="A2" s="205"/>
      <c r="B2" s="205"/>
      <c r="C2" s="205"/>
      <c r="D2" s="205"/>
      <c r="E2" s="205"/>
      <c r="F2" s="1"/>
    </row>
    <row r="3" spans="1:12" s="2" customFormat="1" ht="49.95" customHeight="1" x14ac:dyDescent="0.25">
      <c r="A3" s="206"/>
      <c r="B3" s="207"/>
      <c r="C3" s="304" t="s">
        <v>14</v>
      </c>
      <c r="D3" s="304"/>
      <c r="E3" s="305"/>
      <c r="F3" s="3"/>
      <c r="G3" s="3"/>
    </row>
    <row r="4" spans="1:12" s="2" customFormat="1" ht="19.5" customHeight="1" x14ac:dyDescent="0.25">
      <c r="A4" s="206"/>
      <c r="B4" s="208"/>
      <c r="C4" s="209"/>
      <c r="D4" s="209"/>
      <c r="E4" s="210"/>
      <c r="F4" s="3"/>
      <c r="G4" s="3"/>
    </row>
    <row r="5" spans="1:12" ht="13.8" x14ac:dyDescent="0.25">
      <c r="A5" s="211"/>
      <c r="B5" s="307" t="s">
        <v>15</v>
      </c>
      <c r="C5" s="296"/>
      <c r="D5" s="301"/>
      <c r="E5" s="302"/>
    </row>
    <row r="6" spans="1:12" ht="31.5" customHeight="1" x14ac:dyDescent="0.25">
      <c r="A6" s="212"/>
      <c r="B6" s="289" t="s">
        <v>134</v>
      </c>
      <c r="C6" s="291"/>
      <c r="D6" s="292"/>
      <c r="E6" s="30"/>
    </row>
    <row r="7" spans="1:12" ht="41.25" customHeight="1" x14ac:dyDescent="0.25">
      <c r="A7" s="212"/>
      <c r="B7" s="293" t="s">
        <v>132</v>
      </c>
      <c r="C7" s="294"/>
      <c r="D7" s="295"/>
      <c r="E7" s="30"/>
    </row>
    <row r="8" spans="1:12" ht="22.5" customHeight="1" x14ac:dyDescent="0.25">
      <c r="A8" s="212"/>
      <c r="B8" s="293" t="s">
        <v>133</v>
      </c>
      <c r="C8" s="294"/>
      <c r="D8" s="295"/>
      <c r="E8" s="30"/>
    </row>
    <row r="9" spans="1:12" ht="22.5" customHeight="1" x14ac:dyDescent="0.25">
      <c r="A9" s="212"/>
      <c r="B9" s="293" t="s">
        <v>234</v>
      </c>
      <c r="C9" s="294"/>
      <c r="D9" s="295"/>
      <c r="E9" s="30"/>
    </row>
    <row r="10" spans="1:12" ht="22.5" customHeight="1" x14ac:dyDescent="0.25">
      <c r="A10" s="212"/>
      <c r="B10" s="293" t="s">
        <v>233</v>
      </c>
      <c r="C10" s="294"/>
      <c r="D10" s="295"/>
      <c r="E10" s="30"/>
    </row>
    <row r="11" spans="1:12" ht="24.75" customHeight="1" x14ac:dyDescent="0.25">
      <c r="A11" s="212"/>
      <c r="B11" s="293" t="s">
        <v>235</v>
      </c>
      <c r="C11" s="294"/>
      <c r="D11" s="295"/>
      <c r="E11" s="30"/>
    </row>
    <row r="12" spans="1:12" ht="30" customHeight="1" x14ac:dyDescent="0.25">
      <c r="A12" s="212"/>
      <c r="B12" s="293" t="s">
        <v>217</v>
      </c>
      <c r="C12" s="294"/>
      <c r="D12" s="295"/>
      <c r="E12" s="30"/>
    </row>
    <row r="13" spans="1:12" ht="29.25" customHeight="1" x14ac:dyDescent="0.25">
      <c r="A13" s="212"/>
      <c r="B13" s="293" t="s">
        <v>218</v>
      </c>
      <c r="C13" s="294"/>
      <c r="D13" s="295"/>
      <c r="E13" s="30"/>
    </row>
    <row r="14" spans="1:12" ht="27" customHeight="1" x14ac:dyDescent="0.25">
      <c r="A14" s="212"/>
      <c r="B14" s="293" t="s">
        <v>219</v>
      </c>
      <c r="C14" s="294"/>
      <c r="D14" s="295"/>
      <c r="E14" s="30"/>
    </row>
    <row r="15" spans="1:12" ht="21" customHeight="1" x14ac:dyDescent="0.25">
      <c r="A15" s="212"/>
      <c r="B15" s="293" t="s">
        <v>220</v>
      </c>
      <c r="C15" s="294"/>
      <c r="D15" s="295"/>
      <c r="E15" s="30"/>
    </row>
    <row r="16" spans="1:12" ht="27" customHeight="1" x14ac:dyDescent="0.25">
      <c r="A16" s="212"/>
      <c r="B16" s="293" t="s">
        <v>221</v>
      </c>
      <c r="C16" s="294"/>
      <c r="D16" s="295"/>
      <c r="E16" s="30"/>
    </row>
    <row r="17" spans="1:11" ht="21" customHeight="1" x14ac:dyDescent="0.25">
      <c r="A17" s="212"/>
      <c r="B17" s="293" t="s">
        <v>222</v>
      </c>
      <c r="C17" s="294"/>
      <c r="D17" s="295"/>
      <c r="E17" s="30"/>
    </row>
    <row r="18" spans="1:11" ht="25.5" customHeight="1" x14ac:dyDescent="0.25">
      <c r="A18" s="212"/>
      <c r="B18" s="293" t="s">
        <v>223</v>
      </c>
      <c r="C18" s="294"/>
      <c r="D18" s="295"/>
      <c r="E18" s="30"/>
    </row>
    <row r="19" spans="1:11" ht="20.25" customHeight="1" x14ac:dyDescent="0.25">
      <c r="A19" s="211"/>
      <c r="B19" s="306" t="s">
        <v>35</v>
      </c>
      <c r="C19" s="306"/>
      <c r="D19" s="32" t="s">
        <v>0</v>
      </c>
      <c r="E19" s="88">
        <f>SUM(E6:E18)</f>
        <v>0</v>
      </c>
    </row>
    <row r="20" spans="1:11" s="7" customFormat="1" ht="16.2" x14ac:dyDescent="0.25">
      <c r="A20" s="211"/>
      <c r="B20" s="31"/>
      <c r="C20" s="256"/>
      <c r="D20" s="257"/>
      <c r="E20" s="258"/>
      <c r="F20" s="5"/>
      <c r="G20" s="6"/>
      <c r="H20" s="6"/>
      <c r="I20" s="4"/>
      <c r="J20" s="4"/>
      <c r="K20" s="5"/>
    </row>
    <row r="21" spans="1:11" ht="13.8" x14ac:dyDescent="0.25">
      <c r="A21" s="211"/>
      <c r="B21" s="307" t="s">
        <v>36</v>
      </c>
      <c r="C21" s="296"/>
      <c r="D21" s="301"/>
      <c r="E21" s="303"/>
    </row>
    <row r="22" spans="1:11" ht="13.8" x14ac:dyDescent="0.25">
      <c r="A22" s="211"/>
      <c r="B22" s="289" t="s">
        <v>37</v>
      </c>
      <c r="C22" s="291"/>
      <c r="D22" s="290"/>
      <c r="E22" s="33"/>
    </row>
    <row r="23" spans="1:11" ht="13.8" x14ac:dyDescent="0.25">
      <c r="A23" s="211"/>
      <c r="B23" s="289" t="s">
        <v>38</v>
      </c>
      <c r="C23" s="291"/>
      <c r="D23" s="290"/>
      <c r="E23" s="33"/>
    </row>
    <row r="24" spans="1:11" ht="13.8" x14ac:dyDescent="0.25">
      <c r="A24" s="211"/>
      <c r="B24" s="289" t="s">
        <v>39</v>
      </c>
      <c r="C24" s="291"/>
      <c r="D24" s="290"/>
      <c r="E24" s="33"/>
    </row>
    <row r="25" spans="1:11" ht="13.8" x14ac:dyDescent="0.25">
      <c r="A25" s="211"/>
      <c r="B25" s="289" t="s">
        <v>40</v>
      </c>
      <c r="C25" s="291"/>
      <c r="D25" s="290"/>
      <c r="E25" s="33"/>
    </row>
    <row r="26" spans="1:11" ht="16.5" customHeight="1" x14ac:dyDescent="0.25">
      <c r="A26" s="211"/>
      <c r="B26" s="306" t="s">
        <v>16</v>
      </c>
      <c r="C26" s="306"/>
      <c r="D26" s="63" t="s">
        <v>1</v>
      </c>
      <c r="E26" s="34">
        <f>SUM(E22:E25)</f>
        <v>0</v>
      </c>
    </row>
    <row r="27" spans="1:11" x14ac:dyDescent="0.25">
      <c r="A27" s="206"/>
      <c r="B27" s="213"/>
      <c r="C27" s="213"/>
      <c r="D27" s="213"/>
      <c r="E27" s="213"/>
    </row>
    <row r="28" spans="1:11" ht="13.95" customHeight="1" x14ac:dyDescent="0.25">
      <c r="A28" s="206"/>
      <c r="B28" s="296" t="s">
        <v>104</v>
      </c>
      <c r="C28" s="297"/>
      <c r="D28" s="254"/>
      <c r="E28" s="255"/>
    </row>
    <row r="29" spans="1:11" ht="30" customHeight="1" x14ac:dyDescent="0.25">
      <c r="A29" s="206"/>
      <c r="B29" s="289" t="s">
        <v>240</v>
      </c>
      <c r="C29" s="290"/>
      <c r="D29" s="63" t="s">
        <v>2</v>
      </c>
      <c r="E29" s="75"/>
    </row>
  </sheetData>
  <sheetProtection password="C82F" sheet="1" objects="1" scenarios="1"/>
  <mergeCells count="27">
    <mergeCell ref="B1:E1"/>
    <mergeCell ref="D5:E5"/>
    <mergeCell ref="D21:E21"/>
    <mergeCell ref="C3:E3"/>
    <mergeCell ref="B26:C26"/>
    <mergeCell ref="B21:C21"/>
    <mergeCell ref="B19:C19"/>
    <mergeCell ref="B5:C5"/>
    <mergeCell ref="B11:D11"/>
    <mergeCell ref="B9:D9"/>
    <mergeCell ref="B10:D10"/>
    <mergeCell ref="B25:D25"/>
    <mergeCell ref="B29:C29"/>
    <mergeCell ref="B6:D6"/>
    <mergeCell ref="B7:D7"/>
    <mergeCell ref="B8:D8"/>
    <mergeCell ref="B12:D12"/>
    <mergeCell ref="B13:D13"/>
    <mergeCell ref="B14:D14"/>
    <mergeCell ref="B15:D15"/>
    <mergeCell ref="B16:D16"/>
    <mergeCell ref="B17:D17"/>
    <mergeCell ref="B18:D18"/>
    <mergeCell ref="B22:D22"/>
    <mergeCell ref="B23:D23"/>
    <mergeCell ref="B24:D24"/>
    <mergeCell ref="B28:C28"/>
  </mergeCells>
  <pageMargins left="0.25" right="0.25" top="0.75" bottom="0.75" header="0.3" footer="0.3"/>
  <pageSetup scale="98" orientation="portrait" r:id="rId1"/>
  <headerFooter>
    <oddFooter>&amp;C&amp;A&amp;R&amp;N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E5E85-F1F8-4CD5-AD1F-E889767E7178}">
  <sheetPr>
    <pageSetUpPr fitToPage="1"/>
  </sheetPr>
  <dimension ref="A1:O23"/>
  <sheetViews>
    <sheetView zoomScaleNormal="100" workbookViewId="0"/>
  </sheetViews>
  <sheetFormatPr defaultColWidth="9.109375" defaultRowHeight="13.2" x14ac:dyDescent="0.25"/>
  <cols>
    <col min="1" max="1" width="3.88671875" style="11" customWidth="1"/>
    <col min="2" max="2" width="24" style="11" customWidth="1"/>
    <col min="3" max="3" width="10.33203125" style="11" customWidth="1"/>
    <col min="4" max="4" width="3.88671875" style="11" customWidth="1"/>
    <col min="5" max="5" width="10.88671875" style="11" customWidth="1"/>
    <col min="6" max="6" width="4.6640625" style="11" customWidth="1"/>
    <col min="7" max="7" width="12.109375" style="11" customWidth="1"/>
    <col min="8" max="8" width="3.88671875" style="11" customWidth="1"/>
    <col min="9" max="9" width="5" style="11" customWidth="1"/>
    <col min="10" max="10" width="12.6640625" style="11" customWidth="1"/>
    <col min="11" max="11" width="3.6640625" style="11" customWidth="1"/>
    <col min="12" max="12" width="5" style="11" customWidth="1"/>
    <col min="13" max="13" width="14.44140625" style="11" customWidth="1"/>
    <col min="14" max="14" width="2" style="11" customWidth="1"/>
    <col min="15" max="16384" width="9.109375" style="11"/>
  </cols>
  <sheetData>
    <row r="1" spans="1:15" ht="114" customHeight="1" x14ac:dyDescent="0.25">
      <c r="A1" s="100"/>
      <c r="B1" s="321" t="s">
        <v>93</v>
      </c>
      <c r="C1" s="322"/>
      <c r="D1" s="322"/>
      <c r="E1" s="322"/>
      <c r="F1" s="322"/>
      <c r="G1" s="322"/>
      <c r="H1" s="322"/>
      <c r="I1" s="322"/>
      <c r="J1" s="322"/>
      <c r="K1" s="322"/>
      <c r="L1" s="322"/>
      <c r="M1" s="323"/>
      <c r="N1"/>
    </row>
    <row r="2" spans="1:15" ht="12.6" customHeight="1" x14ac:dyDescent="0.25">
      <c r="A2" s="100"/>
      <c r="B2" s="100"/>
      <c r="C2" s="100"/>
      <c r="D2" s="100"/>
      <c r="E2" s="100"/>
      <c r="F2" s="100"/>
      <c r="G2" s="100"/>
      <c r="H2" s="100"/>
      <c r="I2" s="100"/>
      <c r="J2" s="100"/>
      <c r="K2" s="100"/>
      <c r="L2" s="100"/>
      <c r="M2" s="100"/>
    </row>
    <row r="3" spans="1:15" customFormat="1" ht="28.2" customHeight="1" x14ac:dyDescent="0.25">
      <c r="A3" s="102"/>
      <c r="B3" s="324" t="s">
        <v>34</v>
      </c>
      <c r="C3" s="325"/>
      <c r="D3" s="325"/>
      <c r="E3" s="325"/>
      <c r="F3" s="325"/>
      <c r="G3" s="325"/>
      <c r="H3" s="325"/>
      <c r="I3" s="325"/>
      <c r="J3" s="325"/>
      <c r="K3" s="325"/>
      <c r="L3" s="325"/>
      <c r="M3" s="326"/>
    </row>
    <row r="4" spans="1:15" customFormat="1" ht="28.2" customHeight="1" x14ac:dyDescent="0.25">
      <c r="A4" s="102"/>
      <c r="B4" s="242"/>
      <c r="C4" s="243"/>
      <c r="D4" s="243"/>
      <c r="E4" s="243"/>
      <c r="F4" s="330" t="s">
        <v>55</v>
      </c>
      <c r="G4" s="331"/>
      <c r="H4" s="241"/>
      <c r="I4" s="332" t="s">
        <v>58</v>
      </c>
      <c r="J4" s="333"/>
      <c r="K4" s="241"/>
      <c r="L4" s="334" t="s">
        <v>59</v>
      </c>
      <c r="M4" s="335"/>
    </row>
    <row r="5" spans="1:15" customFormat="1" ht="15" customHeight="1" x14ac:dyDescent="0.25">
      <c r="A5" s="102"/>
      <c r="B5" s="103"/>
      <c r="C5" s="100"/>
      <c r="D5" s="100"/>
      <c r="E5" s="100"/>
      <c r="F5" s="327"/>
      <c r="G5" s="328"/>
      <c r="H5" s="91"/>
      <c r="I5" s="327"/>
      <c r="J5" s="329"/>
      <c r="K5" s="91"/>
      <c r="L5" s="327"/>
      <c r="M5" s="329"/>
    </row>
    <row r="6" spans="1:15" customFormat="1" ht="27.6" customHeight="1" x14ac:dyDescent="0.25">
      <c r="A6" s="102"/>
      <c r="B6" s="336" t="s">
        <v>96</v>
      </c>
      <c r="C6" s="336"/>
      <c r="D6" s="336"/>
      <c r="E6" s="336"/>
      <c r="F6" s="90"/>
      <c r="G6" s="85"/>
      <c r="H6" s="92"/>
      <c r="I6" s="90"/>
      <c r="J6" s="85"/>
      <c r="K6" s="92"/>
      <c r="L6" s="90"/>
      <c r="M6" s="85"/>
      <c r="O6" s="87"/>
    </row>
    <row r="7" spans="1:15" customFormat="1" ht="27.6" customHeight="1" x14ac:dyDescent="0.25">
      <c r="A7" s="102"/>
      <c r="B7" s="311" t="s">
        <v>97</v>
      </c>
      <c r="C7" s="312"/>
      <c r="D7" s="312"/>
      <c r="E7" s="313"/>
      <c r="F7" s="90"/>
      <c r="G7" s="85"/>
      <c r="H7" s="92"/>
      <c r="I7" s="90"/>
      <c r="J7" s="85"/>
      <c r="K7" s="92"/>
      <c r="L7" s="90"/>
      <c r="M7" s="85"/>
    </row>
    <row r="8" spans="1:15" customFormat="1" ht="27.6" customHeight="1" x14ac:dyDescent="0.25">
      <c r="A8" s="102"/>
      <c r="B8" s="311" t="s">
        <v>101</v>
      </c>
      <c r="C8" s="312"/>
      <c r="D8" s="312"/>
      <c r="E8" s="313"/>
      <c r="F8" s="90"/>
      <c r="G8" s="85"/>
      <c r="H8" s="92"/>
      <c r="I8" s="90"/>
      <c r="J8" s="85"/>
      <c r="K8" s="92"/>
      <c r="L8" s="90"/>
      <c r="M8" s="85"/>
    </row>
    <row r="9" spans="1:15" customFormat="1" ht="27.6" customHeight="1" x14ac:dyDescent="0.25">
      <c r="A9" s="102"/>
      <c r="B9" s="311" t="s">
        <v>98</v>
      </c>
      <c r="C9" s="312"/>
      <c r="D9" s="312"/>
      <c r="E9" s="313"/>
      <c r="F9" s="90"/>
      <c r="G9" s="85"/>
      <c r="H9" s="92"/>
      <c r="I9" s="90"/>
      <c r="J9" s="85"/>
      <c r="K9" s="92"/>
      <c r="L9" s="90"/>
      <c r="M9" s="85"/>
    </row>
    <row r="10" spans="1:15" customFormat="1" ht="27.6" customHeight="1" x14ac:dyDescent="0.25">
      <c r="A10" s="102"/>
      <c r="B10" s="311" t="s">
        <v>100</v>
      </c>
      <c r="C10" s="312"/>
      <c r="D10" s="312"/>
      <c r="E10" s="313"/>
      <c r="F10" s="90"/>
      <c r="G10" s="85"/>
      <c r="H10" s="92"/>
      <c r="I10" s="90"/>
      <c r="J10" s="85"/>
      <c r="K10" s="92"/>
      <c r="L10" s="90"/>
      <c r="M10" s="85"/>
    </row>
    <row r="11" spans="1:15" customFormat="1" ht="27.6" customHeight="1" x14ac:dyDescent="0.25">
      <c r="A11" s="102"/>
      <c r="B11" s="311" t="s">
        <v>213</v>
      </c>
      <c r="C11" s="312"/>
      <c r="D11" s="312"/>
      <c r="E11" s="313"/>
      <c r="F11" s="90"/>
      <c r="G11" s="85"/>
      <c r="H11" s="92"/>
      <c r="I11" s="90"/>
      <c r="J11" s="85"/>
      <c r="K11" s="92"/>
      <c r="L11" s="90"/>
      <c r="M11" s="85"/>
    </row>
    <row r="12" spans="1:15" customFormat="1" ht="27.6" customHeight="1" x14ac:dyDescent="0.25">
      <c r="A12" s="102"/>
      <c r="B12" s="311" t="s">
        <v>99</v>
      </c>
      <c r="C12" s="312"/>
      <c r="D12" s="312"/>
      <c r="E12" s="313"/>
      <c r="F12" s="90"/>
      <c r="G12" s="85"/>
      <c r="H12" s="92"/>
      <c r="I12" s="90"/>
      <c r="J12" s="85"/>
      <c r="K12" s="92"/>
      <c r="L12" s="90"/>
      <c r="M12" s="85"/>
    </row>
    <row r="13" spans="1:15" customFormat="1" ht="27.6" customHeight="1" x14ac:dyDescent="0.25">
      <c r="A13" s="102"/>
      <c r="B13" s="311" t="s">
        <v>214</v>
      </c>
      <c r="C13" s="312"/>
      <c r="D13" s="312"/>
      <c r="E13" s="313"/>
      <c r="F13" s="90"/>
      <c r="G13" s="85"/>
      <c r="H13" s="93"/>
      <c r="I13" s="90"/>
      <c r="J13" s="85"/>
      <c r="K13" s="92"/>
      <c r="L13" s="90"/>
      <c r="M13" s="85"/>
    </row>
    <row r="14" spans="1:15" customFormat="1" ht="27.6" customHeight="1" x14ac:dyDescent="0.25">
      <c r="A14" s="102"/>
      <c r="B14" s="320" t="s">
        <v>224</v>
      </c>
      <c r="C14" s="320"/>
      <c r="D14" s="320"/>
      <c r="E14" s="320"/>
      <c r="F14" s="90"/>
      <c r="G14" s="85"/>
      <c r="H14" s="92"/>
      <c r="I14" s="90"/>
      <c r="J14" s="85"/>
      <c r="K14" s="92"/>
      <c r="L14" s="90"/>
      <c r="M14" s="85"/>
    </row>
    <row r="15" spans="1:15" customFormat="1" ht="27.6" customHeight="1" x14ac:dyDescent="0.25">
      <c r="A15" s="102"/>
      <c r="B15" s="308" t="s">
        <v>225</v>
      </c>
      <c r="C15" s="309"/>
      <c r="D15" s="309"/>
      <c r="E15" s="310"/>
      <c r="F15" s="90"/>
      <c r="G15" s="85"/>
      <c r="H15" s="92"/>
      <c r="I15" s="90"/>
      <c r="J15" s="85"/>
      <c r="K15" s="92"/>
      <c r="L15" s="90"/>
      <c r="M15" s="85"/>
    </row>
    <row r="16" spans="1:15" customFormat="1" ht="27.6" customHeight="1" x14ac:dyDescent="0.25">
      <c r="A16" s="102"/>
      <c r="B16" s="308" t="s">
        <v>226</v>
      </c>
      <c r="C16" s="309"/>
      <c r="D16" s="309"/>
      <c r="E16" s="310"/>
      <c r="F16" s="90"/>
      <c r="G16" s="85"/>
      <c r="H16" s="92"/>
      <c r="I16" s="90"/>
      <c r="J16" s="85"/>
      <c r="K16" s="92"/>
      <c r="L16" s="90"/>
      <c r="M16" s="85"/>
    </row>
    <row r="17" spans="1:15" customFormat="1" ht="27.6" customHeight="1" x14ac:dyDescent="0.25">
      <c r="A17" s="102"/>
      <c r="B17" s="308" t="s">
        <v>227</v>
      </c>
      <c r="C17" s="309"/>
      <c r="D17" s="309"/>
      <c r="E17" s="310"/>
      <c r="F17" s="90"/>
      <c r="G17" s="85"/>
      <c r="H17" s="92"/>
      <c r="I17" s="90"/>
      <c r="J17" s="85"/>
      <c r="K17" s="92"/>
      <c r="L17" s="90"/>
      <c r="M17" s="85"/>
      <c r="O17" s="87"/>
    </row>
    <row r="18" spans="1:15" customFormat="1" ht="27.6" customHeight="1" x14ac:dyDescent="0.25">
      <c r="A18" s="102"/>
      <c r="B18" s="308" t="s">
        <v>229</v>
      </c>
      <c r="C18" s="309"/>
      <c r="D18" s="309"/>
      <c r="E18" s="310"/>
      <c r="F18" s="90"/>
      <c r="G18" s="85"/>
      <c r="H18" s="92"/>
      <c r="I18" s="90"/>
      <c r="J18" s="85"/>
      <c r="K18" s="92"/>
      <c r="L18" s="90"/>
      <c r="M18" s="85"/>
    </row>
    <row r="19" spans="1:15" customFormat="1" ht="27.6" customHeight="1" x14ac:dyDescent="0.25">
      <c r="A19" s="102"/>
      <c r="B19" s="308" t="s">
        <v>228</v>
      </c>
      <c r="C19" s="309"/>
      <c r="D19" s="309"/>
      <c r="E19" s="310"/>
      <c r="F19" s="90"/>
      <c r="G19" s="85"/>
      <c r="H19" s="92"/>
      <c r="I19" s="90"/>
      <c r="J19" s="85"/>
      <c r="K19" s="92"/>
      <c r="L19" s="90"/>
      <c r="M19" s="85"/>
    </row>
    <row r="20" spans="1:15" ht="18" customHeight="1" x14ac:dyDescent="0.25">
      <c r="A20" s="100"/>
      <c r="B20" s="97"/>
      <c r="C20" s="97"/>
      <c r="D20" s="97"/>
      <c r="E20" s="97"/>
      <c r="F20" s="29" t="s">
        <v>3</v>
      </c>
      <c r="G20" s="253">
        <f>SUM(G6:G19)</f>
        <v>0</v>
      </c>
      <c r="H20" s="95"/>
      <c r="I20" s="29" t="s">
        <v>4</v>
      </c>
      <c r="J20" s="253">
        <f>SUM(J6:J19)</f>
        <v>0</v>
      </c>
      <c r="K20" s="96"/>
      <c r="L20" s="29" t="s">
        <v>5</v>
      </c>
      <c r="M20" s="253">
        <f>SUM(M6:M19)</f>
        <v>0</v>
      </c>
    </row>
    <row r="21" spans="1:15" ht="18" customHeight="1" x14ac:dyDescent="0.25">
      <c r="A21" s="100"/>
      <c r="B21" s="97"/>
      <c r="C21" s="97"/>
      <c r="D21" s="97"/>
      <c r="E21" s="97"/>
      <c r="F21" s="246"/>
      <c r="G21" s="245"/>
      <c r="H21" s="100"/>
      <c r="I21" s="98"/>
      <c r="J21" s="99"/>
      <c r="K21" s="100"/>
      <c r="L21" s="246"/>
      <c r="M21" s="245"/>
    </row>
    <row r="22" spans="1:15" ht="15.75" customHeight="1" x14ac:dyDescent="0.3">
      <c r="A22" s="314" t="s">
        <v>202</v>
      </c>
      <c r="B22" s="315"/>
      <c r="C22" s="315"/>
      <c r="D22" s="315"/>
      <c r="E22" s="315"/>
      <c r="F22" s="315"/>
      <c r="G22" s="315"/>
      <c r="H22" s="315"/>
      <c r="I22" s="29" t="s">
        <v>186</v>
      </c>
      <c r="J22" s="270">
        <f>SUM(G20+J20+M20)</f>
        <v>0</v>
      </c>
      <c r="K22" s="247"/>
      <c r="L22" s="29" t="s">
        <v>183</v>
      </c>
      <c r="M22" s="271">
        <f>SUM(G20-G11-G13)+(J20-J11-J13)+(M20-M11-M13)</f>
        <v>0</v>
      </c>
    </row>
    <row r="23" spans="1:15" x14ac:dyDescent="0.25">
      <c r="I23" s="318" t="s">
        <v>42</v>
      </c>
      <c r="J23" s="319"/>
      <c r="K23" s="244"/>
      <c r="L23" s="316" t="s">
        <v>185</v>
      </c>
      <c r="M23" s="317"/>
    </row>
  </sheetData>
  <sheetProtection password="C82F" sheet="1" objects="1" scenarios="1"/>
  <mergeCells count="25">
    <mergeCell ref="B6:E6"/>
    <mergeCell ref="B7:E7"/>
    <mergeCell ref="B8:E8"/>
    <mergeCell ref="B9:E9"/>
    <mergeCell ref="B10:E10"/>
    <mergeCell ref="B1:M1"/>
    <mergeCell ref="B3:M3"/>
    <mergeCell ref="F5:G5"/>
    <mergeCell ref="I5:J5"/>
    <mergeCell ref="L5:M5"/>
    <mergeCell ref="F4:G4"/>
    <mergeCell ref="I4:J4"/>
    <mergeCell ref="L4:M4"/>
    <mergeCell ref="B19:E19"/>
    <mergeCell ref="B11:E11"/>
    <mergeCell ref="A22:H22"/>
    <mergeCell ref="L23:M23"/>
    <mergeCell ref="I23:J23"/>
    <mergeCell ref="B13:E13"/>
    <mergeCell ref="B12:E12"/>
    <mergeCell ref="B16:E16"/>
    <mergeCell ref="B17:E17"/>
    <mergeCell ref="B18:E18"/>
    <mergeCell ref="B14:E14"/>
    <mergeCell ref="B15:E15"/>
  </mergeCells>
  <pageMargins left="0.25" right="0.25" top="0.5" bottom="0.5" header="0.3" footer="0.3"/>
  <pageSetup scale="90" fitToHeight="0" orientation="portrait" r:id="rId1"/>
  <headerFooter alignWithMargins="0">
    <oddFooter>&amp;C&amp;12&amp;A&amp;R&amp;N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6"/>
  <sheetViews>
    <sheetView zoomScaleNormal="100" workbookViewId="0">
      <selection activeCell="U48" sqref="U48"/>
    </sheetView>
  </sheetViews>
  <sheetFormatPr defaultColWidth="9.109375" defaultRowHeight="13.2" x14ac:dyDescent="0.25"/>
  <cols>
    <col min="1" max="1" width="3.88671875" style="11" customWidth="1"/>
    <col min="2" max="2" width="21" style="11" customWidth="1"/>
    <col min="3" max="3" width="10.33203125" style="11" customWidth="1"/>
    <col min="4" max="4" width="3.88671875" style="11" customWidth="1"/>
    <col min="5" max="5" width="10.88671875" style="11" customWidth="1"/>
    <col min="6" max="6" width="4.6640625" style="11" customWidth="1"/>
    <col min="7" max="7" width="13.33203125" style="11" customWidth="1"/>
    <col min="8" max="8" width="3.88671875" style="11" customWidth="1"/>
    <col min="9" max="9" width="10.6640625" style="11" customWidth="1"/>
    <col min="10" max="10" width="4.6640625" style="11" customWidth="1"/>
    <col min="11" max="11" width="11.33203125" style="11" customWidth="1"/>
    <col min="12" max="12" width="3.88671875" style="11" customWidth="1"/>
    <col min="13" max="13" width="5.6640625" style="11" customWidth="1"/>
    <col min="14" max="14" width="13.44140625" style="11" customWidth="1"/>
    <col min="15" max="15" width="7.33203125" style="11" customWidth="1"/>
    <col min="16" max="16384" width="9.109375" style="11"/>
  </cols>
  <sheetData>
    <row r="1" spans="1:38" ht="114" customHeight="1" x14ac:dyDescent="0.25">
      <c r="A1" s="100"/>
      <c r="B1" s="321" t="s">
        <v>93</v>
      </c>
      <c r="C1" s="322"/>
      <c r="D1" s="322"/>
      <c r="E1" s="322"/>
      <c r="F1" s="322"/>
      <c r="G1" s="322"/>
      <c r="H1" s="322"/>
      <c r="I1" s="322"/>
      <c r="J1" s="322"/>
      <c r="K1" s="322"/>
      <c r="L1" s="322"/>
      <c r="M1" s="322"/>
      <c r="N1" s="323"/>
      <c r="O1" s="97"/>
      <c r="P1" s="97"/>
    </row>
    <row r="2" spans="1:38" ht="12.6" customHeight="1" x14ac:dyDescent="0.25">
      <c r="A2" s="100"/>
      <c r="B2" s="100"/>
      <c r="C2" s="100"/>
      <c r="D2" s="100"/>
      <c r="E2" s="100"/>
      <c r="F2" s="100"/>
      <c r="G2" s="100"/>
      <c r="H2" s="100"/>
      <c r="I2" s="100"/>
      <c r="J2" s="100"/>
      <c r="K2" s="100"/>
      <c r="L2" s="100"/>
      <c r="M2" s="100"/>
      <c r="N2" s="100"/>
      <c r="O2" s="97"/>
      <c r="P2" s="97"/>
    </row>
    <row r="3" spans="1:38" ht="28.2" customHeight="1" x14ac:dyDescent="0.25">
      <c r="A3" s="100"/>
      <c r="B3" s="342" t="s">
        <v>41</v>
      </c>
      <c r="C3" s="343"/>
      <c r="D3" s="343"/>
      <c r="E3" s="343"/>
      <c r="F3" s="343"/>
      <c r="G3" s="343"/>
      <c r="H3" s="343"/>
      <c r="I3" s="343"/>
      <c r="J3" s="343"/>
      <c r="K3" s="343"/>
      <c r="L3" s="343"/>
      <c r="M3" s="343"/>
      <c r="N3" s="344"/>
      <c r="O3" s="102"/>
      <c r="P3" s="102"/>
      <c r="Q3" s="46"/>
      <c r="R3" s="66"/>
      <c r="S3" s="66"/>
      <c r="T3" s="66"/>
      <c r="U3" s="66"/>
      <c r="V3" s="66"/>
      <c r="W3" s="66"/>
      <c r="X3" s="66"/>
      <c r="Y3" s="66"/>
      <c r="Z3" s="66"/>
      <c r="AA3" s="66"/>
      <c r="AB3" s="66"/>
      <c r="AC3" s="66"/>
      <c r="AD3" s="66"/>
      <c r="AE3" s="66"/>
      <c r="AF3" s="66"/>
      <c r="AG3" s="66"/>
      <c r="AH3" s="66"/>
      <c r="AI3" s="66"/>
      <c r="AJ3" s="66"/>
      <c r="AK3" s="66"/>
      <c r="AL3" s="66"/>
    </row>
    <row r="4" spans="1:38" s="24" customFormat="1" ht="16.5" customHeight="1" x14ac:dyDescent="0.25">
      <c r="A4" s="138"/>
      <c r="B4" s="360"/>
      <c r="C4" s="361"/>
      <c r="D4" s="361"/>
      <c r="E4" s="361"/>
      <c r="F4" s="361"/>
      <c r="G4" s="361"/>
      <c r="H4" s="361"/>
      <c r="I4" s="361"/>
      <c r="J4" s="361"/>
      <c r="K4" s="361"/>
      <c r="L4" s="361"/>
      <c r="M4" s="361"/>
      <c r="N4" s="362"/>
      <c r="O4" s="411"/>
      <c r="P4" s="411"/>
      <c r="Q4" s="337"/>
      <c r="R4" s="69"/>
      <c r="S4" s="69"/>
      <c r="T4" s="69"/>
      <c r="U4" s="69"/>
      <c r="V4" s="69"/>
      <c r="W4" s="69"/>
      <c r="X4" s="69"/>
      <c r="Y4" s="69"/>
      <c r="Z4" s="69"/>
      <c r="AA4" s="337"/>
      <c r="AB4" s="69"/>
      <c r="AC4" s="69"/>
      <c r="AD4" s="69"/>
      <c r="AE4" s="69"/>
      <c r="AF4" s="69"/>
      <c r="AG4" s="26"/>
      <c r="AH4" s="26"/>
      <c r="AI4" s="26"/>
      <c r="AJ4" s="26"/>
      <c r="AK4" s="26"/>
      <c r="AL4" s="26"/>
    </row>
    <row r="5" spans="1:38" s="27" customFormat="1" ht="28.2" customHeight="1" x14ac:dyDescent="0.25">
      <c r="A5" s="139"/>
      <c r="B5" s="364" t="s">
        <v>102</v>
      </c>
      <c r="C5" s="365"/>
      <c r="D5" s="365"/>
      <c r="E5" s="365"/>
      <c r="F5" s="365"/>
      <c r="G5" s="365"/>
      <c r="H5" s="365"/>
      <c r="I5" s="365"/>
      <c r="J5" s="365"/>
      <c r="K5" s="365"/>
      <c r="L5" s="365"/>
      <c r="M5" s="365"/>
      <c r="N5" s="366"/>
      <c r="O5" s="411"/>
      <c r="P5" s="411"/>
      <c r="Q5" s="337"/>
      <c r="R5" s="69"/>
      <c r="S5" s="69"/>
      <c r="T5" s="69"/>
      <c r="U5" s="69"/>
      <c r="V5" s="69"/>
      <c r="W5" s="69"/>
      <c r="X5" s="69"/>
      <c r="Y5" s="69"/>
      <c r="Z5" s="69"/>
      <c r="AA5" s="337"/>
      <c r="AB5" s="69"/>
      <c r="AC5" s="69"/>
      <c r="AD5" s="69"/>
      <c r="AE5" s="69"/>
      <c r="AF5" s="69"/>
      <c r="AG5" s="51"/>
      <c r="AH5" s="51"/>
      <c r="AI5" s="51"/>
      <c r="AJ5" s="51"/>
      <c r="AK5" s="51"/>
      <c r="AL5" s="51"/>
    </row>
    <row r="6" spans="1:38" s="27" customFormat="1" ht="28.2" customHeight="1" x14ac:dyDescent="0.25">
      <c r="A6" s="139"/>
      <c r="B6" s="363" t="s">
        <v>33</v>
      </c>
      <c r="C6" s="363"/>
      <c r="D6" s="363"/>
      <c r="E6" s="363"/>
      <c r="F6" s="363"/>
      <c r="G6" s="363"/>
      <c r="H6" s="363"/>
      <c r="I6" s="363"/>
      <c r="J6" s="363"/>
      <c r="K6" s="363"/>
      <c r="L6" s="358"/>
      <c r="M6" s="104"/>
      <c r="N6" s="76">
        <f>'Wages, Taxes and Workers'' Comp'!E8</f>
        <v>0</v>
      </c>
      <c r="O6" s="411"/>
      <c r="P6" s="411"/>
      <c r="Q6" s="337"/>
      <c r="R6" s="337"/>
      <c r="S6" s="337"/>
      <c r="T6" s="337"/>
      <c r="U6" s="337"/>
      <c r="V6" s="337"/>
      <c r="W6" s="337"/>
      <c r="X6" s="337"/>
      <c r="Y6" s="337"/>
      <c r="Z6" s="337"/>
      <c r="AA6" s="337"/>
      <c r="AB6" s="337"/>
      <c r="AC6" s="69"/>
      <c r="AD6" s="69"/>
      <c r="AE6" s="69"/>
      <c r="AF6" s="69"/>
      <c r="AG6" s="51"/>
      <c r="AH6" s="51"/>
      <c r="AI6" s="51"/>
      <c r="AJ6" s="51"/>
      <c r="AK6" s="51"/>
      <c r="AL6" s="51"/>
    </row>
    <row r="7" spans="1:38" s="24" customFormat="1" ht="16.5" customHeight="1" x14ac:dyDescent="0.25">
      <c r="A7" s="138"/>
      <c r="B7" s="363" t="s">
        <v>32</v>
      </c>
      <c r="C7" s="363"/>
      <c r="D7" s="363"/>
      <c r="E7" s="363"/>
      <c r="F7" s="363"/>
      <c r="G7" s="363"/>
      <c r="H7" s="363"/>
      <c r="I7" s="363"/>
      <c r="J7" s="363"/>
      <c r="K7" s="363"/>
      <c r="L7" s="358"/>
      <c r="M7" s="104"/>
      <c r="N7" s="25"/>
      <c r="O7" s="411"/>
      <c r="P7" s="411"/>
      <c r="Q7" s="337"/>
      <c r="R7" s="337"/>
      <c r="S7" s="337"/>
      <c r="T7" s="337"/>
      <c r="U7" s="337"/>
      <c r="V7" s="337"/>
      <c r="W7" s="337"/>
      <c r="X7" s="337"/>
      <c r="Y7" s="337"/>
      <c r="Z7" s="337"/>
      <c r="AA7" s="337"/>
      <c r="AB7" s="337"/>
      <c r="AC7" s="69"/>
      <c r="AD7" s="69"/>
      <c r="AE7" s="69"/>
      <c r="AF7" s="69"/>
      <c r="AG7" s="26"/>
      <c r="AH7" s="26"/>
      <c r="AI7" s="26"/>
      <c r="AJ7" s="26"/>
      <c r="AK7" s="26"/>
      <c r="AL7" s="26"/>
    </row>
    <row r="8" spans="1:38" s="24" customFormat="1" ht="16.5" customHeight="1" x14ac:dyDescent="0.25">
      <c r="A8" s="138"/>
      <c r="B8" s="358" t="s">
        <v>31</v>
      </c>
      <c r="C8" s="359"/>
      <c r="D8" s="359"/>
      <c r="E8" s="359"/>
      <c r="F8" s="359"/>
      <c r="G8" s="359"/>
      <c r="H8" s="359"/>
      <c r="I8" s="359"/>
      <c r="J8" s="359"/>
      <c r="K8" s="359"/>
      <c r="L8" s="359"/>
      <c r="M8" s="104"/>
      <c r="N8" s="28"/>
      <c r="O8" s="287"/>
      <c r="P8" s="287"/>
      <c r="Q8" s="70"/>
      <c r="R8" s="71"/>
      <c r="S8" s="66"/>
      <c r="T8" s="71"/>
      <c r="U8" s="71"/>
      <c r="V8" s="71"/>
      <c r="W8" s="71"/>
      <c r="X8" s="71"/>
      <c r="Y8" s="71"/>
      <c r="Z8" s="66"/>
      <c r="AA8" s="71"/>
      <c r="AB8" s="71"/>
      <c r="AC8" s="72"/>
      <c r="AD8" s="71"/>
      <c r="AE8" s="73"/>
      <c r="AF8" s="73"/>
      <c r="AG8" s="26"/>
      <c r="AH8" s="26"/>
      <c r="AI8" s="26"/>
      <c r="AJ8" s="26"/>
      <c r="AK8" s="26"/>
      <c r="AL8" s="26"/>
    </row>
    <row r="9" spans="1:38" s="24" customFormat="1" ht="16.5" customHeight="1" x14ac:dyDescent="0.25">
      <c r="A9" s="138"/>
      <c r="B9" s="358" t="s">
        <v>30</v>
      </c>
      <c r="C9" s="359"/>
      <c r="D9" s="359"/>
      <c r="E9" s="359"/>
      <c r="F9" s="359"/>
      <c r="G9" s="359"/>
      <c r="H9" s="359"/>
      <c r="I9" s="359"/>
      <c r="J9" s="359"/>
      <c r="K9" s="359"/>
      <c r="L9" s="359"/>
      <c r="M9" s="104"/>
      <c r="N9" s="28"/>
      <c r="O9" s="287"/>
      <c r="P9" s="287"/>
      <c r="Q9" s="70"/>
      <c r="R9" s="74"/>
      <c r="S9" s="66"/>
      <c r="T9" s="74"/>
      <c r="U9" s="74"/>
      <c r="V9" s="71"/>
      <c r="W9" s="71"/>
      <c r="X9" s="71"/>
      <c r="Y9" s="71"/>
      <c r="Z9" s="66"/>
      <c r="AA9" s="71"/>
      <c r="AB9" s="71"/>
      <c r="AC9" s="74"/>
      <c r="AD9" s="74"/>
      <c r="AE9" s="74"/>
      <c r="AF9" s="73"/>
      <c r="AG9" s="26"/>
      <c r="AH9" s="26"/>
      <c r="AI9" s="26"/>
      <c r="AJ9" s="26"/>
      <c r="AK9" s="26"/>
      <c r="AL9" s="26"/>
    </row>
    <row r="10" spans="1:38" s="24" customFormat="1" ht="16.5" customHeight="1" x14ac:dyDescent="0.25">
      <c r="A10" s="138"/>
      <c r="B10" s="358" t="s">
        <v>79</v>
      </c>
      <c r="C10" s="359"/>
      <c r="D10" s="359"/>
      <c r="E10" s="359"/>
      <c r="F10" s="359"/>
      <c r="G10" s="359"/>
      <c r="H10" s="359"/>
      <c r="I10" s="359"/>
      <c r="J10" s="359"/>
      <c r="K10" s="359"/>
      <c r="L10" s="359"/>
      <c r="M10" s="134"/>
      <c r="N10" s="77">
        <f>'Wages, Taxes and Workers'' Comp'!E29/2</f>
        <v>0</v>
      </c>
      <c r="O10" s="287"/>
      <c r="P10" s="287"/>
      <c r="Q10" s="70"/>
      <c r="R10" s="71"/>
      <c r="S10" s="66"/>
      <c r="T10" s="71"/>
      <c r="U10" s="71"/>
      <c r="V10" s="71"/>
      <c r="W10" s="71"/>
      <c r="X10" s="71"/>
      <c r="Y10" s="71"/>
      <c r="Z10" s="66"/>
      <c r="AA10" s="71"/>
      <c r="AB10" s="71"/>
      <c r="AC10" s="71"/>
      <c r="AD10" s="71"/>
      <c r="AE10" s="71"/>
      <c r="AF10" s="73"/>
      <c r="AG10" s="26"/>
      <c r="AH10" s="26"/>
      <c r="AI10" s="26"/>
      <c r="AJ10" s="26"/>
      <c r="AK10" s="26"/>
      <c r="AL10" s="26"/>
    </row>
    <row r="11" spans="1:38" s="24" customFormat="1" ht="16.5" customHeight="1" x14ac:dyDescent="0.25">
      <c r="A11" s="138"/>
      <c r="B11" s="414" t="s">
        <v>230</v>
      </c>
      <c r="C11" s="415"/>
      <c r="D11" s="415"/>
      <c r="E11" s="415"/>
      <c r="F11" s="415"/>
      <c r="G11" s="415"/>
      <c r="H11" s="415"/>
      <c r="I11" s="415"/>
      <c r="J11" s="415"/>
      <c r="K11" s="415"/>
      <c r="L11" s="415"/>
      <c r="M11" s="416"/>
      <c r="N11" s="196">
        <f>IFERROR(ROUND('Wages, Taxes and Workers'' Comp'!E26*('Wages, Taxes and Workers'' Comp'!E8/'Wages, Taxes and Workers'' Comp'!E19),0),0)</f>
        <v>0</v>
      </c>
      <c r="O11" s="287"/>
      <c r="P11" s="287"/>
      <c r="Q11" s="70"/>
      <c r="R11" s="71"/>
      <c r="S11" s="66"/>
      <c r="T11" s="71"/>
      <c r="U11" s="71"/>
      <c r="V11" s="71"/>
      <c r="W11" s="71"/>
      <c r="X11" s="71"/>
      <c r="Y11" s="71"/>
      <c r="Z11" s="66"/>
      <c r="AA11" s="71"/>
      <c r="AB11" s="71"/>
      <c r="AC11" s="71"/>
      <c r="AD11" s="71"/>
      <c r="AE11" s="71"/>
      <c r="AF11" s="73"/>
      <c r="AG11" s="26"/>
      <c r="AH11" s="26"/>
      <c r="AI11" s="26"/>
      <c r="AJ11" s="26"/>
      <c r="AK11" s="26"/>
      <c r="AL11" s="26"/>
    </row>
    <row r="12" spans="1:38" s="24" customFormat="1" ht="16.5" customHeight="1" x14ac:dyDescent="0.3">
      <c r="A12" s="138"/>
      <c r="B12" s="354" t="s">
        <v>131</v>
      </c>
      <c r="C12" s="355"/>
      <c r="D12" s="355"/>
      <c r="E12" s="355"/>
      <c r="F12" s="355"/>
      <c r="G12" s="355"/>
      <c r="H12" s="355"/>
      <c r="I12" s="355"/>
      <c r="J12" s="355"/>
      <c r="K12" s="355"/>
      <c r="L12" s="355"/>
      <c r="M12" s="134"/>
      <c r="N12" s="196">
        <f>SUM(N6:N11)</f>
        <v>0</v>
      </c>
      <c r="O12" s="287"/>
      <c r="P12" s="287"/>
      <c r="Q12" s="70"/>
      <c r="R12" s="71"/>
      <c r="S12" s="66"/>
      <c r="T12" s="71"/>
      <c r="U12" s="71"/>
      <c r="V12" s="71"/>
      <c r="W12" s="71"/>
      <c r="X12" s="71"/>
      <c r="Y12" s="71"/>
      <c r="Z12" s="66"/>
      <c r="AA12" s="71"/>
      <c r="AB12" s="71"/>
      <c r="AC12" s="71"/>
      <c r="AD12" s="71"/>
      <c r="AE12" s="71"/>
      <c r="AF12" s="73"/>
      <c r="AG12" s="26"/>
      <c r="AH12" s="26"/>
      <c r="AI12" s="26"/>
      <c r="AJ12" s="26"/>
      <c r="AK12" s="26"/>
      <c r="AL12" s="26"/>
    </row>
    <row r="13" spans="1:38" s="24" customFormat="1" ht="16.5" customHeight="1" x14ac:dyDescent="0.25">
      <c r="A13" s="138"/>
      <c r="B13" s="105"/>
      <c r="C13" s="197"/>
      <c r="D13" s="197"/>
      <c r="E13" s="197"/>
      <c r="F13" s="197"/>
      <c r="G13" s="197"/>
      <c r="H13" s="197"/>
      <c r="I13" s="197"/>
      <c r="J13" s="197"/>
      <c r="K13" s="197"/>
      <c r="L13" s="197"/>
      <c r="M13" s="198"/>
      <c r="N13" s="199"/>
      <c r="O13" s="287"/>
      <c r="P13" s="287"/>
      <c r="Q13" s="70"/>
      <c r="R13" s="71"/>
      <c r="S13" s="66"/>
      <c r="T13" s="71"/>
      <c r="U13" s="71"/>
      <c r="V13" s="71"/>
      <c r="W13" s="71"/>
      <c r="X13" s="71"/>
      <c r="Y13" s="71"/>
      <c r="Z13" s="66"/>
      <c r="AA13" s="71"/>
      <c r="AB13" s="71"/>
      <c r="AC13" s="71"/>
      <c r="AD13" s="71"/>
      <c r="AE13" s="71"/>
      <c r="AF13" s="73"/>
      <c r="AG13" s="26"/>
      <c r="AH13" s="26"/>
      <c r="AI13" s="26"/>
      <c r="AJ13" s="26"/>
      <c r="AK13" s="26"/>
      <c r="AL13" s="26"/>
    </row>
    <row r="14" spans="1:38" s="22" customFormat="1" ht="16.5" customHeight="1" x14ac:dyDescent="0.3">
      <c r="A14" s="138"/>
      <c r="B14" s="354" t="s">
        <v>119</v>
      </c>
      <c r="C14" s="355"/>
      <c r="D14" s="355"/>
      <c r="E14" s="355"/>
      <c r="F14" s="355"/>
      <c r="G14" s="355"/>
      <c r="H14" s="355"/>
      <c r="I14" s="355"/>
      <c r="J14" s="355"/>
      <c r="K14" s="355"/>
      <c r="L14" s="356"/>
      <c r="M14" s="78" t="s">
        <v>122</v>
      </c>
      <c r="N14" s="137">
        <f>N12</f>
        <v>0</v>
      </c>
      <c r="O14" s="288"/>
      <c r="P14" s="288"/>
      <c r="Q14" s="60"/>
    </row>
    <row r="15" spans="1:38" x14ac:dyDescent="0.25">
      <c r="A15" s="100"/>
      <c r="B15" s="100"/>
      <c r="C15" s="100"/>
      <c r="D15" s="100"/>
      <c r="E15" s="100"/>
      <c r="F15" s="100"/>
      <c r="G15" s="100"/>
      <c r="H15" s="100"/>
      <c r="I15" s="100"/>
      <c r="J15" s="100"/>
      <c r="K15" s="100"/>
      <c r="L15" s="100"/>
      <c r="M15" s="100"/>
      <c r="N15" s="100"/>
      <c r="O15" s="97"/>
      <c r="P15" s="97"/>
      <c r="Q15" s="58"/>
      <c r="R15" s="58"/>
      <c r="S15" s="67"/>
      <c r="T15" s="58"/>
      <c r="U15" s="58"/>
      <c r="V15" s="58"/>
      <c r="W15" s="58"/>
      <c r="X15" s="58"/>
      <c r="Y15" s="58"/>
      <c r="Z15" s="58"/>
      <c r="AA15" s="58"/>
      <c r="AB15" s="58"/>
      <c r="AC15" s="58"/>
      <c r="AD15" s="58"/>
      <c r="AE15" s="58"/>
      <c r="AF15" s="58"/>
      <c r="AG15" s="58"/>
      <c r="AH15" s="58"/>
      <c r="AI15" s="58"/>
      <c r="AJ15" s="58"/>
      <c r="AK15" s="58"/>
      <c r="AL15" s="58"/>
    </row>
    <row r="16" spans="1:38" ht="28.2" customHeight="1" x14ac:dyDescent="0.25">
      <c r="A16" s="100"/>
      <c r="B16" s="324" t="s">
        <v>29</v>
      </c>
      <c r="C16" s="325"/>
      <c r="D16" s="325"/>
      <c r="E16" s="325"/>
      <c r="F16" s="325"/>
      <c r="G16" s="325"/>
      <c r="H16" s="325"/>
      <c r="I16" s="325"/>
      <c r="J16" s="325"/>
      <c r="K16" s="325"/>
      <c r="L16" s="325"/>
      <c r="M16" s="325"/>
      <c r="N16" s="326"/>
      <c r="O16" s="97"/>
      <c r="P16" s="97"/>
      <c r="Q16" s="58"/>
      <c r="R16" s="58"/>
      <c r="S16" s="68"/>
      <c r="T16" s="58"/>
      <c r="U16" s="58"/>
      <c r="V16" s="58"/>
      <c r="W16" s="58"/>
      <c r="X16" s="58"/>
      <c r="Y16" s="58"/>
      <c r="Z16" s="58"/>
      <c r="AA16" s="58"/>
      <c r="AB16" s="58"/>
      <c r="AC16" s="58"/>
      <c r="AD16" s="58"/>
      <c r="AE16" s="58"/>
      <c r="AF16" s="58"/>
      <c r="AG16" s="58"/>
      <c r="AH16" s="58"/>
      <c r="AI16" s="58"/>
      <c r="AJ16" s="58"/>
      <c r="AK16" s="58"/>
      <c r="AL16" s="58"/>
    </row>
    <row r="17" spans="1:38" x14ac:dyDescent="0.25">
      <c r="A17" s="100"/>
      <c r="B17" s="103"/>
      <c r="C17" s="100"/>
      <c r="D17" s="100"/>
      <c r="E17" s="100"/>
      <c r="F17" s="100"/>
      <c r="G17" s="100"/>
      <c r="H17" s="100"/>
      <c r="I17" s="100"/>
      <c r="J17" s="100"/>
      <c r="K17" s="100"/>
      <c r="L17" s="100"/>
      <c r="M17" s="100"/>
      <c r="N17" s="115"/>
      <c r="O17" s="97"/>
      <c r="P17" s="97"/>
      <c r="Q17" s="58"/>
      <c r="R17" s="58"/>
      <c r="S17" s="68"/>
      <c r="T17" s="58"/>
      <c r="U17" s="58"/>
      <c r="V17" s="58"/>
      <c r="W17" s="58"/>
      <c r="X17" s="58"/>
      <c r="Y17" s="58"/>
      <c r="Z17" s="58"/>
      <c r="AA17" s="58"/>
      <c r="AB17" s="58"/>
      <c r="AC17" s="58"/>
      <c r="AD17" s="58"/>
      <c r="AE17" s="58"/>
      <c r="AF17" s="58"/>
      <c r="AG17" s="58"/>
      <c r="AH17" s="58"/>
      <c r="AI17" s="58"/>
      <c r="AJ17" s="58"/>
      <c r="AK17" s="58"/>
      <c r="AL17" s="58"/>
    </row>
    <row r="18" spans="1:38" customFormat="1" ht="27.6" customHeight="1" x14ac:dyDescent="0.25">
      <c r="A18" s="102"/>
      <c r="B18" s="103"/>
      <c r="C18" s="100"/>
      <c r="D18" s="100"/>
      <c r="E18" s="100"/>
      <c r="F18" s="413" t="s">
        <v>28</v>
      </c>
      <c r="G18" s="413"/>
      <c r="H18" s="91"/>
      <c r="I18" s="412" t="s">
        <v>42</v>
      </c>
      <c r="J18" s="412"/>
      <c r="K18" s="412"/>
      <c r="L18" s="91"/>
      <c r="M18" s="361"/>
      <c r="N18" s="362"/>
      <c r="O18" s="97"/>
      <c r="P18" s="97"/>
      <c r="Q18" s="58"/>
      <c r="R18" s="58"/>
      <c r="S18" s="68"/>
      <c r="T18" s="58"/>
      <c r="U18" s="58"/>
    </row>
    <row r="19" spans="1:38" customFormat="1" ht="16.5" customHeight="1" x14ac:dyDescent="0.25">
      <c r="A19" s="102"/>
      <c r="B19" s="133" t="s">
        <v>27</v>
      </c>
      <c r="C19" s="114"/>
      <c r="D19" s="114"/>
      <c r="E19" s="114"/>
      <c r="F19" s="340">
        <f>N14</f>
        <v>0</v>
      </c>
      <c r="G19" s="341"/>
      <c r="H19" s="131" t="s">
        <v>10</v>
      </c>
      <c r="I19" s="376">
        <f>SUM('Day Hab Units of Service'!G6:G19,'Day Hab Units of Service'!J6:J19,'Day Hab Units of Service'!M6:M19)</f>
        <v>0</v>
      </c>
      <c r="J19" s="376"/>
      <c r="K19" s="376"/>
      <c r="L19" s="132" t="s">
        <v>11</v>
      </c>
      <c r="M19" s="340">
        <f>IF(I19&gt;0,ROUND(F19/I19,2),)</f>
        <v>0</v>
      </c>
      <c r="N19" s="341"/>
      <c r="O19" s="97"/>
      <c r="P19" s="97"/>
      <c r="Q19" s="58"/>
      <c r="R19" s="58"/>
      <c r="S19" s="68"/>
      <c r="T19" s="58"/>
      <c r="U19" s="58"/>
    </row>
    <row r="20" spans="1:38" s="16" customFormat="1" ht="35.25" customHeight="1" x14ac:dyDescent="0.25">
      <c r="A20" s="102"/>
      <c r="B20" s="129"/>
      <c r="C20" s="119"/>
      <c r="D20" s="119"/>
      <c r="E20" s="119"/>
      <c r="F20" s="346" t="s">
        <v>121</v>
      </c>
      <c r="G20" s="347"/>
      <c r="H20" s="130"/>
      <c r="I20" s="357" t="s">
        <v>184</v>
      </c>
      <c r="J20" s="357"/>
      <c r="K20" s="357"/>
      <c r="L20" s="130"/>
      <c r="M20" s="19" t="s">
        <v>187</v>
      </c>
      <c r="N20" s="239" t="s">
        <v>215</v>
      </c>
      <c r="O20" s="97"/>
      <c r="P20" s="97"/>
      <c r="Q20" s="58"/>
      <c r="R20" s="58"/>
      <c r="S20" s="68"/>
      <c r="T20" s="58"/>
      <c r="U20" s="58"/>
    </row>
    <row r="21" spans="1:38" ht="15.6" customHeight="1" x14ac:dyDescent="0.25">
      <c r="A21" s="100"/>
      <c r="B21" s="100"/>
      <c r="C21" s="100"/>
      <c r="D21" s="100"/>
      <c r="E21" s="100"/>
      <c r="F21" s="100"/>
      <c r="G21" s="100"/>
      <c r="H21" s="100"/>
      <c r="I21" s="100"/>
      <c r="J21" s="100"/>
      <c r="K21" s="100"/>
      <c r="L21" s="100"/>
      <c r="M21" s="100"/>
      <c r="N21" s="100"/>
      <c r="O21" s="97"/>
      <c r="P21" s="97"/>
      <c r="Q21" s="58"/>
      <c r="R21" s="58"/>
      <c r="S21" s="68"/>
      <c r="T21" s="58"/>
      <c r="U21" s="58"/>
    </row>
    <row r="22" spans="1:38" ht="28.2" customHeight="1" thickBot="1" x14ac:dyDescent="0.3">
      <c r="A22" s="100"/>
      <c r="B22" s="342" t="s">
        <v>26</v>
      </c>
      <c r="C22" s="343"/>
      <c r="D22" s="343"/>
      <c r="E22" s="343"/>
      <c r="F22" s="343"/>
      <c r="G22" s="343"/>
      <c r="H22" s="343"/>
      <c r="I22" s="343"/>
      <c r="J22" s="343"/>
      <c r="K22" s="343"/>
      <c r="L22" s="343"/>
      <c r="M22" s="343"/>
      <c r="N22" s="343"/>
      <c r="O22" s="344"/>
      <c r="P22" s="286"/>
      <c r="Q22" s="58"/>
      <c r="R22" s="58"/>
      <c r="S22" s="68"/>
      <c r="T22" s="58"/>
      <c r="U22" s="58"/>
    </row>
    <row r="23" spans="1:38" ht="16.2" customHeight="1" x14ac:dyDescent="0.25">
      <c r="A23" s="100"/>
      <c r="B23" s="108"/>
      <c r="C23" s="370" t="s">
        <v>177</v>
      </c>
      <c r="D23" s="371"/>
      <c r="E23" s="372"/>
      <c r="F23" s="109"/>
      <c r="G23" s="370" t="s">
        <v>178</v>
      </c>
      <c r="H23" s="371"/>
      <c r="I23" s="372"/>
      <c r="J23" s="109"/>
      <c r="K23" s="370" t="s">
        <v>179</v>
      </c>
      <c r="L23" s="371"/>
      <c r="M23" s="371"/>
      <c r="N23" s="372"/>
      <c r="O23" s="110"/>
      <c r="P23" s="286"/>
      <c r="Q23" s="62"/>
      <c r="R23" s="61"/>
    </row>
    <row r="24" spans="1:38" ht="5.25" customHeight="1" x14ac:dyDescent="0.25">
      <c r="A24" s="100"/>
      <c r="B24" s="15"/>
      <c r="C24" s="348"/>
      <c r="D24" s="349"/>
      <c r="E24" s="350"/>
      <c r="F24" s="14"/>
      <c r="G24" s="348"/>
      <c r="H24" s="349"/>
      <c r="I24" s="350"/>
      <c r="J24" s="14"/>
      <c r="K24" s="348"/>
      <c r="L24" s="349"/>
      <c r="M24" s="349"/>
      <c r="N24" s="350"/>
      <c r="O24" s="13"/>
      <c r="P24" s="97"/>
      <c r="R24" s="59"/>
    </row>
    <row r="25" spans="1:38" ht="30.6" customHeight="1" thickBot="1" x14ac:dyDescent="0.3">
      <c r="A25" s="100"/>
      <c r="B25" s="143" t="s">
        <v>77</v>
      </c>
      <c r="C25" s="351">
        <v>0</v>
      </c>
      <c r="D25" s="352"/>
      <c r="E25" s="353"/>
      <c r="F25" s="97"/>
      <c r="G25" s="351">
        <v>0</v>
      </c>
      <c r="H25" s="352"/>
      <c r="I25" s="353"/>
      <c r="J25" s="111"/>
      <c r="K25" s="351">
        <v>0</v>
      </c>
      <c r="L25" s="352"/>
      <c r="M25" s="352"/>
      <c r="N25" s="353"/>
      <c r="O25" s="115"/>
      <c r="P25" s="97"/>
    </row>
    <row r="26" spans="1:38" x14ac:dyDescent="0.25">
      <c r="A26" s="100"/>
      <c r="B26" s="103"/>
      <c r="C26" s="14"/>
      <c r="D26" s="100"/>
      <c r="E26" s="14"/>
      <c r="F26" s="100"/>
      <c r="G26" s="14"/>
      <c r="H26" s="14"/>
      <c r="I26" s="14"/>
      <c r="J26" s="100"/>
      <c r="K26" s="14"/>
      <c r="L26" s="14"/>
      <c r="M26" s="14"/>
      <c r="N26" s="13"/>
      <c r="O26" s="115"/>
      <c r="P26" s="97"/>
    </row>
    <row r="27" spans="1:38" customFormat="1" ht="32.4" customHeight="1" x14ac:dyDescent="0.25">
      <c r="A27" s="102"/>
      <c r="B27" s="103"/>
      <c r="C27" s="47" t="s">
        <v>73</v>
      </c>
      <c r="D27" s="101"/>
      <c r="E27" s="47" t="s">
        <v>74</v>
      </c>
      <c r="F27" s="101"/>
      <c r="G27" s="47" t="s">
        <v>62</v>
      </c>
      <c r="H27" s="14"/>
      <c r="I27" s="47" t="s">
        <v>75</v>
      </c>
      <c r="J27" s="101"/>
      <c r="K27" s="47" t="s">
        <v>62</v>
      </c>
      <c r="L27" s="14"/>
      <c r="M27" s="345" t="s">
        <v>76</v>
      </c>
      <c r="N27" s="345"/>
      <c r="O27" s="110"/>
      <c r="P27" s="286"/>
    </row>
    <row r="28" spans="1:38" customFormat="1" ht="18" customHeight="1" x14ac:dyDescent="0.25">
      <c r="A28" s="102"/>
      <c r="B28" s="103"/>
      <c r="C28" s="53" t="s">
        <v>114</v>
      </c>
      <c r="D28" s="101"/>
      <c r="E28" s="53" t="s">
        <v>56</v>
      </c>
      <c r="F28" s="101"/>
      <c r="G28" s="53" t="s">
        <v>115</v>
      </c>
      <c r="H28" s="14"/>
      <c r="I28" s="53" t="s">
        <v>60</v>
      </c>
      <c r="J28" s="101"/>
      <c r="K28" s="53" t="s">
        <v>116</v>
      </c>
      <c r="L28" s="14"/>
      <c r="M28" s="338" t="s">
        <v>61</v>
      </c>
      <c r="N28" s="339"/>
      <c r="O28" s="110"/>
      <c r="P28" s="286"/>
    </row>
    <row r="29" spans="1:38" customFormat="1" ht="18" customHeight="1" x14ac:dyDescent="0.25">
      <c r="A29" s="102"/>
      <c r="B29" s="103"/>
      <c r="C29" s="125"/>
      <c r="D29" s="101"/>
      <c r="E29" s="125"/>
      <c r="F29" s="101"/>
      <c r="G29" s="126"/>
      <c r="H29" s="100"/>
      <c r="I29" s="127"/>
      <c r="J29" s="101"/>
      <c r="K29" s="125"/>
      <c r="L29" s="100"/>
      <c r="M29" s="125"/>
      <c r="N29" s="128"/>
      <c r="O29" s="110"/>
      <c r="P29" s="286"/>
    </row>
    <row r="30" spans="1:38" customFormat="1" ht="32.25" customHeight="1" x14ac:dyDescent="0.25">
      <c r="A30" s="102"/>
      <c r="B30" s="133" t="s">
        <v>106</v>
      </c>
      <c r="C30" s="50">
        <f>'Day Hab Units of Service'!G6</f>
        <v>0</v>
      </c>
      <c r="D30" s="112" t="s">
        <v>20</v>
      </c>
      <c r="E30" s="80">
        <f>VLOOKUP(C25,'DH Rates'!A4:G29,2,FALSE)</f>
        <v>8.42</v>
      </c>
      <c r="F30" s="112" t="s">
        <v>12</v>
      </c>
      <c r="G30" s="50">
        <f>'Day Hab Units of Service'!J6</f>
        <v>0</v>
      </c>
      <c r="H30" s="79" t="s">
        <v>20</v>
      </c>
      <c r="I30" s="80">
        <f>VLOOKUP($G$25,'DH Rates'!A$4:G$29,2,FALSE)</f>
        <v>8.42</v>
      </c>
      <c r="J30" s="112" t="s">
        <v>12</v>
      </c>
      <c r="K30" s="50">
        <f>'Day Hab Units of Service'!M6</f>
        <v>0</v>
      </c>
      <c r="L30" s="79" t="s">
        <v>20</v>
      </c>
      <c r="M30" s="340">
        <f>VLOOKUP(K25,'DH Rates'!A4:J29,10,FALSE)</f>
        <v>8.9700000000000006</v>
      </c>
      <c r="N30" s="341"/>
      <c r="O30" s="116" t="s">
        <v>12</v>
      </c>
      <c r="P30" s="286"/>
    </row>
    <row r="31" spans="1:38" s="46" customFormat="1" ht="16.5" customHeight="1" x14ac:dyDescent="0.25">
      <c r="A31" s="102"/>
      <c r="B31" s="133"/>
      <c r="C31" s="118"/>
      <c r="D31" s="118"/>
      <c r="E31" s="118"/>
      <c r="F31" s="120"/>
      <c r="G31" s="122"/>
      <c r="H31" s="112"/>
      <c r="I31" s="113"/>
      <c r="J31" s="113"/>
      <c r="K31" s="123"/>
      <c r="L31" s="112"/>
      <c r="M31" s="124"/>
      <c r="N31" s="124"/>
      <c r="O31" s="110"/>
      <c r="P31" s="102"/>
    </row>
    <row r="32" spans="1:38" customFormat="1" ht="32.25" customHeight="1" x14ac:dyDescent="0.25">
      <c r="A32" s="102"/>
      <c r="B32" s="133" t="s">
        <v>107</v>
      </c>
      <c r="C32" s="50">
        <f>'Day Hab Units of Service'!G7</f>
        <v>0</v>
      </c>
      <c r="D32" s="112" t="s">
        <v>20</v>
      </c>
      <c r="E32" s="80">
        <f>VLOOKUP(C25,'DH Rates'!A4:G29,3,FALSE)</f>
        <v>10.61</v>
      </c>
      <c r="F32" s="112" t="s">
        <v>12</v>
      </c>
      <c r="G32" s="50">
        <f>'Day Hab Units of Service'!J7</f>
        <v>0</v>
      </c>
      <c r="H32" s="79" t="s">
        <v>20</v>
      </c>
      <c r="I32" s="80">
        <f>VLOOKUP($G$25,'DH Rates'!A$4:G$29,3,FALSE)</f>
        <v>10.61</v>
      </c>
      <c r="J32" s="112" t="s">
        <v>12</v>
      </c>
      <c r="K32" s="50">
        <f>'Day Hab Units of Service'!M7</f>
        <v>0</v>
      </c>
      <c r="L32" s="79" t="s">
        <v>20</v>
      </c>
      <c r="M32" s="340">
        <f>VLOOKUP(K25,'DH Rates'!A4:K29,11,FALSE)</f>
        <v>11.21</v>
      </c>
      <c r="N32" s="341"/>
      <c r="O32" s="116" t="s">
        <v>12</v>
      </c>
      <c r="P32" s="286"/>
    </row>
    <row r="33" spans="1:17" s="46" customFormat="1" ht="16.5" customHeight="1" x14ac:dyDescent="0.25">
      <c r="A33" s="102"/>
      <c r="B33" s="133"/>
      <c r="C33" s="118"/>
      <c r="D33" s="118"/>
      <c r="E33" s="118"/>
      <c r="F33" s="120"/>
      <c r="G33" s="122"/>
      <c r="H33" s="112"/>
      <c r="I33" s="113"/>
      <c r="J33" s="113"/>
      <c r="K33" s="123"/>
      <c r="L33" s="112"/>
      <c r="M33" s="124"/>
      <c r="N33" s="124"/>
      <c r="O33" s="110"/>
      <c r="P33" s="102"/>
    </row>
    <row r="34" spans="1:17" customFormat="1" ht="32.25" customHeight="1" x14ac:dyDescent="0.25">
      <c r="A34" s="102"/>
      <c r="B34" s="133" t="s">
        <v>108</v>
      </c>
      <c r="C34" s="50">
        <f>'Day Hab Units of Service'!G8</f>
        <v>0</v>
      </c>
      <c r="D34" s="112" t="s">
        <v>20</v>
      </c>
      <c r="E34" s="80">
        <f>VLOOKUP(C25,'DH Rates'!A4:G29,4,FALSE)</f>
        <v>14.62</v>
      </c>
      <c r="F34" s="112" t="s">
        <v>12</v>
      </c>
      <c r="G34" s="50">
        <f>'Day Hab Units of Service'!J8</f>
        <v>0</v>
      </c>
      <c r="H34" s="79" t="s">
        <v>20</v>
      </c>
      <c r="I34" s="80">
        <f>VLOOKUP($G$25,'DH Rates'!A$4:G$29,4,FALSE)</f>
        <v>14.62</v>
      </c>
      <c r="J34" s="112" t="s">
        <v>12</v>
      </c>
      <c r="K34" s="50">
        <f>'Day Hab Units of Service'!M8</f>
        <v>0</v>
      </c>
      <c r="L34" s="79" t="s">
        <v>20</v>
      </c>
      <c r="M34" s="340">
        <f>VLOOKUP(K25,'DH Rates'!A4:L29,12,FALSE)</f>
        <v>14.91</v>
      </c>
      <c r="N34" s="341"/>
      <c r="O34" s="116" t="s">
        <v>12</v>
      </c>
      <c r="P34" s="286"/>
    </row>
    <row r="35" spans="1:17" s="46" customFormat="1" ht="16.5" customHeight="1" x14ac:dyDescent="0.25">
      <c r="A35" s="102"/>
      <c r="B35" s="133"/>
      <c r="C35" s="118"/>
      <c r="D35" s="118"/>
      <c r="E35" s="118"/>
      <c r="F35" s="120"/>
      <c r="G35" s="122"/>
      <c r="H35" s="112"/>
      <c r="I35" s="113"/>
      <c r="J35" s="113"/>
      <c r="K35" s="123"/>
      <c r="L35" s="112"/>
      <c r="M35" s="124"/>
      <c r="N35" s="124"/>
      <c r="O35" s="110"/>
      <c r="P35" s="102"/>
    </row>
    <row r="36" spans="1:17" customFormat="1" ht="32.25" customHeight="1" x14ac:dyDescent="0.25">
      <c r="A36" s="102"/>
      <c r="B36" s="133" t="s">
        <v>109</v>
      </c>
      <c r="C36" s="50">
        <f>'Day Hab Units of Service'!G9</f>
        <v>0</v>
      </c>
      <c r="D36" s="112" t="s">
        <v>20</v>
      </c>
      <c r="E36" s="80">
        <f>VLOOKUP(C25,'DH Rates'!A4:G29,5,FALSE)</f>
        <v>23.16</v>
      </c>
      <c r="F36" s="112" t="s">
        <v>12</v>
      </c>
      <c r="G36" s="50">
        <f>'Day Hab Units of Service'!J9</f>
        <v>0</v>
      </c>
      <c r="H36" s="79" t="s">
        <v>20</v>
      </c>
      <c r="I36" s="80">
        <f>VLOOKUP($G$25,'DH Rates'!A$4:G$29,5,FALSE)</f>
        <v>23.16</v>
      </c>
      <c r="J36" s="112" t="s">
        <v>12</v>
      </c>
      <c r="K36" s="50">
        <f>'Day Hab Units of Service'!M9</f>
        <v>0</v>
      </c>
      <c r="L36" s="79" t="s">
        <v>20</v>
      </c>
      <c r="M36" s="340">
        <f>VLOOKUP(K25,'DH Rates'!A4:M29,13,FALSE)</f>
        <v>23.16</v>
      </c>
      <c r="N36" s="341"/>
      <c r="O36" s="116" t="s">
        <v>12</v>
      </c>
      <c r="P36" s="286"/>
    </row>
    <row r="37" spans="1:17" s="46" customFormat="1" ht="16.5" customHeight="1" x14ac:dyDescent="0.25">
      <c r="A37" s="102"/>
      <c r="B37" s="133"/>
      <c r="C37" s="118"/>
      <c r="D37" s="118"/>
      <c r="E37" s="118"/>
      <c r="F37" s="120"/>
      <c r="G37" s="122"/>
      <c r="H37" s="112"/>
      <c r="I37" s="113"/>
      <c r="J37" s="113"/>
      <c r="K37" s="123"/>
      <c r="L37" s="112"/>
      <c r="M37" s="124"/>
      <c r="N37" s="124"/>
      <c r="O37" s="110"/>
      <c r="P37" s="102"/>
    </row>
    <row r="38" spans="1:17" customFormat="1" ht="32.25" customHeight="1" x14ac:dyDescent="0.25">
      <c r="A38" s="102"/>
      <c r="B38" s="133" t="s">
        <v>110</v>
      </c>
      <c r="C38" s="50">
        <f>'Day Hab Units of Service'!G10</f>
        <v>0</v>
      </c>
      <c r="D38" s="112" t="s">
        <v>20</v>
      </c>
      <c r="E38" s="80">
        <f>VLOOKUP(C25,'DH Rates'!A4:G29,6,FALSE)</f>
        <v>107.61</v>
      </c>
      <c r="F38" s="112" t="s">
        <v>12</v>
      </c>
      <c r="G38" s="50">
        <f>'Day Hab Units of Service'!J10</f>
        <v>0</v>
      </c>
      <c r="H38" s="79" t="s">
        <v>20</v>
      </c>
      <c r="I38" s="80">
        <f>VLOOKUP($G$25,'DH Rates'!A$4:G$29,6,FALSE)</f>
        <v>107.61</v>
      </c>
      <c r="J38" s="112" t="s">
        <v>12</v>
      </c>
      <c r="K38" s="50">
        <f>'Day Hab Units of Service'!M10</f>
        <v>0</v>
      </c>
      <c r="L38" s="79" t="s">
        <v>20</v>
      </c>
      <c r="M38" s="340">
        <f>VLOOKUP(K25,'DH Rates'!A4:N29,14,FALSE)</f>
        <v>107.61</v>
      </c>
      <c r="N38" s="341"/>
      <c r="O38" s="116" t="s">
        <v>12</v>
      </c>
      <c r="P38" s="286"/>
    </row>
    <row r="39" spans="1:17" s="46" customFormat="1" ht="16.5" customHeight="1" x14ac:dyDescent="0.25">
      <c r="A39" s="102"/>
      <c r="B39" s="133"/>
      <c r="C39" s="118"/>
      <c r="D39" s="118"/>
      <c r="E39" s="118"/>
      <c r="F39" s="120"/>
      <c r="G39" s="122"/>
      <c r="H39" s="112"/>
      <c r="I39" s="113"/>
      <c r="J39" s="113"/>
      <c r="K39" s="123"/>
      <c r="L39" s="112"/>
      <c r="M39" s="124"/>
      <c r="N39" s="124"/>
      <c r="O39" s="110"/>
      <c r="P39" s="102"/>
    </row>
    <row r="40" spans="1:17" customFormat="1" ht="32.25" customHeight="1" x14ac:dyDescent="0.25">
      <c r="A40" s="102"/>
      <c r="B40" s="133" t="s">
        <v>111</v>
      </c>
      <c r="C40" s="50">
        <f>'Day Hab Units of Service'!G12</f>
        <v>0</v>
      </c>
      <c r="D40" s="112" t="s">
        <v>20</v>
      </c>
      <c r="E40" s="80">
        <f>VLOOKUP(C25,'DH Rates'!A4:G29,7,FALSE)</f>
        <v>10.61</v>
      </c>
      <c r="F40" s="112" t="s">
        <v>12</v>
      </c>
      <c r="G40" s="50">
        <f>'Day Hab Units of Service'!J12</f>
        <v>0</v>
      </c>
      <c r="H40" s="79" t="s">
        <v>20</v>
      </c>
      <c r="I40" s="80">
        <f>VLOOKUP($G$25,'DH Rates'!A$4:G$29,7,FALSE)</f>
        <v>10.61</v>
      </c>
      <c r="J40" s="112" t="s">
        <v>12</v>
      </c>
      <c r="K40" s="50">
        <f>'Day Hab Units of Service'!M12</f>
        <v>0</v>
      </c>
      <c r="L40" s="79" t="s">
        <v>20</v>
      </c>
      <c r="M40" s="340">
        <f>VLOOKUP(K25,'DH Rates'!A4:O29,15,FALSE)</f>
        <v>10.61</v>
      </c>
      <c r="N40" s="341"/>
      <c r="O40" s="116" t="s">
        <v>11</v>
      </c>
      <c r="P40" s="286"/>
    </row>
    <row r="41" spans="1:17" s="16" customFormat="1" ht="13.8" x14ac:dyDescent="0.25">
      <c r="A41" s="102"/>
      <c r="B41" s="121"/>
      <c r="C41" s="114"/>
      <c r="D41" s="114"/>
      <c r="E41" s="114"/>
      <c r="F41" s="114"/>
      <c r="G41" s="114"/>
      <c r="H41" s="114"/>
      <c r="I41" s="114"/>
      <c r="J41" s="114"/>
      <c r="K41" s="114"/>
      <c r="L41" s="114"/>
      <c r="M41" s="114"/>
      <c r="N41" s="114"/>
      <c r="O41" s="110"/>
      <c r="P41" s="286"/>
    </row>
    <row r="42" spans="1:17" customFormat="1" ht="28.2" customHeight="1" x14ac:dyDescent="0.25">
      <c r="A42" s="102"/>
      <c r="B42" s="142" t="s">
        <v>91</v>
      </c>
      <c r="C42" s="65">
        <f>IFERROR(((((C25*0.05)*(C30+C32+C34+C36+C38+C40))+((G25*0.05)*(G30+G32+G34+G36+G38+G40))+((K25*0.05)*(K30+K32+K34+K36+K38+K40)))/I42),0)</f>
        <v>0</v>
      </c>
      <c r="D42" s="114"/>
      <c r="E42" s="49"/>
      <c r="F42" s="340">
        <f>(C30*E30)+(G30*I30)+(K30*M30)+(C32*E32)+(G32*I32)+(K32*M32)+(C34*E34)+(G34*I34)+(K34*M34)+(C36*E36)+(G36*I36)+(K36*M36)+(C38*E38)+(G38*I38)+(K38*M38)+(C40*E40)+(G40*I40)+(K40*M40)</f>
        <v>0</v>
      </c>
      <c r="G42" s="341"/>
      <c r="H42" s="18" t="s">
        <v>10</v>
      </c>
      <c r="I42" s="376">
        <f>'Day Hab Units of Service'!M22</f>
        <v>0</v>
      </c>
      <c r="J42" s="376"/>
      <c r="K42" s="376"/>
      <c r="L42" s="18" t="s">
        <v>11</v>
      </c>
      <c r="M42" s="340">
        <f>IF(I42&gt;0,ROUND(F42/I42,2),0)</f>
        <v>0</v>
      </c>
      <c r="N42" s="341"/>
      <c r="O42" s="110"/>
      <c r="P42" s="286"/>
    </row>
    <row r="43" spans="1:17" s="16" customFormat="1" ht="21" x14ac:dyDescent="0.25">
      <c r="A43" s="102"/>
      <c r="B43" s="129"/>
      <c r="C43" s="119"/>
      <c r="D43" s="119"/>
      <c r="E43" s="119"/>
      <c r="F43" s="374" t="s">
        <v>189</v>
      </c>
      <c r="G43" s="375"/>
      <c r="H43" s="130"/>
      <c r="I43" s="346" t="s">
        <v>188</v>
      </c>
      <c r="J43" s="377"/>
      <c r="K43" s="347"/>
      <c r="L43" s="130"/>
      <c r="M43" s="201" t="s">
        <v>7</v>
      </c>
      <c r="N43" s="200" t="s">
        <v>13</v>
      </c>
      <c r="O43" s="117"/>
      <c r="P43" s="286"/>
    </row>
    <row r="44" spans="1:17" x14ac:dyDescent="0.25">
      <c r="A44" s="100"/>
      <c r="B44" s="100"/>
      <c r="C44" s="100"/>
      <c r="D44" s="100"/>
      <c r="E44" s="100"/>
      <c r="F44" s="373"/>
      <c r="G44" s="373"/>
      <c r="H44" s="373"/>
      <c r="I44" s="373"/>
      <c r="J44" s="373"/>
      <c r="K44" s="373"/>
      <c r="L44" s="373"/>
      <c r="M44" s="373"/>
      <c r="N44" s="373"/>
      <c r="O44" s="100"/>
      <c r="P44" s="97"/>
    </row>
    <row r="45" spans="1:17" ht="28.2" customHeight="1" x14ac:dyDescent="0.25">
      <c r="A45" s="100"/>
      <c r="B45" s="324" t="s">
        <v>25</v>
      </c>
      <c r="C45" s="325"/>
      <c r="D45" s="325"/>
      <c r="E45" s="325"/>
      <c r="F45" s="325"/>
      <c r="G45" s="325"/>
      <c r="H45" s="325"/>
      <c r="I45" s="325"/>
      <c r="J45" s="325"/>
      <c r="K45" s="325"/>
      <c r="L45" s="325"/>
      <c r="M45" s="325"/>
      <c r="N45" s="325"/>
      <c r="O45" s="325"/>
      <c r="P45" s="286"/>
      <c r="Q45"/>
    </row>
    <row r="46" spans="1:17" x14ac:dyDescent="0.25">
      <c r="A46" s="100"/>
      <c r="B46" s="103"/>
      <c r="C46" s="100"/>
      <c r="D46" s="100"/>
      <c r="E46" s="100"/>
      <c r="F46" s="100"/>
      <c r="G46" s="100"/>
      <c r="H46" s="100"/>
      <c r="I46" s="100"/>
      <c r="J46" s="100"/>
      <c r="K46" s="100"/>
      <c r="L46" s="100"/>
      <c r="M46" s="100"/>
      <c r="N46" s="100"/>
      <c r="O46" s="100"/>
      <c r="P46" s="97"/>
    </row>
    <row r="47" spans="1:17" customFormat="1" ht="28.2" customHeight="1" x14ac:dyDescent="0.25">
      <c r="A47" s="102"/>
      <c r="B47" s="121"/>
      <c r="C47" s="114"/>
      <c r="D47" s="114"/>
      <c r="E47" s="114"/>
      <c r="F47" s="340">
        <f>M42</f>
        <v>0</v>
      </c>
      <c r="G47" s="341"/>
      <c r="H47" s="131" t="s">
        <v>20</v>
      </c>
      <c r="I47" s="367">
        <v>0.9</v>
      </c>
      <c r="J47" s="368"/>
      <c r="K47" s="369"/>
      <c r="L47" s="18" t="s">
        <v>11</v>
      </c>
      <c r="M47" s="340">
        <f>ROUND(F47*I47,2)</f>
        <v>0</v>
      </c>
      <c r="N47" s="382"/>
      <c r="O47" s="341"/>
      <c r="P47" s="97"/>
    </row>
    <row r="48" spans="1:17" s="16" customFormat="1" ht="14.4" x14ac:dyDescent="0.25">
      <c r="A48" s="102"/>
      <c r="B48" s="129"/>
      <c r="C48" s="119"/>
      <c r="D48" s="119"/>
      <c r="E48" s="119"/>
      <c r="F48" s="407" t="s">
        <v>118</v>
      </c>
      <c r="G48" s="408"/>
      <c r="H48" s="130"/>
      <c r="I48" s="409"/>
      <c r="J48" s="409"/>
      <c r="K48" s="140"/>
      <c r="L48" s="130"/>
      <c r="M48" s="57" t="s">
        <v>8</v>
      </c>
      <c r="N48" s="374" t="s">
        <v>24</v>
      </c>
      <c r="O48" s="375"/>
      <c r="P48" s="286"/>
    </row>
    <row r="49" spans="1:17" x14ac:dyDescent="0.25">
      <c r="A49" s="100"/>
      <c r="B49" s="100"/>
      <c r="C49" s="100"/>
      <c r="D49" s="100"/>
      <c r="E49" s="100"/>
      <c r="F49" s="100"/>
      <c r="G49" s="100"/>
      <c r="H49" s="100"/>
      <c r="I49" s="100"/>
      <c r="J49" s="100"/>
      <c r="K49" s="100"/>
      <c r="L49" s="100"/>
      <c r="M49" s="100"/>
      <c r="N49" s="100"/>
      <c r="O49" s="100"/>
      <c r="P49" s="97"/>
    </row>
    <row r="50" spans="1:17" ht="28.2" customHeight="1" x14ac:dyDescent="0.25">
      <c r="A50" s="100"/>
      <c r="B50" s="324" t="s">
        <v>23</v>
      </c>
      <c r="C50" s="325"/>
      <c r="D50" s="325"/>
      <c r="E50" s="325"/>
      <c r="F50" s="325"/>
      <c r="G50" s="325"/>
      <c r="H50" s="325"/>
      <c r="I50" s="325"/>
      <c r="J50" s="325"/>
      <c r="K50" s="325"/>
      <c r="L50" s="325"/>
      <c r="M50" s="325"/>
      <c r="N50" s="325"/>
      <c r="O50" s="325"/>
      <c r="P50" s="286"/>
      <c r="Q50"/>
    </row>
    <row r="51" spans="1:17" x14ac:dyDescent="0.25">
      <c r="A51" s="100"/>
      <c r="B51" s="103"/>
      <c r="C51" s="100"/>
      <c r="D51" s="100"/>
      <c r="E51" s="100"/>
      <c r="F51" s="100"/>
      <c r="G51" s="100"/>
      <c r="H51" s="100"/>
      <c r="I51" s="100"/>
      <c r="J51" s="100"/>
      <c r="K51" s="100"/>
      <c r="L51" s="100"/>
      <c r="M51" s="100"/>
      <c r="N51" s="100"/>
      <c r="O51" s="100"/>
      <c r="P51" s="97"/>
    </row>
    <row r="52" spans="1:17" customFormat="1" ht="28.2" customHeight="1" x14ac:dyDescent="0.25">
      <c r="A52" s="102"/>
      <c r="B52" s="121"/>
      <c r="C52" s="114"/>
      <c r="D52" s="114"/>
      <c r="E52" s="114"/>
      <c r="F52" s="340">
        <f>M47</f>
        <v>0</v>
      </c>
      <c r="G52" s="341"/>
      <c r="H52" s="131" t="s">
        <v>22</v>
      </c>
      <c r="I52" s="410">
        <f>M19</f>
        <v>0</v>
      </c>
      <c r="J52" s="410"/>
      <c r="K52" s="410"/>
      <c r="L52" s="131" t="s">
        <v>11</v>
      </c>
      <c r="M52" s="378">
        <f>IFERROR(IF((F52-I52)&gt;C42,C42,(F52-I52)),0)</f>
        <v>0</v>
      </c>
      <c r="N52" s="378"/>
      <c r="O52" s="378"/>
      <c r="P52" s="286"/>
    </row>
    <row r="53" spans="1:17" s="16" customFormat="1" ht="13.8" x14ac:dyDescent="0.25">
      <c r="A53" s="102"/>
      <c r="B53" s="121"/>
      <c r="C53" s="114"/>
      <c r="D53" s="114"/>
      <c r="E53" s="114"/>
      <c r="F53" s="389" t="s">
        <v>190</v>
      </c>
      <c r="G53" s="390"/>
      <c r="H53" s="131"/>
      <c r="I53" s="385" t="s">
        <v>191</v>
      </c>
      <c r="J53" s="385"/>
      <c r="K53" s="385"/>
      <c r="L53" s="132"/>
      <c r="M53" s="55" t="s">
        <v>9</v>
      </c>
      <c r="N53" s="383" t="s">
        <v>21</v>
      </c>
      <c r="O53" s="383"/>
      <c r="P53" s="286"/>
    </row>
    <row r="54" spans="1:17" customFormat="1" ht="28.2" customHeight="1" x14ac:dyDescent="0.25">
      <c r="A54" s="102"/>
      <c r="B54" s="121"/>
      <c r="C54" s="114"/>
      <c r="D54" s="114"/>
      <c r="E54" s="114"/>
      <c r="F54" s="340">
        <f>IF(M52&gt;0,M52,0)</f>
        <v>0</v>
      </c>
      <c r="G54" s="341"/>
      <c r="H54" s="131" t="s">
        <v>20</v>
      </c>
      <c r="I54" s="376">
        <f>I42</f>
        <v>0</v>
      </c>
      <c r="J54" s="376"/>
      <c r="K54" s="376"/>
      <c r="L54" s="131" t="s">
        <v>11</v>
      </c>
      <c r="M54" s="384">
        <f>ROUND(F54*I54,2)</f>
        <v>0</v>
      </c>
      <c r="N54" s="384"/>
      <c r="O54" s="384"/>
      <c r="P54" s="286"/>
    </row>
    <row r="55" spans="1:17" s="16" customFormat="1" ht="13.8" x14ac:dyDescent="0.25">
      <c r="A55" s="102"/>
      <c r="B55" s="129"/>
      <c r="C55" s="119"/>
      <c r="D55" s="119"/>
      <c r="E55" s="119"/>
      <c r="F55" s="389" t="s">
        <v>117</v>
      </c>
      <c r="G55" s="390"/>
      <c r="H55" s="141"/>
      <c r="I55" s="386" t="s">
        <v>232</v>
      </c>
      <c r="J55" s="387"/>
      <c r="K55" s="388"/>
      <c r="L55" s="141"/>
      <c r="M55" s="56" t="s">
        <v>17</v>
      </c>
      <c r="N55" s="391" t="s">
        <v>19</v>
      </c>
      <c r="O55" s="391"/>
      <c r="P55" s="286"/>
    </row>
    <row r="56" spans="1:17" s="16" customFormat="1" ht="13.8" x14ac:dyDescent="0.25">
      <c r="A56" s="102"/>
      <c r="B56" s="114"/>
      <c r="C56" s="114"/>
      <c r="D56" s="114"/>
      <c r="E56" s="114"/>
      <c r="F56" s="202"/>
      <c r="G56" s="202"/>
      <c r="H56" s="131"/>
      <c r="I56" s="203"/>
      <c r="J56" s="203"/>
      <c r="K56" s="203"/>
      <c r="L56" s="286"/>
      <c r="M56" s="286"/>
      <c r="N56" s="286"/>
      <c r="O56" s="286"/>
      <c r="P56" s="286"/>
    </row>
    <row r="57" spans="1:17" s="16" customFormat="1" ht="24.75" customHeight="1" x14ac:dyDescent="0.3">
      <c r="A57" s="102"/>
      <c r="B57" s="392" t="s">
        <v>124</v>
      </c>
      <c r="C57" s="393"/>
      <c r="D57" s="393"/>
      <c r="E57" s="393"/>
      <c r="F57" s="393"/>
      <c r="G57" s="393"/>
      <c r="H57" s="393"/>
      <c r="I57" s="393"/>
      <c r="J57" s="393"/>
      <c r="K57" s="394"/>
      <c r="L57" s="286"/>
      <c r="M57" s="286"/>
      <c r="N57" s="286"/>
      <c r="O57" s="286"/>
      <c r="P57" s="286"/>
    </row>
    <row r="58" spans="1:17" s="16" customFormat="1" ht="29.25" customHeight="1" x14ac:dyDescent="0.25">
      <c r="A58" s="102"/>
      <c r="B58" s="161"/>
      <c r="C58" s="180"/>
      <c r="D58" s="183"/>
      <c r="E58" s="183"/>
      <c r="F58" s="180"/>
      <c r="G58" s="183"/>
      <c r="H58" s="183"/>
      <c r="I58" s="180"/>
      <c r="J58" s="183"/>
      <c r="K58" s="182"/>
      <c r="L58" s="286"/>
      <c r="M58" s="286"/>
      <c r="N58" s="286"/>
      <c r="O58" s="286"/>
      <c r="P58" s="286"/>
    </row>
    <row r="59" spans="1:17" s="16" customFormat="1" ht="32.25" customHeight="1" x14ac:dyDescent="0.25">
      <c r="A59" s="102"/>
      <c r="B59" s="161"/>
      <c r="C59" s="181"/>
      <c r="D59" s="395">
        <f>M54</f>
        <v>0</v>
      </c>
      <c r="E59" s="396"/>
      <c r="F59" s="397" t="s">
        <v>10</v>
      </c>
      <c r="G59" s="399">
        <f>F42</f>
        <v>0</v>
      </c>
      <c r="H59" s="400"/>
      <c r="I59" s="397" t="s">
        <v>11</v>
      </c>
      <c r="J59" s="401">
        <f>IFERROR(SUM(D59/G59),0)</f>
        <v>0</v>
      </c>
      <c r="K59" s="402"/>
      <c r="L59" s="286"/>
      <c r="M59" s="286"/>
      <c r="N59" s="286"/>
      <c r="O59" s="286"/>
      <c r="P59" s="286"/>
    </row>
    <row r="60" spans="1:17" s="16" customFormat="1" ht="27" customHeight="1" x14ac:dyDescent="0.25">
      <c r="A60" s="102"/>
      <c r="B60" s="167"/>
      <c r="C60" s="182"/>
      <c r="D60" s="403" t="s">
        <v>192</v>
      </c>
      <c r="E60" s="404"/>
      <c r="F60" s="398"/>
      <c r="G60" s="405" t="s">
        <v>193</v>
      </c>
      <c r="H60" s="406"/>
      <c r="I60" s="398"/>
      <c r="J60" s="403" t="s">
        <v>125</v>
      </c>
      <c r="K60" s="404"/>
      <c r="L60" s="286"/>
      <c r="M60" s="286"/>
      <c r="N60" s="286"/>
      <c r="O60" s="286"/>
      <c r="P60" s="286"/>
    </row>
    <row r="61" spans="1:17" s="16" customFormat="1" ht="25.2" customHeight="1" x14ac:dyDescent="0.25">
      <c r="A61" s="102"/>
      <c r="B61" s="114"/>
      <c r="C61" s="114"/>
      <c r="D61" s="114"/>
      <c r="E61" s="114"/>
      <c r="F61" s="135"/>
      <c r="G61" s="135"/>
      <c r="H61" s="132"/>
      <c r="I61" s="136"/>
      <c r="J61" s="136"/>
      <c r="K61" s="136"/>
      <c r="L61" s="286"/>
      <c r="M61" s="286"/>
      <c r="N61" s="286"/>
      <c r="O61" s="286"/>
      <c r="P61" s="286"/>
    </row>
    <row r="62" spans="1:17" ht="33.6" customHeight="1" x14ac:dyDescent="0.25">
      <c r="A62" s="14"/>
      <c r="B62" s="379" t="s">
        <v>231</v>
      </c>
      <c r="C62" s="380"/>
      <c r="D62" s="380"/>
      <c r="E62" s="380"/>
      <c r="F62" s="380"/>
      <c r="G62" s="380"/>
      <c r="H62" s="380"/>
      <c r="I62" s="380"/>
      <c r="J62" s="380"/>
      <c r="K62" s="380"/>
      <c r="L62" s="380"/>
      <c r="M62" s="380"/>
      <c r="N62" s="380"/>
      <c r="O62" s="381"/>
      <c r="P62" s="97"/>
    </row>
    <row r="63" spans="1:17" x14ac:dyDescent="0.25">
      <c r="A63" s="100"/>
      <c r="B63" s="100"/>
      <c r="C63" s="100"/>
      <c r="D63" s="100"/>
      <c r="E63" s="100"/>
      <c r="F63" s="100"/>
      <c r="G63" s="100"/>
      <c r="H63" s="100"/>
      <c r="I63" s="100"/>
      <c r="J63" s="100"/>
      <c r="K63" s="100"/>
      <c r="L63" s="100"/>
      <c r="M63" s="100"/>
      <c r="N63" s="100"/>
      <c r="O63" s="100"/>
      <c r="P63" s="97"/>
    </row>
    <row r="64" spans="1:17" s="12" customFormat="1" ht="61.2" customHeight="1" x14ac:dyDescent="0.25">
      <c r="A64" s="52"/>
      <c r="B64" s="379" t="s">
        <v>18</v>
      </c>
      <c r="C64" s="380"/>
      <c r="D64" s="380"/>
      <c r="E64" s="380"/>
      <c r="F64" s="380"/>
      <c r="G64" s="380"/>
      <c r="H64" s="380"/>
      <c r="I64" s="380"/>
      <c r="J64" s="380"/>
      <c r="K64" s="380"/>
      <c r="L64" s="380"/>
      <c r="M64" s="380"/>
      <c r="N64" s="380"/>
      <c r="O64" s="381"/>
      <c r="P64" s="165"/>
    </row>
    <row r="65" spans="1:16" x14ac:dyDescent="0.25">
      <c r="A65" s="100"/>
      <c r="B65" s="97"/>
      <c r="C65" s="97"/>
      <c r="D65" s="97"/>
      <c r="E65" s="97"/>
      <c r="F65" s="97"/>
      <c r="G65" s="97"/>
      <c r="H65" s="97"/>
      <c r="I65" s="97"/>
      <c r="J65" s="97"/>
      <c r="K65" s="97"/>
      <c r="L65" s="97"/>
      <c r="M65" s="97"/>
      <c r="N65" s="97"/>
      <c r="O65" s="97"/>
      <c r="P65" s="97"/>
    </row>
    <row r="66" spans="1:16" x14ac:dyDescent="0.25">
      <c r="A66" s="100"/>
      <c r="B66" s="97"/>
      <c r="C66" s="97"/>
      <c r="D66" s="97"/>
      <c r="E66" s="97"/>
      <c r="F66" s="97"/>
      <c r="G66" s="97"/>
      <c r="H66" s="97"/>
      <c r="I66" s="97"/>
      <c r="J66" s="97"/>
      <c r="K66" s="97"/>
      <c r="L66" s="97"/>
      <c r="M66" s="97"/>
      <c r="N66" s="97"/>
      <c r="O66" s="97"/>
      <c r="P66" s="97"/>
    </row>
  </sheetData>
  <sheetProtection password="C82F" sheet="1" objects="1" scenarios="1"/>
  <mergeCells count="94">
    <mergeCell ref="O4:O5"/>
    <mergeCell ref="P4:P5"/>
    <mergeCell ref="O6:O7"/>
    <mergeCell ref="P6:P7"/>
    <mergeCell ref="K23:N23"/>
    <mergeCell ref="M19:N19"/>
    <mergeCell ref="I18:K18"/>
    <mergeCell ref="I19:K19"/>
    <mergeCell ref="B16:N16"/>
    <mergeCell ref="B7:L7"/>
    <mergeCell ref="M18:N18"/>
    <mergeCell ref="F18:G18"/>
    <mergeCell ref="B8:L8"/>
    <mergeCell ref="B9:L9"/>
    <mergeCell ref="B11:M11"/>
    <mergeCell ref="B12:L12"/>
    <mergeCell ref="F48:G48"/>
    <mergeCell ref="I48:J48"/>
    <mergeCell ref="I52:K52"/>
    <mergeCell ref="F52:G52"/>
    <mergeCell ref="B50:O50"/>
    <mergeCell ref="B57:K57"/>
    <mergeCell ref="D59:E59"/>
    <mergeCell ref="F59:F60"/>
    <mergeCell ref="G59:H59"/>
    <mergeCell ref="I59:I60"/>
    <mergeCell ref="J59:K59"/>
    <mergeCell ref="D60:E60"/>
    <mergeCell ref="G60:H60"/>
    <mergeCell ref="J60:K60"/>
    <mergeCell ref="M52:O52"/>
    <mergeCell ref="M40:N40"/>
    <mergeCell ref="B62:O62"/>
    <mergeCell ref="B64:O64"/>
    <mergeCell ref="B45:O45"/>
    <mergeCell ref="M47:O47"/>
    <mergeCell ref="N48:O48"/>
    <mergeCell ref="N53:O53"/>
    <mergeCell ref="M54:O54"/>
    <mergeCell ref="I54:K54"/>
    <mergeCell ref="I53:K53"/>
    <mergeCell ref="I55:K55"/>
    <mergeCell ref="F55:G55"/>
    <mergeCell ref="F53:G53"/>
    <mergeCell ref="F54:G54"/>
    <mergeCell ref="N55:O55"/>
    <mergeCell ref="I47:K47"/>
    <mergeCell ref="M42:N42"/>
    <mergeCell ref="C24:E24"/>
    <mergeCell ref="F19:G19"/>
    <mergeCell ref="G23:I23"/>
    <mergeCell ref="G25:I25"/>
    <mergeCell ref="F42:G42"/>
    <mergeCell ref="F44:N44"/>
    <mergeCell ref="F43:G43"/>
    <mergeCell ref="I42:K42"/>
    <mergeCell ref="I43:K43"/>
    <mergeCell ref="C23:E23"/>
    <mergeCell ref="F47:G47"/>
    <mergeCell ref="B1:N1"/>
    <mergeCell ref="B3:N3"/>
    <mergeCell ref="B4:N4"/>
    <mergeCell ref="B6:L6"/>
    <mergeCell ref="B5:N5"/>
    <mergeCell ref="M38:N38"/>
    <mergeCell ref="I20:K20"/>
    <mergeCell ref="C25:E25"/>
    <mergeCell ref="B10:L10"/>
    <mergeCell ref="M36:N36"/>
    <mergeCell ref="F20:G20"/>
    <mergeCell ref="G24:I24"/>
    <mergeCell ref="K24:N24"/>
    <mergeCell ref="K25:N25"/>
    <mergeCell ref="B14:L14"/>
    <mergeCell ref="M28:N28"/>
    <mergeCell ref="M30:N30"/>
    <mergeCell ref="M32:N32"/>
    <mergeCell ref="M34:N34"/>
    <mergeCell ref="B22:O22"/>
    <mergeCell ref="M27:N27"/>
    <mergeCell ref="AB6:AB7"/>
    <mergeCell ref="AA4:AA5"/>
    <mergeCell ref="Q6:Q7"/>
    <mergeCell ref="R6:R7"/>
    <mergeCell ref="S6:S7"/>
    <mergeCell ref="T6:T7"/>
    <mergeCell ref="U6:U7"/>
    <mergeCell ref="V6:V7"/>
    <mergeCell ref="W6:W7"/>
    <mergeCell ref="X6:X7"/>
    <mergeCell ref="Y6:Y7"/>
    <mergeCell ref="Z6:Z7"/>
    <mergeCell ref="AA6:AA7"/>
    <mergeCell ref="Q4:Q5"/>
  </mergeCells>
  <pageMargins left="0.25" right="0.25" top="0.5" bottom="0.5" header="0.3" footer="0.3"/>
  <pageSetup scale="70" fitToHeight="0" orientation="portrait" r:id="rId1"/>
  <headerFooter alignWithMargins="0">
    <oddFooter>&amp;C&amp;12&amp;A&amp;R&amp;N</oddFooter>
  </headerFooter>
  <rowBreaks count="1" manualBreakCount="1">
    <brk id="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3054F-FA2C-4DAB-88A0-92A1415E3058}">
  <sheetPr>
    <pageSetUpPr fitToPage="1"/>
  </sheetPr>
  <dimension ref="A1:V38"/>
  <sheetViews>
    <sheetView zoomScaleNormal="100" workbookViewId="0">
      <selection activeCell="R15" sqref="R15"/>
    </sheetView>
  </sheetViews>
  <sheetFormatPr defaultColWidth="9.109375" defaultRowHeight="13.2" x14ac:dyDescent="0.25"/>
  <cols>
    <col min="1" max="1" width="3.88671875" style="11" customWidth="1"/>
    <col min="2" max="2" width="22.44140625" style="11" customWidth="1"/>
    <col min="3" max="3" width="11.44140625" style="11" customWidth="1"/>
    <col min="4" max="4" width="3.88671875" style="11" customWidth="1"/>
    <col min="5" max="5" width="10.33203125" style="11" customWidth="1"/>
    <col min="6" max="6" width="3.88671875" style="11" customWidth="1"/>
    <col min="7" max="7" width="13.109375" style="11" customWidth="1"/>
    <col min="8" max="8" width="3.44140625" style="11" customWidth="1"/>
    <col min="9" max="9" width="5" style="11" customWidth="1"/>
    <col min="10" max="10" width="12.88671875" style="11" customWidth="1"/>
    <col min="11" max="11" width="3.44140625" style="11" customWidth="1"/>
    <col min="12" max="12" width="4.6640625" style="11" customWidth="1"/>
    <col min="13" max="13" width="14.33203125" style="11" customWidth="1"/>
    <col min="14" max="14" width="3.33203125" style="11" customWidth="1"/>
    <col min="15" max="15" width="9.109375" style="11"/>
    <col min="16" max="16" width="10.88671875" style="11" customWidth="1"/>
    <col min="17" max="17" width="9.109375" style="11"/>
    <col min="18" max="18" width="10.44140625" style="11" bestFit="1" customWidth="1"/>
    <col min="19" max="16384" width="9.109375" style="11"/>
  </cols>
  <sheetData>
    <row r="1" spans="1:15" ht="114" customHeight="1" x14ac:dyDescent="0.25">
      <c r="A1" s="14"/>
      <c r="B1" s="321" t="s">
        <v>105</v>
      </c>
      <c r="C1" s="322"/>
      <c r="D1" s="322"/>
      <c r="E1" s="322"/>
      <c r="F1" s="322"/>
      <c r="G1" s="322"/>
      <c r="H1" s="322"/>
      <c r="I1" s="322"/>
      <c r="J1" s="322"/>
      <c r="K1" s="322"/>
      <c r="L1" s="322"/>
      <c r="M1" s="323"/>
      <c r="N1" s="21"/>
      <c r="O1" s="21"/>
    </row>
    <row r="2" spans="1:15" ht="12.6" customHeight="1" x14ac:dyDescent="0.25">
      <c r="A2" s="100"/>
      <c r="B2" s="100"/>
      <c r="C2" s="100"/>
      <c r="D2" s="100"/>
      <c r="E2" s="100"/>
      <c r="F2" s="100"/>
      <c r="G2" s="100"/>
      <c r="H2" s="100"/>
      <c r="I2" s="100"/>
      <c r="J2" s="100"/>
      <c r="K2" s="100"/>
      <c r="L2" s="100"/>
      <c r="M2" s="100"/>
      <c r="N2" s="21"/>
      <c r="O2" s="21"/>
    </row>
    <row r="3" spans="1:15" customFormat="1" ht="28.2" customHeight="1" x14ac:dyDescent="0.25">
      <c r="A3" s="20"/>
      <c r="B3" s="324" t="s">
        <v>34</v>
      </c>
      <c r="C3" s="325"/>
      <c r="D3" s="325"/>
      <c r="E3" s="325"/>
      <c r="F3" s="325"/>
      <c r="G3" s="325"/>
      <c r="H3" s="325"/>
      <c r="I3" s="325"/>
      <c r="J3" s="325"/>
      <c r="K3" s="325"/>
      <c r="L3" s="325"/>
      <c r="M3" s="326"/>
      <c r="N3" s="21"/>
      <c r="O3" s="21"/>
    </row>
    <row r="4" spans="1:15" customFormat="1" ht="24.75" customHeight="1" x14ac:dyDescent="0.25">
      <c r="A4" s="20"/>
      <c r="B4" s="243"/>
      <c r="C4" s="243"/>
      <c r="D4" s="243"/>
      <c r="E4" s="243"/>
      <c r="F4" s="334" t="s">
        <v>55</v>
      </c>
      <c r="G4" s="335"/>
      <c r="H4" s="243"/>
      <c r="I4" s="334" t="s">
        <v>58</v>
      </c>
      <c r="J4" s="335"/>
      <c r="K4" s="243"/>
      <c r="L4" s="334" t="s">
        <v>59</v>
      </c>
      <c r="M4" s="335"/>
      <c r="N4" s="21"/>
      <c r="O4" s="21"/>
    </row>
    <row r="5" spans="1:15" customFormat="1" ht="16.95" customHeight="1" x14ac:dyDescent="0.25">
      <c r="A5" s="20"/>
      <c r="B5" s="146"/>
      <c r="C5" s="146"/>
      <c r="D5" s="146"/>
      <c r="E5" s="146"/>
      <c r="F5" s="327"/>
      <c r="G5" s="328"/>
      <c r="H5" s="109"/>
      <c r="I5" s="327"/>
      <c r="J5" s="329"/>
      <c r="K5" s="109"/>
      <c r="L5" s="327"/>
      <c r="M5" s="329"/>
      <c r="N5" s="21"/>
      <c r="O5" s="21"/>
    </row>
    <row r="6" spans="1:15" customFormat="1" ht="21" customHeight="1" x14ac:dyDescent="0.25">
      <c r="A6" s="20"/>
      <c r="B6" s="312" t="s">
        <v>80</v>
      </c>
      <c r="C6" s="312"/>
      <c r="D6" s="312"/>
      <c r="E6" s="313"/>
      <c r="F6" s="90"/>
      <c r="G6" s="85"/>
      <c r="H6" s="92"/>
      <c r="I6" s="90"/>
      <c r="J6" s="85"/>
      <c r="K6" s="92"/>
      <c r="L6" s="90"/>
      <c r="M6" s="85"/>
      <c r="N6" s="21"/>
      <c r="O6" s="21"/>
    </row>
    <row r="7" spans="1:15" customFormat="1" ht="21" customHeight="1" x14ac:dyDescent="0.25">
      <c r="A7" s="20"/>
      <c r="B7" s="312" t="s">
        <v>81</v>
      </c>
      <c r="C7" s="312"/>
      <c r="D7" s="312"/>
      <c r="E7" s="313"/>
      <c r="F7" s="90"/>
      <c r="G7" s="85"/>
      <c r="H7" s="92"/>
      <c r="I7" s="90"/>
      <c r="J7" s="85"/>
      <c r="K7" s="92"/>
      <c r="L7" s="90"/>
      <c r="M7" s="85"/>
      <c r="N7" s="21"/>
      <c r="O7" s="21"/>
    </row>
    <row r="8" spans="1:15" customFormat="1" ht="21" customHeight="1" x14ac:dyDescent="0.25">
      <c r="A8" s="20"/>
      <c r="B8" s="312" t="s">
        <v>82</v>
      </c>
      <c r="C8" s="312"/>
      <c r="D8" s="312"/>
      <c r="E8" s="313"/>
      <c r="F8" s="90"/>
      <c r="G8" s="85"/>
      <c r="H8" s="92"/>
      <c r="I8" s="90"/>
      <c r="J8" s="85"/>
      <c r="K8" s="92"/>
      <c r="L8" s="90"/>
      <c r="M8" s="85"/>
      <c r="N8" s="21"/>
      <c r="O8" s="21"/>
    </row>
    <row r="9" spans="1:15" customFormat="1" ht="21" customHeight="1" x14ac:dyDescent="0.25">
      <c r="A9" s="20"/>
      <c r="B9" s="312" t="s">
        <v>83</v>
      </c>
      <c r="C9" s="312"/>
      <c r="D9" s="312"/>
      <c r="E9" s="313"/>
      <c r="F9" s="90"/>
      <c r="G9" s="85"/>
      <c r="H9" s="92"/>
      <c r="I9" s="90"/>
      <c r="J9" s="85"/>
      <c r="K9" s="92"/>
      <c r="L9" s="90"/>
      <c r="M9" s="85"/>
      <c r="N9" s="21"/>
      <c r="O9" s="21"/>
    </row>
    <row r="10" spans="1:15" customFormat="1" ht="21" customHeight="1" x14ac:dyDescent="0.25">
      <c r="A10" s="20"/>
      <c r="B10" s="312" t="s">
        <v>84</v>
      </c>
      <c r="C10" s="312"/>
      <c r="D10" s="312"/>
      <c r="E10" s="312"/>
      <c r="F10" s="90"/>
      <c r="G10" s="144"/>
      <c r="H10" s="92"/>
      <c r="I10" s="90"/>
      <c r="J10" s="144"/>
      <c r="K10" s="92"/>
      <c r="L10" s="90"/>
      <c r="M10" s="144"/>
      <c r="N10" s="21"/>
      <c r="O10" s="21"/>
    </row>
    <row r="11" spans="1:15" customFormat="1" ht="21" customHeight="1" x14ac:dyDescent="0.25">
      <c r="A11" s="20"/>
      <c r="B11" s="312" t="s">
        <v>198</v>
      </c>
      <c r="C11" s="312"/>
      <c r="D11" s="312"/>
      <c r="E11" s="313"/>
      <c r="F11" s="90"/>
      <c r="G11" s="85"/>
      <c r="H11" s="92"/>
      <c r="I11" s="90"/>
      <c r="J11" s="85"/>
      <c r="K11" s="92"/>
      <c r="L11" s="90"/>
      <c r="M11" s="85"/>
      <c r="N11" s="21"/>
      <c r="O11" s="21"/>
    </row>
    <row r="12" spans="1:15" customFormat="1" ht="21" customHeight="1" x14ac:dyDescent="0.25">
      <c r="A12" s="20"/>
      <c r="B12" s="311" t="s">
        <v>85</v>
      </c>
      <c r="C12" s="312"/>
      <c r="D12" s="312"/>
      <c r="E12" s="313"/>
      <c r="F12" s="90"/>
      <c r="G12" s="85"/>
      <c r="H12" s="92"/>
      <c r="I12" s="90"/>
      <c r="J12" s="85"/>
      <c r="K12" s="92"/>
      <c r="L12" s="90"/>
      <c r="M12" s="85"/>
      <c r="N12" s="21"/>
      <c r="O12" s="21"/>
    </row>
    <row r="13" spans="1:15" customFormat="1" ht="21" customHeight="1" x14ac:dyDescent="0.25">
      <c r="A13" s="20"/>
      <c r="B13" s="311" t="s">
        <v>86</v>
      </c>
      <c r="C13" s="312"/>
      <c r="D13" s="312"/>
      <c r="E13" s="313"/>
      <c r="F13" s="90"/>
      <c r="G13" s="85"/>
      <c r="H13" s="92"/>
      <c r="I13" s="90"/>
      <c r="J13" s="85"/>
      <c r="K13" s="92"/>
      <c r="L13" s="90"/>
      <c r="M13" s="85"/>
      <c r="N13" s="21"/>
      <c r="O13" s="21"/>
    </row>
    <row r="14" spans="1:15" customFormat="1" ht="21" customHeight="1" x14ac:dyDescent="0.25">
      <c r="A14" s="20"/>
      <c r="B14" s="311" t="s">
        <v>87</v>
      </c>
      <c r="C14" s="312"/>
      <c r="D14" s="312"/>
      <c r="E14" s="313"/>
      <c r="F14" s="90"/>
      <c r="G14" s="85"/>
      <c r="H14" s="92"/>
      <c r="I14" s="90"/>
      <c r="J14" s="85"/>
      <c r="K14" s="92"/>
      <c r="L14" s="90"/>
      <c r="M14" s="85"/>
      <c r="N14" s="21"/>
      <c r="O14" s="21"/>
    </row>
    <row r="15" spans="1:15" customFormat="1" ht="21" customHeight="1" x14ac:dyDescent="0.25">
      <c r="A15" s="20"/>
      <c r="B15" s="311" t="s">
        <v>88</v>
      </c>
      <c r="C15" s="312"/>
      <c r="D15" s="312"/>
      <c r="E15" s="313"/>
      <c r="F15" s="90"/>
      <c r="G15" s="85"/>
      <c r="H15" s="92"/>
      <c r="I15" s="90"/>
      <c r="J15" s="85"/>
      <c r="K15" s="92"/>
      <c r="L15" s="90"/>
      <c r="M15" s="85"/>
      <c r="N15" s="21"/>
      <c r="O15" s="21"/>
    </row>
    <row r="16" spans="1:15" customFormat="1" ht="21" customHeight="1" x14ac:dyDescent="0.25">
      <c r="A16" s="20"/>
      <c r="B16" s="311" t="s">
        <v>89</v>
      </c>
      <c r="C16" s="312"/>
      <c r="D16" s="312"/>
      <c r="E16" s="313"/>
      <c r="F16" s="90"/>
      <c r="G16" s="85"/>
      <c r="H16" s="92"/>
      <c r="I16" s="90"/>
      <c r="J16" s="85"/>
      <c r="K16" s="92"/>
      <c r="L16" s="90"/>
      <c r="M16" s="85"/>
      <c r="N16" s="21"/>
      <c r="O16" s="21"/>
    </row>
    <row r="17" spans="1:15" customFormat="1" ht="21" customHeight="1" x14ac:dyDescent="0.25">
      <c r="A17" s="20"/>
      <c r="B17" s="311" t="s">
        <v>199</v>
      </c>
      <c r="C17" s="312"/>
      <c r="D17" s="312"/>
      <c r="E17" s="313"/>
      <c r="F17" s="90"/>
      <c r="G17" s="85"/>
      <c r="H17" s="92"/>
      <c r="I17" s="90"/>
      <c r="J17" s="85"/>
      <c r="K17" s="92"/>
      <c r="L17" s="90"/>
      <c r="M17" s="85"/>
      <c r="N17" s="21"/>
      <c r="O17" s="21"/>
    </row>
    <row r="18" spans="1:15" customFormat="1" ht="21" customHeight="1" x14ac:dyDescent="0.25">
      <c r="A18" s="20"/>
      <c r="B18" s="311" t="s">
        <v>208</v>
      </c>
      <c r="C18" s="312"/>
      <c r="D18" s="312"/>
      <c r="E18" s="313"/>
      <c r="F18" s="90"/>
      <c r="G18" s="85"/>
      <c r="H18" s="92"/>
      <c r="I18" s="90"/>
      <c r="J18" s="85"/>
      <c r="K18" s="92"/>
      <c r="L18" s="90"/>
      <c r="M18" s="85"/>
      <c r="N18" s="21"/>
      <c r="O18" s="21"/>
    </row>
    <row r="19" spans="1:15" customFormat="1" ht="26.25" customHeight="1" x14ac:dyDescent="0.25">
      <c r="A19" s="20"/>
      <c r="B19" s="312" t="s">
        <v>209</v>
      </c>
      <c r="C19" s="312"/>
      <c r="D19" s="312"/>
      <c r="E19" s="313"/>
      <c r="F19" s="90"/>
      <c r="G19" s="173"/>
      <c r="H19" s="92"/>
      <c r="I19" s="90"/>
      <c r="J19" s="173"/>
      <c r="K19" s="92"/>
      <c r="L19" s="90"/>
      <c r="M19" s="173"/>
      <c r="N19" s="21"/>
      <c r="O19" s="21"/>
    </row>
    <row r="20" spans="1:15" customFormat="1" ht="26.25" customHeight="1" x14ac:dyDescent="0.25">
      <c r="A20" s="20"/>
      <c r="B20" s="312" t="s">
        <v>194</v>
      </c>
      <c r="C20" s="312"/>
      <c r="D20" s="312"/>
      <c r="E20" s="313"/>
      <c r="F20" s="90"/>
      <c r="G20" s="173"/>
      <c r="H20" s="92"/>
      <c r="I20" s="90"/>
      <c r="J20" s="173"/>
      <c r="K20" s="92"/>
      <c r="L20" s="90"/>
      <c r="M20" s="173"/>
      <c r="N20" s="21"/>
      <c r="O20" s="21"/>
    </row>
    <row r="21" spans="1:15" customFormat="1" ht="20.399999999999999" customHeight="1" x14ac:dyDescent="0.25">
      <c r="A21" s="20"/>
      <c r="B21" s="311" t="s">
        <v>201</v>
      </c>
      <c r="C21" s="312"/>
      <c r="D21" s="312"/>
      <c r="E21" s="313"/>
      <c r="F21" s="90"/>
      <c r="G21" s="85"/>
      <c r="H21" s="92"/>
      <c r="I21" s="90"/>
      <c r="J21" s="85"/>
      <c r="K21" s="92"/>
      <c r="L21" s="90"/>
      <c r="M21" s="85"/>
      <c r="N21" s="21"/>
      <c r="O21" s="21"/>
    </row>
    <row r="22" spans="1:15" customFormat="1" ht="29.25" customHeight="1" x14ac:dyDescent="0.25">
      <c r="A22" s="20"/>
      <c r="B22" s="311" t="s">
        <v>210</v>
      </c>
      <c r="C22" s="417"/>
      <c r="D22" s="417"/>
      <c r="E22" s="418"/>
      <c r="F22" s="90"/>
      <c r="G22" s="85"/>
      <c r="H22" s="92"/>
      <c r="I22" s="90"/>
      <c r="J22" s="85"/>
      <c r="K22" s="92"/>
      <c r="L22" s="90"/>
      <c r="M22" s="85"/>
      <c r="N22" s="21"/>
      <c r="O22" s="21"/>
    </row>
    <row r="23" spans="1:15" customFormat="1" ht="28.2" customHeight="1" x14ac:dyDescent="0.25">
      <c r="A23" s="20"/>
      <c r="B23" s="312" t="s">
        <v>200</v>
      </c>
      <c r="C23" s="312"/>
      <c r="D23" s="312"/>
      <c r="E23" s="313"/>
      <c r="F23" s="90"/>
      <c r="G23" s="85"/>
      <c r="H23" s="92"/>
      <c r="I23" s="90"/>
      <c r="J23" s="85"/>
      <c r="K23" s="92"/>
      <c r="L23" s="90"/>
      <c r="M23" s="85"/>
      <c r="N23" s="21"/>
      <c r="O23" s="21"/>
    </row>
    <row r="24" spans="1:15" customFormat="1" ht="21" customHeight="1" x14ac:dyDescent="0.25">
      <c r="A24" s="20"/>
      <c r="B24" s="312" t="s">
        <v>43</v>
      </c>
      <c r="C24" s="312"/>
      <c r="D24" s="312"/>
      <c r="E24" s="313"/>
      <c r="F24" s="90"/>
      <c r="G24" s="85"/>
      <c r="H24" s="92"/>
      <c r="I24" s="90"/>
      <c r="J24" s="85"/>
      <c r="K24" s="92"/>
      <c r="L24" s="90"/>
      <c r="M24" s="85"/>
      <c r="N24" s="21"/>
      <c r="O24" s="21"/>
    </row>
    <row r="25" spans="1:15" customFormat="1" ht="21" customHeight="1" x14ac:dyDescent="0.25">
      <c r="A25" s="20"/>
      <c r="B25" s="312" t="s">
        <v>103</v>
      </c>
      <c r="C25" s="312"/>
      <c r="D25" s="312"/>
      <c r="E25" s="313"/>
      <c r="F25" s="90"/>
      <c r="G25" s="85"/>
      <c r="H25" s="92"/>
      <c r="I25" s="90"/>
      <c r="J25" s="85"/>
      <c r="K25" s="92"/>
      <c r="L25" s="90"/>
      <c r="M25" s="85"/>
      <c r="N25" s="21"/>
      <c r="O25" s="21"/>
    </row>
    <row r="26" spans="1:15" customFormat="1" ht="27" customHeight="1" x14ac:dyDescent="0.25">
      <c r="A26" s="20"/>
      <c r="B26" s="312" t="s">
        <v>195</v>
      </c>
      <c r="C26" s="312"/>
      <c r="D26" s="312"/>
      <c r="E26" s="313"/>
      <c r="F26" s="90"/>
      <c r="G26" s="85"/>
      <c r="H26" s="92"/>
      <c r="I26" s="90"/>
      <c r="J26" s="85"/>
      <c r="K26" s="92"/>
      <c r="L26" s="90"/>
      <c r="M26" s="85"/>
      <c r="N26" s="21"/>
      <c r="O26" s="21"/>
    </row>
    <row r="27" spans="1:15" customFormat="1" ht="21" customHeight="1" x14ac:dyDescent="0.25">
      <c r="A27" s="20"/>
      <c r="B27" s="312" t="s">
        <v>44</v>
      </c>
      <c r="C27" s="312"/>
      <c r="D27" s="312"/>
      <c r="E27" s="313"/>
      <c r="F27" s="90"/>
      <c r="G27" s="85"/>
      <c r="H27" s="92"/>
      <c r="I27" s="90"/>
      <c r="J27" s="85"/>
      <c r="K27" s="92"/>
      <c r="L27" s="90"/>
      <c r="M27" s="85"/>
      <c r="N27" s="21"/>
      <c r="O27" s="21"/>
    </row>
    <row r="28" spans="1:15" customFormat="1" ht="22.2" customHeight="1" x14ac:dyDescent="0.25">
      <c r="A28" s="20"/>
      <c r="B28" s="311" t="s">
        <v>94</v>
      </c>
      <c r="C28" s="312"/>
      <c r="D28" s="312"/>
      <c r="E28" s="313"/>
      <c r="F28" s="90"/>
      <c r="G28" s="86"/>
      <c r="H28" s="92"/>
      <c r="I28" s="90"/>
      <c r="J28" s="86"/>
      <c r="K28" s="92"/>
      <c r="L28" s="90"/>
      <c r="M28" s="86"/>
      <c r="N28" s="21"/>
      <c r="O28" s="21"/>
    </row>
    <row r="29" spans="1:15" customFormat="1" ht="30" customHeight="1" x14ac:dyDescent="0.25">
      <c r="A29" s="20"/>
      <c r="B29" s="311" t="s">
        <v>196</v>
      </c>
      <c r="C29" s="312"/>
      <c r="D29" s="312"/>
      <c r="E29" s="313"/>
      <c r="F29" s="90"/>
      <c r="G29" s="86"/>
      <c r="H29" s="92"/>
      <c r="I29" s="90"/>
      <c r="J29" s="86"/>
      <c r="K29" s="92"/>
      <c r="L29" s="90"/>
      <c r="M29" s="86"/>
      <c r="N29" s="21"/>
      <c r="O29" s="21"/>
    </row>
    <row r="30" spans="1:15" customFormat="1" ht="20.399999999999999" customHeight="1" x14ac:dyDescent="0.25">
      <c r="A30" s="20"/>
      <c r="B30" s="312" t="s">
        <v>45</v>
      </c>
      <c r="C30" s="312"/>
      <c r="D30" s="312"/>
      <c r="E30" s="313"/>
      <c r="F30" s="90"/>
      <c r="G30" s="85"/>
      <c r="H30" s="92"/>
      <c r="I30" s="90"/>
      <c r="J30" s="85"/>
      <c r="K30" s="92"/>
      <c r="L30" s="90"/>
      <c r="M30" s="85"/>
      <c r="N30" s="21"/>
      <c r="O30" s="21"/>
    </row>
    <row r="31" spans="1:15" customFormat="1" ht="23.4" customHeight="1" x14ac:dyDescent="0.25">
      <c r="A31" s="20"/>
      <c r="B31" s="336" t="s">
        <v>95</v>
      </c>
      <c r="C31" s="336"/>
      <c r="D31" s="336"/>
      <c r="E31" s="336"/>
      <c r="F31" s="90"/>
      <c r="G31" s="85"/>
      <c r="H31" s="94"/>
      <c r="I31" s="90"/>
      <c r="J31" s="85"/>
      <c r="K31" s="94"/>
      <c r="L31" s="90"/>
      <c r="M31" s="85"/>
      <c r="N31" s="21"/>
      <c r="O31" s="21"/>
    </row>
    <row r="32" spans="1:15" customFormat="1" ht="28.95" customHeight="1" x14ac:dyDescent="0.25">
      <c r="A32" s="21"/>
      <c r="B32" s="336" t="s">
        <v>197</v>
      </c>
      <c r="C32" s="336"/>
      <c r="D32" s="336"/>
      <c r="E32" s="336"/>
      <c r="F32" s="90"/>
      <c r="G32" s="85"/>
      <c r="H32" s="94"/>
      <c r="I32" s="90"/>
      <c r="J32" s="85"/>
      <c r="K32" s="94"/>
      <c r="L32" s="90"/>
      <c r="M32" s="85"/>
      <c r="N32" s="21"/>
      <c r="O32" s="21"/>
    </row>
    <row r="33" spans="1:22" customFormat="1" ht="28.95" customHeight="1" x14ac:dyDescent="0.25">
      <c r="A33" s="102"/>
      <c r="B33" s="147"/>
      <c r="C33" s="147"/>
      <c r="D33" s="147"/>
      <c r="E33" s="147"/>
      <c r="F33" s="145" t="s">
        <v>3</v>
      </c>
      <c r="G33" s="89">
        <f>SUM(G6:G32)</f>
        <v>0</v>
      </c>
      <c r="H33" s="96"/>
      <c r="I33" s="145" t="s">
        <v>4</v>
      </c>
      <c r="J33" s="148">
        <f>SUM(J6:J32)</f>
        <v>0</v>
      </c>
      <c r="K33" s="90"/>
      <c r="L33" s="29" t="s">
        <v>5</v>
      </c>
      <c r="M33" s="251">
        <f>SUM(M6:M32)</f>
        <v>0</v>
      </c>
      <c r="N33" s="21"/>
      <c r="O33" s="21"/>
    </row>
    <row r="34" spans="1:22" x14ac:dyDescent="0.25">
      <c r="A34" s="100"/>
      <c r="B34" s="100"/>
      <c r="C34" s="100"/>
      <c r="D34" s="100"/>
      <c r="E34" s="100"/>
      <c r="F34" s="100"/>
      <c r="G34" s="100"/>
      <c r="H34" s="100"/>
      <c r="I34" s="100"/>
      <c r="J34" s="100"/>
      <c r="K34" s="100"/>
      <c r="L34" s="100"/>
      <c r="M34" s="100"/>
      <c r="N34" s="21"/>
      <c r="O34" s="21"/>
      <c r="V34" s="14"/>
    </row>
    <row r="35" spans="1:22" ht="24.75" customHeight="1" x14ac:dyDescent="0.3">
      <c r="A35" s="419" t="s">
        <v>203</v>
      </c>
      <c r="B35" s="315"/>
      <c r="C35" s="315"/>
      <c r="D35" s="315"/>
      <c r="E35" s="315"/>
      <c r="F35" s="315"/>
      <c r="G35" s="315"/>
      <c r="H35" s="420"/>
      <c r="I35" s="145" t="s">
        <v>186</v>
      </c>
      <c r="J35" s="272">
        <f>G33+J33+M33</f>
        <v>0</v>
      </c>
      <c r="L35" s="29" t="s">
        <v>183</v>
      </c>
      <c r="M35" s="252">
        <f>SUM(G33-G11-G17-G20-G23-G26-G29-G32)+(J33-J11-J17-J20-J23-J26-J29-J32)+(M33-M11-M17-M20-M23-M26-M29-M32)</f>
        <v>0</v>
      </c>
      <c r="N35" s="21"/>
      <c r="O35" s="21"/>
    </row>
    <row r="36" spans="1:22" x14ac:dyDescent="0.25">
      <c r="I36" s="318" t="s">
        <v>42</v>
      </c>
      <c r="J36" s="319"/>
      <c r="K36" s="97"/>
      <c r="L36" s="316" t="s">
        <v>185</v>
      </c>
      <c r="M36" s="317"/>
      <c r="N36" s="21"/>
      <c r="O36" s="21"/>
    </row>
    <row r="37" spans="1:22" x14ac:dyDescent="0.25">
      <c r="N37" s="21"/>
    </row>
    <row r="38" spans="1:22" x14ac:dyDescent="0.25">
      <c r="N38" s="21"/>
    </row>
  </sheetData>
  <sheetProtection password="C82F" sheet="1" objects="1" scenarios="1"/>
  <mergeCells count="38">
    <mergeCell ref="L36:M36"/>
    <mergeCell ref="B30:E30"/>
    <mergeCell ref="B31:E31"/>
    <mergeCell ref="B32:E32"/>
    <mergeCell ref="B27:E27"/>
    <mergeCell ref="B28:E28"/>
    <mergeCell ref="B29:E29"/>
    <mergeCell ref="A35:H35"/>
    <mergeCell ref="I36:J36"/>
    <mergeCell ref="B18:E18"/>
    <mergeCell ref="B19:E19"/>
    <mergeCell ref="B25:E25"/>
    <mergeCell ref="B26:E26"/>
    <mergeCell ref="B21:E21"/>
    <mergeCell ref="B23:E23"/>
    <mergeCell ref="B24:E24"/>
    <mergeCell ref="B22:E22"/>
    <mergeCell ref="B20:E20"/>
    <mergeCell ref="B13:E13"/>
    <mergeCell ref="B14:E14"/>
    <mergeCell ref="B15:E15"/>
    <mergeCell ref="B16:E16"/>
    <mergeCell ref="B17:E17"/>
    <mergeCell ref="B6:E6"/>
    <mergeCell ref="B1:M1"/>
    <mergeCell ref="B3:M3"/>
    <mergeCell ref="F5:G5"/>
    <mergeCell ref="I5:J5"/>
    <mergeCell ref="L5:M5"/>
    <mergeCell ref="F4:G4"/>
    <mergeCell ref="I4:J4"/>
    <mergeCell ref="L4:M4"/>
    <mergeCell ref="B12:E12"/>
    <mergeCell ref="B7:E7"/>
    <mergeCell ref="B8:E8"/>
    <mergeCell ref="B9:E9"/>
    <mergeCell ref="B10:E10"/>
    <mergeCell ref="B11:E11"/>
  </mergeCells>
  <pageMargins left="0.25" right="0.25" top="0.5" bottom="0.5" header="0.3" footer="0.3"/>
  <pageSetup scale="83" orientation="portrait" r:id="rId1"/>
  <headerFooter alignWithMargins="0">
    <oddFooter>&amp;C&amp;12&amp;A&amp;R&amp;N</oddFooter>
  </headerFooter>
  <rowBreaks count="1" manualBreakCount="1">
    <brk id="3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15"/>
  <sheetViews>
    <sheetView zoomScaleNormal="100" workbookViewId="0"/>
  </sheetViews>
  <sheetFormatPr defaultColWidth="9.109375" defaultRowHeight="13.2" x14ac:dyDescent="0.25"/>
  <cols>
    <col min="1" max="1" width="3.88671875" style="11" customWidth="1"/>
    <col min="2" max="2" width="22.44140625" style="11" customWidth="1"/>
    <col min="3" max="3" width="11.44140625" style="11" customWidth="1"/>
    <col min="4" max="4" width="3.88671875" style="11" customWidth="1"/>
    <col min="5" max="5" width="12.109375" style="11" customWidth="1"/>
    <col min="6" max="6" width="4.6640625" style="11" customWidth="1"/>
    <col min="7" max="7" width="14.6640625" style="11" customWidth="1"/>
    <col min="8" max="8" width="3.88671875" style="11" customWidth="1"/>
    <col min="9" max="9" width="10.6640625" style="11" customWidth="1"/>
    <col min="10" max="10" width="5" style="11" customWidth="1"/>
    <col min="11" max="11" width="13.6640625" style="11" customWidth="1"/>
    <col min="12" max="12" width="4.44140625" style="11" customWidth="1"/>
    <col min="13" max="13" width="6.33203125" style="11" customWidth="1"/>
    <col min="14" max="14" width="11.88671875" style="11" customWidth="1"/>
    <col min="15" max="15" width="3.33203125" style="11" customWidth="1"/>
    <col min="16" max="16" width="9.109375" style="11"/>
    <col min="17" max="17" width="10.88671875" style="11" customWidth="1"/>
    <col min="18" max="18" width="9.109375" style="11"/>
    <col min="19" max="19" width="10.44140625" style="11" bestFit="1" customWidth="1"/>
    <col min="20" max="16384" width="9.109375" style="11"/>
  </cols>
  <sheetData>
    <row r="1" spans="1:23" ht="114" customHeight="1" x14ac:dyDescent="0.25">
      <c r="A1" s="100"/>
      <c r="B1" s="321" t="s">
        <v>105</v>
      </c>
      <c r="C1" s="322"/>
      <c r="D1" s="322"/>
      <c r="E1" s="322"/>
      <c r="F1" s="322"/>
      <c r="G1" s="322"/>
      <c r="H1" s="322"/>
      <c r="I1" s="322"/>
      <c r="J1" s="322"/>
      <c r="K1" s="322"/>
      <c r="L1" s="322"/>
      <c r="M1" s="322"/>
      <c r="N1" s="323"/>
      <c r="O1" s="97"/>
      <c r="P1" s="97"/>
    </row>
    <row r="2" spans="1:23" ht="12.6" customHeight="1" x14ac:dyDescent="0.25">
      <c r="A2" s="100"/>
      <c r="B2" s="100"/>
      <c r="C2" s="100"/>
      <c r="D2" s="100"/>
      <c r="E2" s="100"/>
      <c r="F2" s="100"/>
      <c r="G2" s="100"/>
      <c r="H2" s="100"/>
      <c r="I2" s="100"/>
      <c r="J2" s="100"/>
      <c r="K2" s="100"/>
      <c r="L2" s="100"/>
      <c r="M2" s="100"/>
      <c r="N2" s="100"/>
      <c r="O2" s="97"/>
      <c r="P2" s="97"/>
    </row>
    <row r="3" spans="1:23" ht="28.2" customHeight="1" x14ac:dyDescent="0.25">
      <c r="A3" s="115"/>
      <c r="B3" s="343" t="s">
        <v>46</v>
      </c>
      <c r="C3" s="343"/>
      <c r="D3" s="343"/>
      <c r="E3" s="343"/>
      <c r="F3" s="343"/>
      <c r="G3" s="343"/>
      <c r="H3" s="343"/>
      <c r="I3" s="343"/>
      <c r="J3" s="343"/>
      <c r="K3" s="343"/>
      <c r="L3" s="343"/>
      <c r="M3" s="343"/>
      <c r="N3" s="344"/>
      <c r="O3" s="97"/>
      <c r="P3" s="97"/>
      <c r="W3" s="14"/>
    </row>
    <row r="4" spans="1:23" s="24" customFormat="1" ht="16.5" customHeight="1" x14ac:dyDescent="0.25">
      <c r="A4" s="158"/>
      <c r="B4" s="361"/>
      <c r="C4" s="361"/>
      <c r="D4" s="361"/>
      <c r="E4" s="361"/>
      <c r="F4" s="361"/>
      <c r="G4" s="361"/>
      <c r="H4" s="361"/>
      <c r="I4" s="361"/>
      <c r="J4" s="361"/>
      <c r="K4" s="361"/>
      <c r="L4" s="361"/>
      <c r="M4" s="361"/>
      <c r="N4" s="362"/>
      <c r="O4" s="97"/>
      <c r="P4" s="97"/>
      <c r="Q4" s="11"/>
      <c r="W4" s="48"/>
    </row>
    <row r="5" spans="1:23" s="27" customFormat="1" ht="28.2" customHeight="1" x14ac:dyDescent="0.25">
      <c r="A5" s="159"/>
      <c r="B5" s="365" t="s">
        <v>181</v>
      </c>
      <c r="C5" s="365"/>
      <c r="D5" s="365"/>
      <c r="E5" s="365"/>
      <c r="F5" s="365"/>
      <c r="G5" s="365"/>
      <c r="H5" s="365"/>
      <c r="I5" s="365"/>
      <c r="J5" s="365"/>
      <c r="K5" s="365"/>
      <c r="L5" s="365"/>
      <c r="M5" s="365"/>
      <c r="N5" s="366"/>
      <c r="O5" s="97"/>
      <c r="P5" s="97"/>
      <c r="Q5" s="11"/>
      <c r="W5" s="45"/>
    </row>
    <row r="6" spans="1:23" s="27" customFormat="1" ht="28.2" customHeight="1" x14ac:dyDescent="0.25">
      <c r="A6" s="159"/>
      <c r="B6" s="358" t="s">
        <v>33</v>
      </c>
      <c r="C6" s="359"/>
      <c r="D6" s="359"/>
      <c r="E6" s="359"/>
      <c r="F6" s="359"/>
      <c r="G6" s="359"/>
      <c r="H6" s="359"/>
      <c r="I6" s="359"/>
      <c r="J6" s="359"/>
      <c r="K6" s="359"/>
      <c r="L6" s="359"/>
      <c r="M6" s="104"/>
      <c r="N6" s="76">
        <f>'Wages, Taxes and Workers'' Comp'!E6</f>
        <v>0</v>
      </c>
      <c r="O6" s="97"/>
      <c r="P6" s="97"/>
      <c r="Q6" s="11"/>
      <c r="W6" s="45"/>
    </row>
    <row r="7" spans="1:23" s="24" customFormat="1" ht="16.5" customHeight="1" x14ac:dyDescent="0.25">
      <c r="A7" s="158"/>
      <c r="B7" s="359" t="s">
        <v>32</v>
      </c>
      <c r="C7" s="359"/>
      <c r="D7" s="359"/>
      <c r="E7" s="359"/>
      <c r="F7" s="359"/>
      <c r="G7" s="359"/>
      <c r="H7" s="359"/>
      <c r="I7" s="359"/>
      <c r="J7" s="359"/>
      <c r="K7" s="359"/>
      <c r="L7" s="359"/>
      <c r="M7" s="104"/>
      <c r="N7" s="25"/>
      <c r="O7" s="97"/>
      <c r="P7" s="97"/>
      <c r="Q7" s="11"/>
    </row>
    <row r="8" spans="1:23" s="24" customFormat="1" ht="16.5" customHeight="1" x14ac:dyDescent="0.25">
      <c r="A8" s="158"/>
      <c r="B8" s="359" t="s">
        <v>31</v>
      </c>
      <c r="C8" s="359"/>
      <c r="D8" s="359"/>
      <c r="E8" s="359"/>
      <c r="F8" s="359"/>
      <c r="G8" s="359"/>
      <c r="H8" s="359"/>
      <c r="I8" s="359"/>
      <c r="J8" s="359"/>
      <c r="K8" s="359"/>
      <c r="L8" s="359"/>
      <c r="M8" s="104"/>
      <c r="N8" s="28"/>
      <c r="O8" s="97"/>
      <c r="P8" s="97"/>
      <c r="Q8" s="11"/>
    </row>
    <row r="9" spans="1:23" s="24" customFormat="1" ht="16.5" customHeight="1" x14ac:dyDescent="0.25">
      <c r="A9" s="158"/>
      <c r="B9" s="359" t="s">
        <v>30</v>
      </c>
      <c r="C9" s="359"/>
      <c r="D9" s="359"/>
      <c r="E9" s="359"/>
      <c r="F9" s="359"/>
      <c r="G9" s="359"/>
      <c r="H9" s="359"/>
      <c r="I9" s="359"/>
      <c r="J9" s="359"/>
      <c r="K9" s="359"/>
      <c r="L9" s="359"/>
      <c r="M9" s="104"/>
      <c r="N9" s="28"/>
      <c r="O9" s="97"/>
      <c r="P9" s="97"/>
      <c r="Q9" s="11"/>
    </row>
    <row r="10" spans="1:23" s="24" customFormat="1" ht="22.5" customHeight="1" x14ac:dyDescent="0.25">
      <c r="A10" s="158"/>
      <c r="B10" s="415" t="s">
        <v>236</v>
      </c>
      <c r="C10" s="415"/>
      <c r="D10" s="415"/>
      <c r="E10" s="415"/>
      <c r="F10" s="415"/>
      <c r="G10" s="415"/>
      <c r="H10" s="415"/>
      <c r="I10" s="415"/>
      <c r="J10" s="415"/>
      <c r="K10" s="415"/>
      <c r="L10" s="415"/>
      <c r="M10" s="190"/>
      <c r="N10" s="196">
        <f>IFERROR('Wages, Taxes and Workers'' Comp'!E6*('Wages, Taxes and Workers'' Comp'!E26/'Wages, Taxes and Workers'' Comp'!E19),0)</f>
        <v>0</v>
      </c>
      <c r="O10" s="97"/>
      <c r="P10" s="97"/>
      <c r="Q10" s="11"/>
    </row>
    <row r="11" spans="1:23" s="24" customFormat="1" ht="26.25" customHeight="1" x14ac:dyDescent="0.25">
      <c r="A11" s="158"/>
      <c r="B11" s="457" t="s">
        <v>126</v>
      </c>
      <c r="C11" s="458"/>
      <c r="D11" s="458"/>
      <c r="E11" s="458"/>
      <c r="F11" s="458"/>
      <c r="G11" s="458"/>
      <c r="H11" s="458"/>
      <c r="I11" s="458"/>
      <c r="J11" s="458"/>
      <c r="K11" s="458"/>
      <c r="L11" s="459"/>
      <c r="M11" s="460"/>
      <c r="N11" s="196">
        <f>SUM(N6:N10)</f>
        <v>0</v>
      </c>
      <c r="O11" s="97"/>
      <c r="P11" s="97"/>
      <c r="Q11" s="11"/>
    </row>
    <row r="12" spans="1:23" s="24" customFormat="1" ht="12" customHeight="1" x14ac:dyDescent="0.25">
      <c r="A12" s="138"/>
      <c r="B12" s="193"/>
      <c r="C12" s="193"/>
      <c r="D12" s="193"/>
      <c r="E12" s="193"/>
      <c r="F12" s="193"/>
      <c r="G12" s="193"/>
      <c r="H12" s="193"/>
      <c r="I12" s="193"/>
      <c r="J12" s="193"/>
      <c r="K12" s="193"/>
      <c r="L12" s="193"/>
      <c r="M12" s="190"/>
      <c r="N12" s="195"/>
      <c r="O12" s="97"/>
      <c r="P12" s="97"/>
      <c r="Q12" s="11"/>
    </row>
    <row r="13" spans="1:23" s="27" customFormat="1" ht="28.2" customHeight="1" x14ac:dyDescent="0.25">
      <c r="A13" s="159"/>
      <c r="B13" s="443" t="s">
        <v>180</v>
      </c>
      <c r="C13" s="443"/>
      <c r="D13" s="443"/>
      <c r="E13" s="443"/>
      <c r="F13" s="443"/>
      <c r="G13" s="443"/>
      <c r="H13" s="443"/>
      <c r="I13" s="443"/>
      <c r="J13" s="443"/>
      <c r="K13" s="443"/>
      <c r="L13" s="443"/>
      <c r="M13" s="443"/>
      <c r="N13" s="444"/>
      <c r="O13" s="97"/>
      <c r="P13" s="97"/>
      <c r="Q13" s="11"/>
      <c r="R13"/>
    </row>
    <row r="14" spans="1:23" s="27" customFormat="1" ht="28.2" customHeight="1" x14ac:dyDescent="0.25">
      <c r="A14" s="159"/>
      <c r="B14" s="359" t="s">
        <v>33</v>
      </c>
      <c r="C14" s="359"/>
      <c r="D14" s="359"/>
      <c r="E14" s="359"/>
      <c r="F14" s="359"/>
      <c r="G14" s="359"/>
      <c r="H14" s="359"/>
      <c r="I14" s="359"/>
      <c r="J14" s="359"/>
      <c r="K14" s="359"/>
      <c r="L14" s="359"/>
      <c r="M14" s="104"/>
      <c r="N14" s="76">
        <f>'Wages, Taxes and Workers'' Comp'!E7</f>
        <v>0</v>
      </c>
      <c r="O14" s="97"/>
      <c r="P14" s="97"/>
      <c r="Q14" s="11"/>
      <c r="R14"/>
    </row>
    <row r="15" spans="1:23" s="24" customFormat="1" ht="16.5" customHeight="1" x14ac:dyDescent="0.25">
      <c r="A15" s="158"/>
      <c r="B15" s="359" t="s">
        <v>32</v>
      </c>
      <c r="C15" s="359"/>
      <c r="D15" s="359"/>
      <c r="E15" s="359"/>
      <c r="F15" s="359"/>
      <c r="G15" s="359"/>
      <c r="H15" s="359"/>
      <c r="I15" s="359"/>
      <c r="J15" s="359"/>
      <c r="K15" s="359"/>
      <c r="L15" s="359"/>
      <c r="M15" s="104"/>
      <c r="N15" s="25"/>
      <c r="O15" s="97"/>
      <c r="P15" s="97"/>
      <c r="Q15" s="11"/>
    </row>
    <row r="16" spans="1:23" s="24" customFormat="1" ht="16.5" customHeight="1" x14ac:dyDescent="0.25">
      <c r="A16" s="158"/>
      <c r="B16" s="359" t="s">
        <v>31</v>
      </c>
      <c r="C16" s="359"/>
      <c r="D16" s="359"/>
      <c r="E16" s="359"/>
      <c r="F16" s="359"/>
      <c r="G16" s="359"/>
      <c r="H16" s="359"/>
      <c r="I16" s="359"/>
      <c r="J16" s="359"/>
      <c r="K16" s="359"/>
      <c r="L16" s="359"/>
      <c r="M16" s="104"/>
      <c r="N16" s="28"/>
      <c r="O16" s="97"/>
      <c r="P16" s="97"/>
      <c r="Q16" s="11"/>
    </row>
    <row r="17" spans="1:18" s="24" customFormat="1" ht="16.5" customHeight="1" x14ac:dyDescent="0.25">
      <c r="A17" s="158"/>
      <c r="B17" s="359" t="s">
        <v>30</v>
      </c>
      <c r="C17" s="359"/>
      <c r="D17" s="359"/>
      <c r="E17" s="359"/>
      <c r="F17" s="359"/>
      <c r="G17" s="359"/>
      <c r="H17" s="359"/>
      <c r="I17" s="359"/>
      <c r="J17" s="359"/>
      <c r="K17" s="359"/>
      <c r="L17" s="359"/>
      <c r="M17" s="104"/>
      <c r="N17" s="28"/>
      <c r="O17" s="97"/>
      <c r="P17" s="97"/>
      <c r="Q17" s="11"/>
    </row>
    <row r="18" spans="1:18" s="24" customFormat="1" ht="16.5" customHeight="1" x14ac:dyDescent="0.25">
      <c r="A18" s="158"/>
      <c r="B18" s="414" t="s">
        <v>236</v>
      </c>
      <c r="C18" s="415"/>
      <c r="D18" s="415"/>
      <c r="E18" s="415"/>
      <c r="F18" s="415"/>
      <c r="G18" s="415"/>
      <c r="H18" s="415"/>
      <c r="I18" s="415"/>
      <c r="J18" s="415"/>
      <c r="K18" s="415"/>
      <c r="L18" s="415"/>
      <c r="M18" s="416"/>
      <c r="N18" s="196">
        <f>IFERROR('Wages, Taxes and Workers'' Comp'!E7*('Wages, Taxes and Workers'' Comp'!E26/'Wages, Taxes and Workers'' Comp'!E19),0)</f>
        <v>0</v>
      </c>
      <c r="O18" s="97"/>
      <c r="P18" s="97"/>
      <c r="Q18" s="11"/>
    </row>
    <row r="19" spans="1:18" s="24" customFormat="1" ht="16.5" customHeight="1" x14ac:dyDescent="0.25">
      <c r="A19" s="158"/>
      <c r="B19" s="457" t="s">
        <v>130</v>
      </c>
      <c r="C19" s="458"/>
      <c r="D19" s="458"/>
      <c r="E19" s="458"/>
      <c r="F19" s="458"/>
      <c r="G19" s="458"/>
      <c r="H19" s="458"/>
      <c r="I19" s="458"/>
      <c r="J19" s="458"/>
      <c r="K19" s="458"/>
      <c r="L19" s="459"/>
      <c r="M19" s="460"/>
      <c r="N19" s="196">
        <f>SUM(N14:N18)</f>
        <v>0</v>
      </c>
      <c r="O19" s="97"/>
      <c r="P19" s="97"/>
      <c r="Q19" s="11"/>
    </row>
    <row r="20" spans="1:18" s="24" customFormat="1" ht="12.75" customHeight="1" x14ac:dyDescent="0.25">
      <c r="A20" s="138"/>
      <c r="B20" s="105"/>
      <c r="C20" s="105"/>
      <c r="D20" s="105"/>
      <c r="E20" s="105"/>
      <c r="F20" s="105"/>
      <c r="G20" s="105"/>
      <c r="H20" s="105"/>
      <c r="I20" s="105"/>
      <c r="J20" s="105"/>
      <c r="K20" s="105"/>
      <c r="L20" s="105"/>
      <c r="M20" s="190"/>
      <c r="N20" s="195"/>
      <c r="O20" s="97"/>
      <c r="P20" s="97"/>
      <c r="Q20" s="11"/>
    </row>
    <row r="21" spans="1:18" s="27" customFormat="1" ht="28.2" customHeight="1" x14ac:dyDescent="0.25">
      <c r="A21" s="159"/>
      <c r="B21" s="443" t="s">
        <v>112</v>
      </c>
      <c r="C21" s="443"/>
      <c r="D21" s="443"/>
      <c r="E21" s="443"/>
      <c r="F21" s="443"/>
      <c r="G21" s="443"/>
      <c r="H21" s="443"/>
      <c r="I21" s="443"/>
      <c r="J21" s="443"/>
      <c r="K21" s="443"/>
      <c r="L21" s="443"/>
      <c r="M21" s="443"/>
      <c r="N21" s="444"/>
      <c r="O21" s="97"/>
      <c r="P21" s="97"/>
      <c r="Q21" s="11"/>
      <c r="R21"/>
    </row>
    <row r="22" spans="1:18" s="27" customFormat="1" ht="28.2" customHeight="1" x14ac:dyDescent="0.25">
      <c r="A22" s="159"/>
      <c r="B22" s="359" t="s">
        <v>33</v>
      </c>
      <c r="C22" s="359"/>
      <c r="D22" s="359"/>
      <c r="E22" s="359"/>
      <c r="F22" s="359"/>
      <c r="G22" s="359"/>
      <c r="H22" s="359"/>
      <c r="I22" s="359"/>
      <c r="J22" s="359"/>
      <c r="K22" s="359"/>
      <c r="L22" s="359"/>
      <c r="M22" s="104"/>
      <c r="N22" s="76">
        <f>'Wages, Taxes and Workers'' Comp'!E9</f>
        <v>0</v>
      </c>
      <c r="O22" s="97"/>
      <c r="P22" s="97"/>
      <c r="Q22" s="11"/>
      <c r="R22"/>
    </row>
    <row r="23" spans="1:18" s="24" customFormat="1" ht="16.5" customHeight="1" x14ac:dyDescent="0.25">
      <c r="A23" s="158"/>
      <c r="B23" s="359" t="s">
        <v>32</v>
      </c>
      <c r="C23" s="359"/>
      <c r="D23" s="359"/>
      <c r="E23" s="359"/>
      <c r="F23" s="359"/>
      <c r="G23" s="359"/>
      <c r="H23" s="359"/>
      <c r="I23" s="359"/>
      <c r="J23" s="359"/>
      <c r="K23" s="359"/>
      <c r="L23" s="359"/>
      <c r="M23" s="104"/>
      <c r="N23" s="25"/>
      <c r="O23" s="97"/>
      <c r="P23" s="97"/>
      <c r="Q23" s="11"/>
    </row>
    <row r="24" spans="1:18" s="24" customFormat="1" ht="16.5" customHeight="1" x14ac:dyDescent="0.25">
      <c r="A24" s="158"/>
      <c r="B24" s="359" t="s">
        <v>31</v>
      </c>
      <c r="C24" s="359"/>
      <c r="D24" s="359"/>
      <c r="E24" s="359"/>
      <c r="F24" s="359"/>
      <c r="G24" s="359"/>
      <c r="H24" s="359"/>
      <c r="I24" s="359"/>
      <c r="J24" s="359"/>
      <c r="K24" s="359"/>
      <c r="L24" s="359"/>
      <c r="M24" s="104"/>
      <c r="N24" s="28"/>
      <c r="O24" s="97"/>
      <c r="P24" s="97"/>
      <c r="Q24" s="11"/>
    </row>
    <row r="25" spans="1:18" s="24" customFormat="1" ht="16.5" customHeight="1" x14ac:dyDescent="0.25">
      <c r="A25" s="158"/>
      <c r="B25" s="359" t="s">
        <v>30</v>
      </c>
      <c r="C25" s="359"/>
      <c r="D25" s="359"/>
      <c r="E25" s="359"/>
      <c r="F25" s="359"/>
      <c r="G25" s="359"/>
      <c r="H25" s="359"/>
      <c r="I25" s="359"/>
      <c r="J25" s="359"/>
      <c r="K25" s="359"/>
      <c r="L25" s="359"/>
      <c r="M25" s="104"/>
      <c r="N25" s="28"/>
      <c r="O25" s="97"/>
      <c r="P25" s="97"/>
      <c r="Q25" s="11"/>
    </row>
    <row r="26" spans="1:18" s="24" customFormat="1" ht="16.5" customHeight="1" x14ac:dyDescent="0.25">
      <c r="A26" s="158"/>
      <c r="B26" s="414" t="s">
        <v>237</v>
      </c>
      <c r="C26" s="415"/>
      <c r="D26" s="415"/>
      <c r="E26" s="415"/>
      <c r="F26" s="415"/>
      <c r="G26" s="415"/>
      <c r="H26" s="415"/>
      <c r="I26" s="415"/>
      <c r="J26" s="415"/>
      <c r="K26" s="415"/>
      <c r="L26" s="415"/>
      <c r="M26" s="416"/>
      <c r="N26" s="192">
        <f>IFERROR('Wages, Taxes and Workers'' Comp'!E9*('Wages, Taxes and Workers'' Comp'!E26/'Wages, Taxes and Workers'' Comp'!E19),0)</f>
        <v>0</v>
      </c>
      <c r="O26" s="97"/>
      <c r="P26" s="97"/>
      <c r="Q26" s="11"/>
    </row>
    <row r="27" spans="1:18" s="24" customFormat="1" ht="16.5" customHeight="1" x14ac:dyDescent="0.25">
      <c r="A27" s="158"/>
      <c r="B27" s="457" t="s">
        <v>127</v>
      </c>
      <c r="C27" s="458"/>
      <c r="D27" s="458"/>
      <c r="E27" s="458"/>
      <c r="F27" s="458"/>
      <c r="G27" s="458"/>
      <c r="H27" s="458"/>
      <c r="I27" s="458"/>
      <c r="J27" s="458"/>
      <c r="K27" s="458"/>
      <c r="L27" s="459"/>
      <c r="M27" s="460"/>
      <c r="N27" s="194">
        <f>SUM(N22:N26)</f>
        <v>0</v>
      </c>
      <c r="O27" s="97"/>
      <c r="P27" s="97"/>
      <c r="Q27" s="11"/>
    </row>
    <row r="28" spans="1:18" s="24" customFormat="1" ht="16.5" customHeight="1" x14ac:dyDescent="0.25">
      <c r="A28" s="138"/>
      <c r="B28" s="105"/>
      <c r="C28" s="105"/>
      <c r="D28" s="105"/>
      <c r="E28" s="105"/>
      <c r="F28" s="105"/>
      <c r="G28" s="105"/>
      <c r="H28" s="105"/>
      <c r="I28" s="105"/>
      <c r="J28" s="105"/>
      <c r="K28" s="105"/>
      <c r="L28" s="105"/>
      <c r="M28" s="190"/>
      <c r="N28" s="195"/>
      <c r="O28" s="97"/>
      <c r="P28" s="97"/>
      <c r="Q28" s="11"/>
    </row>
    <row r="29" spans="1:18" s="27" customFormat="1" ht="28.2" customHeight="1" x14ac:dyDescent="0.25">
      <c r="A29" s="159"/>
      <c r="B29" s="443" t="s">
        <v>47</v>
      </c>
      <c r="C29" s="443"/>
      <c r="D29" s="443"/>
      <c r="E29" s="443"/>
      <c r="F29" s="443"/>
      <c r="G29" s="443"/>
      <c r="H29" s="443"/>
      <c r="I29" s="443"/>
      <c r="J29" s="443"/>
      <c r="K29" s="443"/>
      <c r="L29" s="443"/>
      <c r="M29" s="443"/>
      <c r="N29" s="444"/>
      <c r="O29" s="97"/>
      <c r="P29" s="97"/>
      <c r="Q29" s="11"/>
      <c r="R29"/>
    </row>
    <row r="30" spans="1:18" s="27" customFormat="1" ht="28.2" customHeight="1" x14ac:dyDescent="0.25">
      <c r="A30" s="159"/>
      <c r="B30" s="359" t="s">
        <v>33</v>
      </c>
      <c r="C30" s="359"/>
      <c r="D30" s="359"/>
      <c r="E30" s="359"/>
      <c r="F30" s="359"/>
      <c r="G30" s="359"/>
      <c r="H30" s="359"/>
      <c r="I30" s="359"/>
      <c r="J30" s="359"/>
      <c r="K30" s="359"/>
      <c r="L30" s="359"/>
      <c r="M30" s="104"/>
      <c r="N30" s="76">
        <f>'Wages, Taxes and Workers'' Comp'!E10</f>
        <v>0</v>
      </c>
      <c r="O30" s="97"/>
      <c r="P30" s="97"/>
      <c r="Q30" s="11"/>
      <c r="R30"/>
    </row>
    <row r="31" spans="1:18" s="24" customFormat="1" ht="16.5" customHeight="1" x14ac:dyDescent="0.25">
      <c r="A31" s="158"/>
      <c r="B31" s="358" t="s">
        <v>32</v>
      </c>
      <c r="C31" s="359"/>
      <c r="D31" s="359"/>
      <c r="E31" s="359"/>
      <c r="F31" s="359"/>
      <c r="G31" s="359"/>
      <c r="H31" s="359"/>
      <c r="I31" s="359"/>
      <c r="J31" s="359"/>
      <c r="K31" s="359"/>
      <c r="L31" s="359"/>
      <c r="M31" s="104"/>
      <c r="N31" s="25"/>
      <c r="O31" s="97"/>
      <c r="P31" s="97"/>
      <c r="Q31" s="11"/>
    </row>
    <row r="32" spans="1:18" s="24" customFormat="1" ht="16.5" customHeight="1" x14ac:dyDescent="0.25">
      <c r="A32" s="158"/>
      <c r="B32" s="359" t="s">
        <v>31</v>
      </c>
      <c r="C32" s="359"/>
      <c r="D32" s="359"/>
      <c r="E32" s="359"/>
      <c r="F32" s="359"/>
      <c r="G32" s="359"/>
      <c r="H32" s="359"/>
      <c r="I32" s="359"/>
      <c r="J32" s="359"/>
      <c r="K32" s="359"/>
      <c r="L32" s="359"/>
      <c r="M32" s="104"/>
      <c r="N32" s="28"/>
      <c r="O32" s="97"/>
      <c r="P32" s="97"/>
      <c r="Q32" s="11"/>
    </row>
    <row r="33" spans="1:18" s="24" customFormat="1" ht="16.5" customHeight="1" x14ac:dyDescent="0.25">
      <c r="A33" s="158"/>
      <c r="B33" s="359" t="s">
        <v>30</v>
      </c>
      <c r="C33" s="359"/>
      <c r="D33" s="359"/>
      <c r="E33" s="359"/>
      <c r="F33" s="359"/>
      <c r="G33" s="359"/>
      <c r="H33" s="359"/>
      <c r="I33" s="359"/>
      <c r="J33" s="359"/>
      <c r="K33" s="359"/>
      <c r="L33" s="359"/>
      <c r="M33" s="104"/>
      <c r="N33" s="28"/>
      <c r="O33" s="97"/>
      <c r="P33" s="97"/>
      <c r="Q33" s="11"/>
    </row>
    <row r="34" spans="1:18" s="24" customFormat="1" ht="16.5" customHeight="1" x14ac:dyDescent="0.25">
      <c r="A34" s="158"/>
      <c r="B34" s="414" t="s">
        <v>238</v>
      </c>
      <c r="C34" s="415"/>
      <c r="D34" s="415"/>
      <c r="E34" s="415"/>
      <c r="F34" s="415"/>
      <c r="G34" s="415"/>
      <c r="H34" s="415"/>
      <c r="I34" s="415"/>
      <c r="J34" s="415"/>
      <c r="K34" s="415"/>
      <c r="L34" s="415"/>
      <c r="M34" s="416"/>
      <c r="N34" s="196">
        <f>IFERROR('Wages, Taxes and Workers'' Comp'!E10*('Wages, Taxes and Workers'' Comp'!E26/'Wages, Taxes and Workers'' Comp'!E19),0)</f>
        <v>0</v>
      </c>
      <c r="O34" s="97"/>
      <c r="P34" s="97"/>
      <c r="Q34" s="11"/>
    </row>
    <row r="35" spans="1:18" s="24" customFormat="1" ht="16.5" customHeight="1" x14ac:dyDescent="0.25">
      <c r="A35" s="158"/>
      <c r="B35" s="457" t="s">
        <v>128</v>
      </c>
      <c r="C35" s="458"/>
      <c r="D35" s="458"/>
      <c r="E35" s="458"/>
      <c r="F35" s="458"/>
      <c r="G35" s="458"/>
      <c r="H35" s="458"/>
      <c r="I35" s="458"/>
      <c r="J35" s="458"/>
      <c r="K35" s="458"/>
      <c r="L35" s="459"/>
      <c r="M35" s="460"/>
      <c r="N35" s="77">
        <f>SUM(N30:N34)</f>
        <v>0</v>
      </c>
      <c r="O35" s="97"/>
      <c r="P35" s="97"/>
      <c r="Q35" s="11"/>
    </row>
    <row r="36" spans="1:18" s="24" customFormat="1" ht="16.5" customHeight="1" x14ac:dyDescent="0.25">
      <c r="A36" s="138"/>
      <c r="B36" s="105"/>
      <c r="C36" s="105"/>
      <c r="D36" s="105"/>
      <c r="E36" s="105"/>
      <c r="F36" s="105"/>
      <c r="G36" s="105"/>
      <c r="H36" s="105"/>
      <c r="I36" s="105"/>
      <c r="J36" s="105"/>
      <c r="K36" s="105"/>
      <c r="L36" s="105"/>
      <c r="M36" s="190"/>
      <c r="N36" s="195"/>
      <c r="O36" s="97"/>
      <c r="P36" s="97"/>
      <c r="Q36" s="11"/>
    </row>
    <row r="37" spans="1:18" s="27" customFormat="1" ht="28.2" customHeight="1" x14ac:dyDescent="0.25">
      <c r="A37" s="159"/>
      <c r="B37" s="443" t="s">
        <v>48</v>
      </c>
      <c r="C37" s="443"/>
      <c r="D37" s="443"/>
      <c r="E37" s="443"/>
      <c r="F37" s="443"/>
      <c r="G37" s="443"/>
      <c r="H37" s="443"/>
      <c r="I37" s="443"/>
      <c r="J37" s="443"/>
      <c r="K37" s="443"/>
      <c r="L37" s="443"/>
      <c r="M37" s="443"/>
      <c r="N37" s="444"/>
      <c r="O37" s="97"/>
      <c r="P37" s="97"/>
      <c r="Q37" s="11"/>
      <c r="R37"/>
    </row>
    <row r="38" spans="1:18" s="27" customFormat="1" ht="28.2" customHeight="1" x14ac:dyDescent="0.25">
      <c r="A38" s="159"/>
      <c r="B38" s="358" t="s">
        <v>33</v>
      </c>
      <c r="C38" s="359"/>
      <c r="D38" s="359"/>
      <c r="E38" s="359"/>
      <c r="F38" s="359"/>
      <c r="G38" s="359"/>
      <c r="H38" s="359"/>
      <c r="I38" s="359"/>
      <c r="J38" s="359"/>
      <c r="K38" s="359"/>
      <c r="L38" s="359"/>
      <c r="M38" s="107"/>
      <c r="N38" s="76">
        <f>'Wages, Taxes and Workers'' Comp'!E11</f>
        <v>0</v>
      </c>
      <c r="O38" s="97"/>
      <c r="P38" s="97"/>
      <c r="Q38" s="11"/>
      <c r="R38"/>
    </row>
    <row r="39" spans="1:18" s="24" customFormat="1" ht="16.5" customHeight="1" x14ac:dyDescent="0.25">
      <c r="A39" s="158"/>
      <c r="B39" s="359" t="s">
        <v>32</v>
      </c>
      <c r="C39" s="359"/>
      <c r="D39" s="359"/>
      <c r="E39" s="359"/>
      <c r="F39" s="359"/>
      <c r="G39" s="359"/>
      <c r="H39" s="359"/>
      <c r="I39" s="359"/>
      <c r="J39" s="359"/>
      <c r="K39" s="359"/>
      <c r="L39" s="359"/>
      <c r="M39" s="106"/>
      <c r="N39" s="25"/>
      <c r="O39" s="97"/>
      <c r="P39" s="97"/>
      <c r="Q39" s="11"/>
    </row>
    <row r="40" spans="1:18" s="24" customFormat="1" ht="16.5" customHeight="1" x14ac:dyDescent="0.25">
      <c r="A40" s="158"/>
      <c r="B40" s="359" t="s">
        <v>31</v>
      </c>
      <c r="C40" s="359"/>
      <c r="D40" s="359"/>
      <c r="E40" s="359"/>
      <c r="F40" s="359"/>
      <c r="G40" s="359"/>
      <c r="H40" s="359"/>
      <c r="I40" s="359"/>
      <c r="J40" s="359"/>
      <c r="K40" s="359"/>
      <c r="L40" s="359"/>
      <c r="M40" s="106"/>
      <c r="N40" s="28"/>
      <c r="O40" s="97"/>
      <c r="P40" s="97"/>
      <c r="Q40" s="11"/>
    </row>
    <row r="41" spans="1:18" s="24" customFormat="1" ht="16.5" customHeight="1" x14ac:dyDescent="0.25">
      <c r="A41" s="158"/>
      <c r="B41" s="359" t="s">
        <v>30</v>
      </c>
      <c r="C41" s="359"/>
      <c r="D41" s="359"/>
      <c r="E41" s="359"/>
      <c r="F41" s="359"/>
      <c r="G41" s="359"/>
      <c r="H41" s="359"/>
      <c r="I41" s="359"/>
      <c r="J41" s="359"/>
      <c r="K41" s="359"/>
      <c r="L41" s="359"/>
      <c r="M41" s="107"/>
      <c r="N41" s="28"/>
      <c r="O41" s="97"/>
      <c r="P41" s="97"/>
      <c r="Q41" s="11"/>
    </row>
    <row r="42" spans="1:18" s="24" customFormat="1" ht="16.5" customHeight="1" x14ac:dyDescent="0.25">
      <c r="A42" s="158"/>
      <c r="B42" s="414" t="s">
        <v>239</v>
      </c>
      <c r="C42" s="415"/>
      <c r="D42" s="415"/>
      <c r="E42" s="415"/>
      <c r="F42" s="415"/>
      <c r="G42" s="415"/>
      <c r="H42" s="415"/>
      <c r="I42" s="415"/>
      <c r="J42" s="415"/>
      <c r="K42" s="415"/>
      <c r="L42" s="415"/>
      <c r="M42" s="416"/>
      <c r="N42" s="196">
        <f>IFERROR('Wages, Taxes and Workers'' Comp'!E11*('Wages, Taxes and Workers'' Comp'!E26/'Wages, Taxes and Workers'' Comp'!E19),0)</f>
        <v>0</v>
      </c>
      <c r="O42" s="97"/>
      <c r="P42" s="97"/>
      <c r="Q42" s="11"/>
    </row>
    <row r="43" spans="1:18" s="24" customFormat="1" ht="16.5" customHeight="1" x14ac:dyDescent="0.25">
      <c r="A43" s="158"/>
      <c r="B43" s="457" t="s">
        <v>129</v>
      </c>
      <c r="C43" s="458"/>
      <c r="D43" s="458"/>
      <c r="E43" s="458"/>
      <c r="F43" s="458"/>
      <c r="G43" s="458"/>
      <c r="H43" s="458"/>
      <c r="I43" s="458"/>
      <c r="J43" s="458"/>
      <c r="K43" s="458"/>
      <c r="L43" s="459"/>
      <c r="M43" s="460"/>
      <c r="N43" s="77">
        <f>SUM(N38:N42)</f>
        <v>0</v>
      </c>
      <c r="O43" s="97"/>
      <c r="P43" s="97"/>
      <c r="Q43" s="11"/>
    </row>
    <row r="44" spans="1:18" s="24" customFormat="1" ht="9.75" customHeight="1" x14ac:dyDescent="0.25">
      <c r="A44" s="138"/>
      <c r="B44" s="105"/>
      <c r="C44" s="105"/>
      <c r="D44" s="105"/>
      <c r="E44" s="105"/>
      <c r="F44" s="105"/>
      <c r="G44" s="105"/>
      <c r="H44" s="105"/>
      <c r="I44" s="105"/>
      <c r="J44" s="105"/>
      <c r="K44" s="105"/>
      <c r="L44" s="105"/>
      <c r="M44" s="191"/>
      <c r="N44" s="195"/>
      <c r="O44" s="97"/>
      <c r="P44" s="97"/>
      <c r="Q44" s="11"/>
    </row>
    <row r="45" spans="1:18" s="22" customFormat="1" ht="30" customHeight="1" x14ac:dyDescent="0.3">
      <c r="A45" s="138"/>
      <c r="B45" s="450" t="s">
        <v>120</v>
      </c>
      <c r="C45" s="450"/>
      <c r="D45" s="450"/>
      <c r="E45" s="450"/>
      <c r="F45" s="450"/>
      <c r="G45" s="450"/>
      <c r="H45" s="450"/>
      <c r="I45" s="450"/>
      <c r="J45" s="450"/>
      <c r="K45" s="450"/>
      <c r="L45" s="451"/>
      <c r="M45" s="174" t="s">
        <v>204</v>
      </c>
      <c r="N45" s="23">
        <f>ROUND(SUM(N11+N19+N27+N35+N43),0)</f>
        <v>0</v>
      </c>
      <c r="O45" s="97"/>
      <c r="P45" s="97"/>
      <c r="Q45" s="11"/>
    </row>
    <row r="46" spans="1:18" s="22" customFormat="1" ht="30.75" customHeight="1" x14ac:dyDescent="0.3">
      <c r="A46" s="138"/>
      <c r="B46" s="175"/>
      <c r="C46" s="175"/>
      <c r="D46" s="175"/>
      <c r="E46" s="175"/>
      <c r="F46" s="175"/>
      <c r="G46" s="175"/>
      <c r="H46" s="175"/>
      <c r="I46" s="175"/>
      <c r="J46" s="175"/>
      <c r="K46" s="175"/>
      <c r="M46" s="285"/>
      <c r="N46" s="285"/>
      <c r="P46" s="285"/>
      <c r="Q46" s="11"/>
    </row>
    <row r="47" spans="1:18" s="22" customFormat="1" ht="30.75" customHeight="1" x14ac:dyDescent="0.25">
      <c r="A47" s="138"/>
      <c r="B47" s="342" t="s">
        <v>29</v>
      </c>
      <c r="C47" s="343"/>
      <c r="D47" s="343"/>
      <c r="E47" s="343"/>
      <c r="F47" s="343"/>
      <c r="G47" s="343"/>
      <c r="H47" s="343"/>
      <c r="I47" s="343"/>
      <c r="J47" s="343"/>
      <c r="K47" s="344"/>
      <c r="L47" s="285"/>
      <c r="M47" s="285"/>
      <c r="N47" s="285"/>
      <c r="O47" s="285"/>
      <c r="P47" s="285"/>
      <c r="Q47" s="11"/>
    </row>
    <row r="48" spans="1:18" s="22" customFormat="1" ht="30.75" customHeight="1" x14ac:dyDescent="0.25">
      <c r="A48" s="138"/>
      <c r="B48" s="479"/>
      <c r="C48" s="480"/>
      <c r="D48" s="480"/>
      <c r="E48" s="480"/>
      <c r="F48" s="480"/>
      <c r="G48" s="480"/>
      <c r="H48" s="480"/>
      <c r="I48" s="480"/>
      <c r="J48" s="480"/>
      <c r="K48" s="481"/>
      <c r="L48" s="285"/>
      <c r="M48" s="285"/>
      <c r="N48" s="285"/>
      <c r="O48" s="285"/>
      <c r="P48" s="285"/>
      <c r="Q48" s="11"/>
    </row>
    <row r="49" spans="1:18" s="22" customFormat="1" ht="44.25" customHeight="1" x14ac:dyDescent="0.25">
      <c r="A49" s="138"/>
      <c r="B49" s="482"/>
      <c r="C49" s="483"/>
      <c r="D49" s="484" t="s">
        <v>28</v>
      </c>
      <c r="E49" s="484"/>
      <c r="F49" s="176"/>
      <c r="G49" s="485" t="s">
        <v>123</v>
      </c>
      <c r="H49" s="485"/>
      <c r="I49" s="176"/>
      <c r="J49" s="486"/>
      <c r="K49" s="487"/>
      <c r="L49" s="285"/>
      <c r="M49" s="285"/>
      <c r="N49" s="285"/>
      <c r="O49" s="285"/>
      <c r="P49" s="285"/>
      <c r="Q49" s="11"/>
    </row>
    <row r="50" spans="1:18" s="22" customFormat="1" ht="30.75" customHeight="1" x14ac:dyDescent="0.25">
      <c r="A50" s="138"/>
      <c r="B50" s="469" t="s">
        <v>27</v>
      </c>
      <c r="C50" s="470"/>
      <c r="D50" s="471">
        <f>N45</f>
        <v>0</v>
      </c>
      <c r="E50" s="472"/>
      <c r="F50" s="177" t="s">
        <v>10</v>
      </c>
      <c r="G50" s="445">
        <f>'Non-Day Hab Units of Service'!J35</f>
        <v>0</v>
      </c>
      <c r="H50" s="447"/>
      <c r="I50" s="112" t="s">
        <v>11</v>
      </c>
      <c r="J50" s="340">
        <f>IF(D50&gt;0,ROUND(D50/G50,2),)</f>
        <v>0</v>
      </c>
      <c r="K50" s="341"/>
      <c r="L50" s="285"/>
      <c r="M50" s="285"/>
      <c r="N50" s="285"/>
      <c r="O50" s="97"/>
      <c r="P50" s="97"/>
      <c r="Q50" s="11"/>
    </row>
    <row r="51" spans="1:18" s="22" customFormat="1" ht="29.25" customHeight="1" x14ac:dyDescent="0.25">
      <c r="A51" s="138"/>
      <c r="B51" s="473"/>
      <c r="C51" s="474"/>
      <c r="D51" s="475" t="s">
        <v>121</v>
      </c>
      <c r="E51" s="476"/>
      <c r="F51" s="178"/>
      <c r="G51" s="477" t="s">
        <v>205</v>
      </c>
      <c r="H51" s="478"/>
      <c r="I51" s="178"/>
      <c r="J51" s="19" t="s">
        <v>187</v>
      </c>
      <c r="K51" s="240" t="s">
        <v>215</v>
      </c>
      <c r="L51" s="285"/>
      <c r="M51" s="285"/>
      <c r="N51" s="285"/>
      <c r="O51" s="97"/>
      <c r="P51" s="97"/>
      <c r="Q51" s="11"/>
    </row>
    <row r="52" spans="1:18" ht="18" customHeight="1" x14ac:dyDescent="0.25">
      <c r="A52" s="100"/>
      <c r="B52" s="100"/>
      <c r="C52" s="100"/>
      <c r="D52" s="100"/>
      <c r="E52" s="100"/>
      <c r="F52" s="100"/>
      <c r="G52" s="100"/>
      <c r="H52" s="100"/>
      <c r="I52" s="100"/>
      <c r="J52" s="100"/>
      <c r="K52" s="100"/>
      <c r="L52" s="22"/>
      <c r="M52" s="285"/>
      <c r="N52" s="285"/>
      <c r="P52" s="97"/>
    </row>
    <row r="53" spans="1:18" ht="35.25" customHeight="1" thickBot="1" x14ac:dyDescent="0.3">
      <c r="A53" s="100"/>
      <c r="B53" s="342" t="s">
        <v>26</v>
      </c>
      <c r="C53" s="343"/>
      <c r="D53" s="343"/>
      <c r="E53" s="343"/>
      <c r="F53" s="343"/>
      <c r="G53" s="343"/>
      <c r="H53" s="343"/>
      <c r="I53" s="343"/>
      <c r="J53" s="343"/>
      <c r="K53" s="343"/>
      <c r="L53" s="343"/>
      <c r="M53" s="343"/>
      <c r="N53" s="343"/>
      <c r="O53" s="344"/>
      <c r="P53" s="97"/>
      <c r="R53"/>
    </row>
    <row r="54" spans="1:18" ht="15.75" customHeight="1" x14ac:dyDescent="0.25">
      <c r="A54" s="100"/>
      <c r="B54" s="108"/>
      <c r="C54" s="370" t="s">
        <v>177</v>
      </c>
      <c r="D54" s="371"/>
      <c r="E54" s="372"/>
      <c r="F54" s="100"/>
      <c r="G54" s="370" t="s">
        <v>178</v>
      </c>
      <c r="H54" s="371"/>
      <c r="I54" s="372"/>
      <c r="J54" s="109"/>
      <c r="K54" s="370" t="s">
        <v>179</v>
      </c>
      <c r="L54" s="371"/>
      <c r="M54" s="371"/>
      <c r="N54" s="372"/>
      <c r="O54" s="110"/>
      <c r="P54" s="97"/>
      <c r="R54"/>
    </row>
    <row r="55" spans="1:18" ht="6.75" customHeight="1" x14ac:dyDescent="0.25">
      <c r="A55" s="100"/>
      <c r="B55" s="35"/>
      <c r="C55" s="348"/>
      <c r="D55" s="349"/>
      <c r="E55" s="350"/>
      <c r="F55" s="109"/>
      <c r="G55" s="348"/>
      <c r="H55" s="349"/>
      <c r="I55" s="350"/>
      <c r="J55" s="36"/>
      <c r="K55" s="348"/>
      <c r="L55" s="349"/>
      <c r="M55" s="349"/>
      <c r="N55" s="350"/>
      <c r="O55" s="20"/>
      <c r="P55" s="97"/>
      <c r="R55"/>
    </row>
    <row r="56" spans="1:18" ht="31.2" customHeight="1" thickBot="1" x14ac:dyDescent="0.3">
      <c r="A56" s="100"/>
      <c r="B56" s="189" t="s">
        <v>72</v>
      </c>
      <c r="C56" s="453">
        <v>0</v>
      </c>
      <c r="D56" s="454"/>
      <c r="E56" s="455"/>
      <c r="F56" s="100"/>
      <c r="G56" s="453">
        <v>0</v>
      </c>
      <c r="H56" s="454"/>
      <c r="I56" s="455"/>
      <c r="J56" s="14"/>
      <c r="K56" s="453">
        <v>0</v>
      </c>
      <c r="L56" s="454"/>
      <c r="M56" s="454"/>
      <c r="N56" s="455"/>
      <c r="O56" s="20"/>
      <c r="P56" s="97"/>
      <c r="R56"/>
    </row>
    <row r="57" spans="1:18" x14ac:dyDescent="0.25">
      <c r="A57" s="100"/>
      <c r="B57" s="103"/>
      <c r="C57" s="100"/>
      <c r="D57" s="100"/>
      <c r="E57" s="100"/>
      <c r="F57" s="100"/>
      <c r="G57" s="100"/>
      <c r="H57" s="100"/>
      <c r="I57" s="100"/>
      <c r="J57" s="100"/>
      <c r="K57" s="100"/>
      <c r="L57" s="100"/>
      <c r="M57" s="100"/>
      <c r="N57" s="100"/>
      <c r="O57" s="115"/>
      <c r="P57" s="97"/>
    </row>
    <row r="58" spans="1:18" customFormat="1" ht="37.200000000000003" customHeight="1" x14ac:dyDescent="0.25">
      <c r="A58" s="102"/>
      <c r="B58" s="264"/>
      <c r="C58" s="263" t="s">
        <v>73</v>
      </c>
      <c r="D58" s="101"/>
      <c r="E58" s="263" t="s">
        <v>74</v>
      </c>
      <c r="F58" s="101"/>
      <c r="G58" s="263" t="s">
        <v>62</v>
      </c>
      <c r="H58" s="100"/>
      <c r="I58" s="263" t="s">
        <v>75</v>
      </c>
      <c r="J58" s="101"/>
      <c r="K58" s="263" t="s">
        <v>62</v>
      </c>
      <c r="L58" s="100"/>
      <c r="M58" s="345" t="s">
        <v>76</v>
      </c>
      <c r="N58" s="345"/>
      <c r="O58" s="110"/>
      <c r="P58" s="97"/>
      <c r="Q58" s="11"/>
    </row>
    <row r="59" spans="1:18" customFormat="1" ht="15.6" customHeight="1" x14ac:dyDescent="0.25">
      <c r="A59" s="102"/>
      <c r="B59" s="264"/>
      <c r="C59" s="53" t="s">
        <v>114</v>
      </c>
      <c r="D59" s="101"/>
      <c r="E59" s="53" t="s">
        <v>56</v>
      </c>
      <c r="F59" s="101"/>
      <c r="G59" s="53" t="s">
        <v>115</v>
      </c>
      <c r="H59" s="100"/>
      <c r="I59" s="53" t="s">
        <v>60</v>
      </c>
      <c r="J59" s="101"/>
      <c r="K59" s="53" t="s">
        <v>116</v>
      </c>
      <c r="L59" s="100"/>
      <c r="M59" s="338" t="s">
        <v>61</v>
      </c>
      <c r="N59" s="339"/>
      <c r="O59" s="110"/>
      <c r="P59" s="97"/>
      <c r="Q59" s="11"/>
    </row>
    <row r="60" spans="1:18" s="21" customFormat="1" ht="13.2" customHeight="1" x14ac:dyDescent="0.25">
      <c r="A60" s="102"/>
      <c r="B60" s="264"/>
      <c r="C60" s="44"/>
      <c r="D60" s="101"/>
      <c r="E60" s="44"/>
      <c r="F60" s="101"/>
      <c r="G60" s="44"/>
      <c r="H60" s="100"/>
      <c r="I60" s="44"/>
      <c r="J60" s="101"/>
      <c r="K60" s="44"/>
      <c r="L60" s="100"/>
      <c r="M60" s="153"/>
      <c r="N60" s="153"/>
      <c r="O60" s="110"/>
      <c r="P60" s="97"/>
      <c r="Q60" s="11"/>
    </row>
    <row r="61" spans="1:18" customFormat="1" ht="22.2" customHeight="1" x14ac:dyDescent="0.25">
      <c r="A61" s="102"/>
      <c r="B61" s="157" t="s">
        <v>57</v>
      </c>
      <c r="C61" s="262">
        <f>'Non-Day Hab Units of Service'!G6+'Non-Day Hab Units of Service'!G12</f>
        <v>0</v>
      </c>
      <c r="D61" s="156" t="s">
        <v>20</v>
      </c>
      <c r="E61" s="261">
        <f>VLOOKUP(C$56,'NDH Rates'!A$5:P$30,2,FALSE)</f>
        <v>62.44</v>
      </c>
      <c r="F61" s="152" t="s">
        <v>12</v>
      </c>
      <c r="G61" s="262">
        <f>'Non-Day Hab Units of Service'!J6+'Non-Day Hab Units of Service'!J12</f>
        <v>0</v>
      </c>
      <c r="H61" s="112" t="s">
        <v>20</v>
      </c>
      <c r="I61" s="261">
        <f>VLOOKUP(G$56,'NDH Rates'!A$5:P$30,2,FALSE)</f>
        <v>62.44</v>
      </c>
      <c r="J61" s="112" t="s">
        <v>12</v>
      </c>
      <c r="K61" s="262">
        <f>'Non-Day Hab Units of Service'!M6+'Non-Day Hab Units of Service'!M12</f>
        <v>0</v>
      </c>
      <c r="L61" s="112" t="s">
        <v>20</v>
      </c>
      <c r="M61" s="456">
        <f>VLOOKUP(K56,'NDH Rates'!A37:B62,2,FALSE)</f>
        <v>62.44</v>
      </c>
      <c r="N61" s="456"/>
      <c r="O61" s="116" t="s">
        <v>12</v>
      </c>
      <c r="P61" s="97"/>
      <c r="Q61" s="11"/>
    </row>
    <row r="62" spans="1:18" s="16" customFormat="1" ht="9.6" customHeight="1" x14ac:dyDescent="0.25">
      <c r="A62" s="102"/>
      <c r="B62" s="133"/>
      <c r="C62" s="81"/>
      <c r="D62" s="122"/>
      <c r="E62" s="82"/>
      <c r="F62" s="124"/>
      <c r="G62" s="81"/>
      <c r="H62" s="112"/>
      <c r="I62" s="81"/>
      <c r="J62" s="120"/>
      <c r="K62" s="81"/>
      <c r="L62" s="112"/>
      <c r="M62" s="124"/>
      <c r="N62" s="124"/>
      <c r="O62" s="110"/>
      <c r="P62" s="97"/>
      <c r="Q62" s="11"/>
    </row>
    <row r="63" spans="1:18" s="16" customFormat="1" ht="16.5" customHeight="1" x14ac:dyDescent="0.25">
      <c r="A63" s="102"/>
      <c r="B63" s="133" t="s">
        <v>53</v>
      </c>
      <c r="C63" s="262">
        <f>'Non-Day Hab Units of Service'!G7+'Non-Day Hab Units of Service'!G13</f>
        <v>0</v>
      </c>
      <c r="D63" s="156" t="s">
        <v>20</v>
      </c>
      <c r="E63" s="261">
        <f>VLOOKUP(C$56,'NDH Rates'!A$5:P$30,3,FALSE)</f>
        <v>69.680000000000007</v>
      </c>
      <c r="F63" s="152" t="s">
        <v>12</v>
      </c>
      <c r="G63" s="262">
        <f>'Non-Day Hab Units of Service'!J7+'Non-Day Hab Units of Service'!J13</f>
        <v>0</v>
      </c>
      <c r="H63" s="112" t="s">
        <v>20</v>
      </c>
      <c r="I63" s="261">
        <f>VLOOKUP(G$56,'NDH Rates'!A$5:P$30,3,FALSE)</f>
        <v>69.680000000000007</v>
      </c>
      <c r="J63" s="112" t="s">
        <v>12</v>
      </c>
      <c r="K63" s="262">
        <f>'Non-Day Hab Units of Service'!M7+'Non-Day Hab Units of Service'!M13</f>
        <v>0</v>
      </c>
      <c r="L63" s="112" t="s">
        <v>20</v>
      </c>
      <c r="M63" s="340">
        <f>VLOOKUP(K56,'NDH Rates'!A37:C62,3,FALSE)</f>
        <v>69.680000000000007</v>
      </c>
      <c r="N63" s="341"/>
      <c r="O63" s="116" t="s">
        <v>12</v>
      </c>
      <c r="P63" s="97"/>
      <c r="Q63" s="11"/>
    </row>
    <row r="64" spans="1:18" s="16" customFormat="1" ht="8.4" customHeight="1" x14ac:dyDescent="0.35">
      <c r="A64" s="102"/>
      <c r="B64" s="133"/>
      <c r="C64" s="82"/>
      <c r="D64" s="118"/>
      <c r="E64" s="82"/>
      <c r="F64" s="124"/>
      <c r="G64" s="82"/>
      <c r="H64" s="112"/>
      <c r="I64" s="83"/>
      <c r="J64" s="113"/>
      <c r="K64" s="82"/>
      <c r="L64" s="112"/>
      <c r="M64" s="124"/>
      <c r="N64" s="124"/>
      <c r="O64" s="268"/>
      <c r="P64" s="97"/>
      <c r="Q64" s="11"/>
    </row>
    <row r="65" spans="1:17" customFormat="1" ht="19.95" customHeight="1" x14ac:dyDescent="0.25">
      <c r="A65" s="102"/>
      <c r="B65" s="157" t="s">
        <v>63</v>
      </c>
      <c r="C65" s="262">
        <f>'Non-Day Hab Units of Service'!G8+'Non-Day Hab Units of Service'!G14</f>
        <v>0</v>
      </c>
      <c r="D65" s="156" t="s">
        <v>20</v>
      </c>
      <c r="E65" s="261">
        <f>VLOOKUP(C$56,'NDH Rates'!A$5:P$30,4,FALSE)</f>
        <v>80.260000000000005</v>
      </c>
      <c r="F65" s="152" t="s">
        <v>12</v>
      </c>
      <c r="G65" s="262">
        <f>'Non-Day Hab Units of Service'!J8+'Non-Day Hab Units of Service'!J14</f>
        <v>0</v>
      </c>
      <c r="H65" s="112" t="s">
        <v>20</v>
      </c>
      <c r="I65" s="261">
        <f>VLOOKUP(G$56,'NDH Rates'!A$5:P$30,4,FALSE)</f>
        <v>80.260000000000005</v>
      </c>
      <c r="J65" s="112" t="s">
        <v>12</v>
      </c>
      <c r="K65" s="262">
        <f>'Non-Day Hab Units of Service'!M8+'Non-Day Hab Units of Service'!M14</f>
        <v>0</v>
      </c>
      <c r="L65" s="112" t="s">
        <v>20</v>
      </c>
      <c r="M65" s="340">
        <f>VLOOKUP(K56,'NDH Rates'!A37:D62,4,FALSE)</f>
        <v>80.260000000000005</v>
      </c>
      <c r="N65" s="341"/>
      <c r="O65" s="116" t="s">
        <v>12</v>
      </c>
      <c r="P65" s="97"/>
      <c r="Q65" s="11"/>
    </row>
    <row r="66" spans="1:17" s="16" customFormat="1" ht="9.6" customHeight="1" x14ac:dyDescent="0.35">
      <c r="A66" s="102"/>
      <c r="B66" s="133"/>
      <c r="C66" s="82"/>
      <c r="D66" s="118"/>
      <c r="E66" s="82"/>
      <c r="F66" s="120"/>
      <c r="G66" s="82"/>
      <c r="H66" s="112"/>
      <c r="I66" s="84"/>
      <c r="J66" s="113"/>
      <c r="K66" s="82"/>
      <c r="L66" s="112"/>
      <c r="M66" s="124"/>
      <c r="N66" s="124"/>
      <c r="O66" s="268"/>
      <c r="P66" s="97"/>
      <c r="Q66" s="11"/>
    </row>
    <row r="67" spans="1:17" customFormat="1" ht="18" customHeight="1" x14ac:dyDescent="0.25">
      <c r="A67" s="102"/>
      <c r="B67" s="157" t="s">
        <v>64</v>
      </c>
      <c r="C67" s="262">
        <f>'Non-Day Hab Units of Service'!G9+'Non-Day Hab Units of Service'!G15</f>
        <v>0</v>
      </c>
      <c r="D67" s="156" t="s">
        <v>20</v>
      </c>
      <c r="E67" s="261">
        <f>VLOOKUP(C$56,'NDH Rates'!A$5:P$30,5,FALSE)</f>
        <v>97.98</v>
      </c>
      <c r="F67" s="152" t="s">
        <v>12</v>
      </c>
      <c r="G67" s="262">
        <f>'Non-Day Hab Units of Service'!J9+'Non-Day Hab Units of Service'!J15</f>
        <v>0</v>
      </c>
      <c r="H67" s="112" t="s">
        <v>20</v>
      </c>
      <c r="I67" s="261">
        <f>VLOOKUP(G$56,'NDH Rates'!A$5:P$30,5,FALSE)</f>
        <v>97.98</v>
      </c>
      <c r="J67" s="112" t="s">
        <v>12</v>
      </c>
      <c r="K67" s="262">
        <f>'Non-Day Hab Units of Service'!M9+'Non-Day Hab Units of Service'!M15</f>
        <v>0</v>
      </c>
      <c r="L67" s="112" t="s">
        <v>20</v>
      </c>
      <c r="M67" s="340">
        <f>VLOOKUP(K56,'NDH Rates'!A37:F62,5,FALSE)</f>
        <v>98.82</v>
      </c>
      <c r="N67" s="341"/>
      <c r="O67" s="116" t="s">
        <v>12</v>
      </c>
      <c r="P67" s="97"/>
      <c r="Q67" s="11"/>
    </row>
    <row r="68" spans="1:17" s="46" customFormat="1" ht="7.95" customHeight="1" x14ac:dyDescent="0.25">
      <c r="A68" s="102"/>
      <c r="B68" s="133"/>
      <c r="C68" s="82"/>
      <c r="D68" s="118"/>
      <c r="E68" s="82"/>
      <c r="F68" s="120"/>
      <c r="G68" s="82"/>
      <c r="H68" s="112"/>
      <c r="I68" s="84"/>
      <c r="J68" s="113"/>
      <c r="K68" s="82"/>
      <c r="L68" s="112"/>
      <c r="M68" s="124"/>
      <c r="N68" s="124"/>
      <c r="O68" s="110"/>
      <c r="P68" s="97"/>
      <c r="Q68" s="11"/>
    </row>
    <row r="69" spans="1:17" customFormat="1" ht="18.600000000000001" customHeight="1" x14ac:dyDescent="0.25">
      <c r="A69" s="102"/>
      <c r="B69" s="157" t="s">
        <v>65</v>
      </c>
      <c r="C69" s="262">
        <f>'Non-Day Hab Units of Service'!G10+'Non-Day Hab Units of Service'!G16</f>
        <v>0</v>
      </c>
      <c r="D69" s="156" t="s">
        <v>20</v>
      </c>
      <c r="E69" s="261">
        <f>VLOOKUP(C$56,'NDH Rates'!A$5:P$30,6,FALSE)</f>
        <v>169.11</v>
      </c>
      <c r="F69" s="152" t="s">
        <v>12</v>
      </c>
      <c r="G69" s="262">
        <f>'Non-Day Hab Units of Service'!J10+'Non-Day Hab Units of Service'!J16</f>
        <v>0</v>
      </c>
      <c r="H69" s="112" t="s">
        <v>20</v>
      </c>
      <c r="I69" s="261">
        <f>VLOOKUP(G$56,'NDH Rates'!A$5:P$30,6,FALSE)</f>
        <v>169.11</v>
      </c>
      <c r="J69" s="112" t="s">
        <v>12</v>
      </c>
      <c r="K69" s="262">
        <f>'Non-Day Hab Units of Service'!M10+'Non-Day Hab Units of Service'!M16</f>
        <v>0</v>
      </c>
      <c r="L69" s="112" t="s">
        <v>20</v>
      </c>
      <c r="M69" s="340">
        <f>VLOOKUP(K56,'NDH Rates'!A37:G62,6,FALSE)</f>
        <v>175.69</v>
      </c>
      <c r="N69" s="341"/>
      <c r="O69" s="116" t="s">
        <v>12</v>
      </c>
      <c r="P69" s="97"/>
      <c r="Q69" s="11"/>
    </row>
    <row r="70" spans="1:17" s="46" customFormat="1" ht="9.6" customHeight="1" x14ac:dyDescent="0.25">
      <c r="A70" s="102"/>
      <c r="B70" s="133"/>
      <c r="C70" s="82"/>
      <c r="D70" s="118"/>
      <c r="E70" s="82"/>
      <c r="F70" s="120"/>
      <c r="G70" s="82"/>
      <c r="H70" s="112"/>
      <c r="I70" s="84"/>
      <c r="J70" s="113"/>
      <c r="K70" s="82"/>
      <c r="L70" s="112"/>
      <c r="M70" s="124"/>
      <c r="N70" s="124"/>
      <c r="O70" s="110"/>
      <c r="P70" s="97"/>
      <c r="Q70" s="11"/>
    </row>
    <row r="71" spans="1:17" customFormat="1" ht="16.2" customHeight="1" x14ac:dyDescent="0.25">
      <c r="A71" s="102"/>
      <c r="B71" s="133" t="s">
        <v>211</v>
      </c>
      <c r="C71" s="262">
        <f>'Non-Day Hab Units of Service'!G18+'Non-Day Hab Units of Service'!G19</f>
        <v>0</v>
      </c>
      <c r="D71" s="156" t="s">
        <v>20</v>
      </c>
      <c r="E71" s="261">
        <f>VLOOKUP(C$56,'NDH Rates'!A$5:R$30,15,FALSE)</f>
        <v>19.07</v>
      </c>
      <c r="F71" s="152" t="s">
        <v>12</v>
      </c>
      <c r="G71" s="262">
        <f>'Non-Day Hab Units of Service'!J18+'Non-Day Hab Units of Service'!J19</f>
        <v>0</v>
      </c>
      <c r="H71" s="112" t="s">
        <v>20</v>
      </c>
      <c r="I71" s="261">
        <f>VLOOKUP(G$56,'NDH Rates'!A$5:P$30,7,FALSE)</f>
        <v>14.52</v>
      </c>
      <c r="J71" s="112" t="s">
        <v>12</v>
      </c>
      <c r="K71" s="262">
        <f>'Non-Day Hab Units of Service'!M18+'Non-Day Hab Units of Service'!M19</f>
        <v>0</v>
      </c>
      <c r="L71" s="112" t="s">
        <v>20</v>
      </c>
      <c r="M71" s="340">
        <f>VLOOKUP(K56,'NDH Rates'!A37:H62,8,FALSE)</f>
        <v>16.07</v>
      </c>
      <c r="N71" s="341"/>
      <c r="O71" s="116" t="s">
        <v>12</v>
      </c>
      <c r="P71" s="97"/>
      <c r="Q71" s="11"/>
    </row>
    <row r="72" spans="1:17" s="46" customFormat="1" ht="10.199999999999999" customHeight="1" x14ac:dyDescent="0.25">
      <c r="A72" s="102"/>
      <c r="B72" s="133"/>
      <c r="C72" s="81"/>
      <c r="D72" s="122"/>
      <c r="E72" s="84"/>
      <c r="F72" s="113"/>
      <c r="G72" s="81"/>
      <c r="H72" s="112"/>
      <c r="I72" s="84"/>
      <c r="J72" s="113"/>
      <c r="K72" s="81"/>
      <c r="L72" s="124"/>
      <c r="M72" s="154"/>
      <c r="N72" s="154"/>
      <c r="O72" s="110"/>
      <c r="P72" s="97"/>
      <c r="Q72" s="11"/>
    </row>
    <row r="73" spans="1:17" customFormat="1" ht="16.2" customHeight="1" x14ac:dyDescent="0.25">
      <c r="A73" s="102"/>
      <c r="B73" s="238" t="s">
        <v>182</v>
      </c>
      <c r="C73" s="262">
        <f>'Non-Day Hab Units of Service'!G21+'Non-Day Hab Units of Service'!G22</f>
        <v>0</v>
      </c>
      <c r="D73" s="156" t="s">
        <v>20</v>
      </c>
      <c r="E73" s="261">
        <f>VLOOKUP(C$56,'NDH Rates'!A$5:R$30,16,FALSE)</f>
        <v>19.07</v>
      </c>
      <c r="F73" s="152" t="s">
        <v>12</v>
      </c>
      <c r="G73" s="262">
        <f>'Non-Day Hab Units of Service'!J21+'Non-Day Hab Units of Service'!J22</f>
        <v>0</v>
      </c>
      <c r="H73" s="112" t="s">
        <v>20</v>
      </c>
      <c r="I73" s="261">
        <f>VLOOKUP(G$56,'NDH Rates'!A$5:P$30,8,FALSE)</f>
        <v>14.52</v>
      </c>
      <c r="J73" s="112" t="s">
        <v>12</v>
      </c>
      <c r="K73" s="262">
        <f>'Non-Day Hab Units of Service'!M21+'Non-Day Hab Units of Service'!M22</f>
        <v>0</v>
      </c>
      <c r="L73" s="112" t="s">
        <v>20</v>
      </c>
      <c r="M73" s="384">
        <f>VLOOKUP(K56,'NDH Rates'!A37:I62,9,FALSE)</f>
        <v>14.52</v>
      </c>
      <c r="N73" s="384"/>
      <c r="O73" s="116" t="s">
        <v>12</v>
      </c>
      <c r="P73" s="97"/>
      <c r="Q73" s="11"/>
    </row>
    <row r="74" spans="1:17" customFormat="1" ht="16.2" customHeight="1" x14ac:dyDescent="0.25">
      <c r="A74" s="102"/>
      <c r="B74" s="133"/>
      <c r="C74" s="82"/>
      <c r="D74" s="156"/>
      <c r="E74" s="82"/>
      <c r="F74" s="152"/>
      <c r="G74" s="265"/>
      <c r="H74" s="112"/>
      <c r="I74" s="82"/>
      <c r="J74" s="112"/>
      <c r="K74" s="82"/>
      <c r="L74" s="112"/>
      <c r="M74" s="155"/>
      <c r="N74" s="155"/>
      <c r="O74" s="116"/>
      <c r="P74" s="97"/>
      <c r="Q74" s="11"/>
    </row>
    <row r="75" spans="1:17" customFormat="1" ht="18" customHeight="1" x14ac:dyDescent="0.25">
      <c r="A75" s="102"/>
      <c r="B75" s="133" t="s">
        <v>66</v>
      </c>
      <c r="C75" s="262">
        <f>'Non-Day Hab Units of Service'!G24</f>
        <v>0</v>
      </c>
      <c r="D75" s="156" t="s">
        <v>20</v>
      </c>
      <c r="E75" s="261">
        <f>VLOOKUP(C$56,'NDH Rates'!A$5:P$30,11,FALSE)</f>
        <v>10.66</v>
      </c>
      <c r="F75" s="152" t="s">
        <v>12</v>
      </c>
      <c r="G75" s="262">
        <f>'Non-Day Hab Units of Service'!J24</f>
        <v>0</v>
      </c>
      <c r="H75" s="112" t="s">
        <v>20</v>
      </c>
      <c r="I75" s="261">
        <f>VLOOKUP(G$56,'NDH Rates'!A$5:P$30,11,FALSE)</f>
        <v>10.66</v>
      </c>
      <c r="J75" s="112" t="s">
        <v>12</v>
      </c>
      <c r="K75" s="262">
        <f>'Non-Day Hab Units of Service'!M24</f>
        <v>0</v>
      </c>
      <c r="L75" s="112" t="s">
        <v>20</v>
      </c>
      <c r="M75" s="384">
        <f>VLOOKUP(K56,'NDH Rates'!A37:K62,11,FALSE)</f>
        <v>10.66</v>
      </c>
      <c r="N75" s="384"/>
      <c r="O75" s="116" t="s">
        <v>12</v>
      </c>
      <c r="P75" s="97"/>
      <c r="Q75" s="11"/>
    </row>
    <row r="76" spans="1:17" s="46" customFormat="1" ht="9" customHeight="1" x14ac:dyDescent="0.25">
      <c r="A76" s="102"/>
      <c r="B76" s="133"/>
      <c r="C76" s="81"/>
      <c r="D76" s="122"/>
      <c r="E76" s="84"/>
      <c r="F76" s="113"/>
      <c r="G76" s="81"/>
      <c r="H76" s="112"/>
      <c r="I76" s="84"/>
      <c r="J76" s="113"/>
      <c r="K76" s="81"/>
      <c r="L76" s="124"/>
      <c r="M76" s="154"/>
      <c r="N76" s="154"/>
      <c r="O76" s="110"/>
      <c r="P76" s="97"/>
      <c r="Q76" s="11"/>
    </row>
    <row r="77" spans="1:17" customFormat="1" ht="18" customHeight="1" x14ac:dyDescent="0.25">
      <c r="A77" s="102"/>
      <c r="B77" s="133" t="s">
        <v>69</v>
      </c>
      <c r="C77" s="262">
        <f>'Non-Day Hab Units of Service'!G25</f>
        <v>0</v>
      </c>
      <c r="D77" s="156" t="s">
        <v>20</v>
      </c>
      <c r="E77" s="261">
        <f>VLOOKUP(C$56,'NDH Rates'!A$5:P$30,12,FALSE)</f>
        <v>10.66</v>
      </c>
      <c r="F77" s="152" t="s">
        <v>12</v>
      </c>
      <c r="G77" s="262">
        <f>'Non-Day Hab Units of Service'!J25</f>
        <v>0</v>
      </c>
      <c r="H77" s="112" t="s">
        <v>20</v>
      </c>
      <c r="I77" s="261">
        <f>VLOOKUP(G$56,'NDH Rates'!A$5:P$30,12,FALSE)</f>
        <v>10.66</v>
      </c>
      <c r="J77" s="112" t="s">
        <v>12</v>
      </c>
      <c r="K77" s="262">
        <f>'Non-Day Hab Units of Service'!M25</f>
        <v>0</v>
      </c>
      <c r="L77" s="112" t="s">
        <v>20</v>
      </c>
      <c r="M77" s="384">
        <f>VLOOKUP(K56,'NDH Rates'!A37:L62,12,FALSE)</f>
        <v>10.66</v>
      </c>
      <c r="N77" s="384"/>
      <c r="O77" s="116" t="s">
        <v>12</v>
      </c>
      <c r="P77" s="97"/>
      <c r="Q77" s="11"/>
    </row>
    <row r="78" spans="1:17" customFormat="1" ht="13.5" customHeight="1" x14ac:dyDescent="0.25">
      <c r="A78" s="102"/>
      <c r="B78" s="133"/>
      <c r="C78" s="82"/>
      <c r="D78" s="156"/>
      <c r="E78" s="82"/>
      <c r="F78" s="152"/>
      <c r="G78" s="265"/>
      <c r="H78" s="112"/>
      <c r="I78" s="260"/>
      <c r="J78" s="112"/>
      <c r="K78" s="265"/>
      <c r="L78" s="112"/>
      <c r="M78" s="155"/>
      <c r="N78" s="155"/>
      <c r="O78" s="116"/>
      <c r="P78" s="97"/>
      <c r="Q78" s="11"/>
    </row>
    <row r="79" spans="1:17" customFormat="1" ht="18.600000000000001" customHeight="1" x14ac:dyDescent="0.25">
      <c r="A79" s="102"/>
      <c r="B79" s="133" t="s">
        <v>67</v>
      </c>
      <c r="C79" s="262">
        <f>'Non-Day Hab Units of Service'!G27</f>
        <v>0</v>
      </c>
      <c r="D79" s="156" t="s">
        <v>20</v>
      </c>
      <c r="E79" s="261">
        <f>VLOOKUP(C$56,'NDH Rates'!A$5:P$30,13,FALSE)</f>
        <v>19.07</v>
      </c>
      <c r="F79" s="152" t="s">
        <v>12</v>
      </c>
      <c r="G79" s="262">
        <f>'Non-Day Hab Units of Service'!J27</f>
        <v>0</v>
      </c>
      <c r="H79" s="112" t="s">
        <v>20</v>
      </c>
      <c r="I79" s="261">
        <f>VLOOKUP(G$56,'NDH Rates'!A$5:P$30,13,FALSE)</f>
        <v>19.07</v>
      </c>
      <c r="J79" s="112" t="s">
        <v>12</v>
      </c>
      <c r="K79" s="262">
        <f>'Non-Day Hab Units of Service'!M27</f>
        <v>0</v>
      </c>
      <c r="L79" s="112" t="s">
        <v>20</v>
      </c>
      <c r="M79" s="384">
        <f>VLOOKUP(K56,'NDH Rates'!A37:M62,13,FALSE)</f>
        <v>19.07</v>
      </c>
      <c r="N79" s="384"/>
      <c r="O79" s="116" t="s">
        <v>12</v>
      </c>
      <c r="P79" s="97"/>
      <c r="Q79" s="11"/>
    </row>
    <row r="80" spans="1:17" s="46" customFormat="1" ht="11.4" customHeight="1" x14ac:dyDescent="0.25">
      <c r="A80" s="102"/>
      <c r="B80" s="133"/>
      <c r="C80" s="81"/>
      <c r="D80" s="122"/>
      <c r="E80" s="84"/>
      <c r="F80" s="113"/>
      <c r="G80" s="81"/>
      <c r="H80" s="112"/>
      <c r="I80" s="84"/>
      <c r="J80" s="113"/>
      <c r="K80" s="81"/>
      <c r="L80" s="124"/>
      <c r="M80" s="154"/>
      <c r="N80" s="154"/>
      <c r="O80" s="110"/>
      <c r="P80" s="97"/>
      <c r="Q80" s="11"/>
    </row>
    <row r="81" spans="1:19" customFormat="1" ht="17.399999999999999" customHeight="1" x14ac:dyDescent="0.25">
      <c r="A81" s="102"/>
      <c r="B81" s="133" t="s">
        <v>70</v>
      </c>
      <c r="C81" s="262">
        <f>'Non-Day Hab Units of Service'!G28</f>
        <v>0</v>
      </c>
      <c r="D81" s="156" t="s">
        <v>20</v>
      </c>
      <c r="E81" s="261">
        <f>VLOOKUP(C$56,'NDH Rates'!A$5:P$30,14,FALSE)</f>
        <v>19.07</v>
      </c>
      <c r="F81" s="152" t="s">
        <v>12</v>
      </c>
      <c r="G81" s="262">
        <f>'Non-Day Hab Units of Service'!J28</f>
        <v>0</v>
      </c>
      <c r="H81" s="112" t="s">
        <v>20</v>
      </c>
      <c r="I81" s="261">
        <f>VLOOKUP(G$56,'NDH Rates'!A$5:P$30,14,FALSE)</f>
        <v>19.07</v>
      </c>
      <c r="J81" s="112" t="s">
        <v>12</v>
      </c>
      <c r="K81" s="262">
        <f>'Non-Day Hab Units of Service'!M28</f>
        <v>0</v>
      </c>
      <c r="L81" s="112" t="s">
        <v>20</v>
      </c>
      <c r="M81" s="384">
        <f>VLOOKUP(K56,'NDH Rates'!A37:N62,14,FALSE)</f>
        <v>19.07</v>
      </c>
      <c r="N81" s="384"/>
      <c r="O81" s="116" t="s">
        <v>12</v>
      </c>
      <c r="P81" s="97"/>
      <c r="Q81" s="11"/>
    </row>
    <row r="82" spans="1:19" customFormat="1" ht="17.399999999999999" customHeight="1" x14ac:dyDescent="0.25">
      <c r="A82" s="102"/>
      <c r="B82" s="133"/>
      <c r="C82" s="82"/>
      <c r="D82" s="156"/>
      <c r="E82" s="82"/>
      <c r="F82" s="152"/>
      <c r="G82" s="82"/>
      <c r="H82" s="112"/>
      <c r="I82" s="82"/>
      <c r="J82" s="112"/>
      <c r="K82" s="82"/>
      <c r="L82" s="112"/>
      <c r="M82" s="155"/>
      <c r="N82" s="155"/>
      <c r="O82" s="116"/>
      <c r="P82" s="97"/>
      <c r="Q82" s="11"/>
    </row>
    <row r="83" spans="1:19" customFormat="1" ht="18" customHeight="1" x14ac:dyDescent="0.25">
      <c r="A83" s="102"/>
      <c r="B83" s="133" t="s">
        <v>68</v>
      </c>
      <c r="C83" s="262">
        <f>'Non-Day Hab Units of Service'!G30</f>
        <v>0</v>
      </c>
      <c r="D83" s="156" t="s">
        <v>20</v>
      </c>
      <c r="E83" s="261">
        <f>VLOOKUP(C$56,'NDH Rates'!A$5:P$30,15,FALSE)</f>
        <v>19.07</v>
      </c>
      <c r="F83" s="152" t="s">
        <v>12</v>
      </c>
      <c r="G83" s="262">
        <f>'Non-Day Hab Units of Service'!J30</f>
        <v>0</v>
      </c>
      <c r="H83" s="112" t="s">
        <v>20</v>
      </c>
      <c r="I83" s="261">
        <f>VLOOKUP(G$56,'NDH Rates'!A$5:P$30,15,FALSE)</f>
        <v>19.07</v>
      </c>
      <c r="J83" s="112" t="s">
        <v>12</v>
      </c>
      <c r="K83" s="262">
        <f>'Non-Day Hab Units of Service'!M30</f>
        <v>0</v>
      </c>
      <c r="L83" s="112" t="s">
        <v>20</v>
      </c>
      <c r="M83" s="340">
        <f>VLOOKUP(K56,'NDH Rates'!A37:O62,15,FALSE)</f>
        <v>19.07</v>
      </c>
      <c r="N83" s="341"/>
      <c r="O83" s="116" t="s">
        <v>12</v>
      </c>
      <c r="P83" s="97"/>
      <c r="Q83" s="11"/>
    </row>
    <row r="84" spans="1:19" s="46" customFormat="1" ht="11.4" customHeight="1" x14ac:dyDescent="0.25">
      <c r="A84" s="102"/>
      <c r="B84" s="133"/>
      <c r="C84" s="81"/>
      <c r="D84" s="122"/>
      <c r="E84" s="84"/>
      <c r="F84" s="113"/>
      <c r="G84" s="81"/>
      <c r="H84" s="112"/>
      <c r="I84" s="84"/>
      <c r="J84" s="113"/>
      <c r="K84" s="81"/>
      <c r="L84" s="124"/>
      <c r="M84" s="154"/>
      <c r="N84" s="154"/>
      <c r="O84" s="110"/>
      <c r="P84" s="97"/>
      <c r="Q84" s="11"/>
    </row>
    <row r="85" spans="1:19" customFormat="1" ht="16.5" customHeight="1" x14ac:dyDescent="0.25">
      <c r="A85" s="102"/>
      <c r="B85" s="133" t="s">
        <v>71</v>
      </c>
      <c r="C85" s="262">
        <f>'Non-Day Hab Units of Service'!G31</f>
        <v>0</v>
      </c>
      <c r="D85" s="156" t="s">
        <v>20</v>
      </c>
      <c r="E85" s="261">
        <f>VLOOKUP(C$56,'NDH Rates'!A$5:P$30,16,FALSE)</f>
        <v>19.07</v>
      </c>
      <c r="F85" s="152" t="s">
        <v>12</v>
      </c>
      <c r="G85" s="262">
        <f>'Non-Day Hab Units of Service'!J31</f>
        <v>0</v>
      </c>
      <c r="H85" s="112" t="s">
        <v>20</v>
      </c>
      <c r="I85" s="261">
        <f>VLOOKUP(G$56,'NDH Rates'!A$5:P$30,16,FALSE)</f>
        <v>19.07</v>
      </c>
      <c r="J85" s="112" t="s">
        <v>12</v>
      </c>
      <c r="K85" s="262">
        <f>'Non-Day Hab Units of Service'!M31</f>
        <v>0</v>
      </c>
      <c r="L85" s="112" t="s">
        <v>20</v>
      </c>
      <c r="M85" s="384">
        <f>VLOOKUP(K56,'NDH Rates'!A37:P62,16,FALSE)</f>
        <v>19.07</v>
      </c>
      <c r="N85" s="384"/>
      <c r="O85" s="116" t="s">
        <v>11</v>
      </c>
      <c r="P85" s="97"/>
      <c r="Q85" s="11"/>
    </row>
    <row r="86" spans="1:19" s="46" customFormat="1" ht="13.8" x14ac:dyDescent="0.25">
      <c r="A86" s="102"/>
      <c r="B86" s="121"/>
      <c r="C86" s="150"/>
      <c r="D86" s="150"/>
      <c r="E86" s="151"/>
      <c r="F86" s="151"/>
      <c r="G86" s="269"/>
      <c r="H86" s="132"/>
      <c r="I86" s="151"/>
      <c r="J86" s="151"/>
      <c r="K86" s="160"/>
      <c r="L86" s="102"/>
      <c r="M86" s="266"/>
      <c r="N86" s="266"/>
      <c r="O86" s="110"/>
      <c r="P86" s="97"/>
      <c r="Q86" s="11"/>
    </row>
    <row r="87" spans="1:19" customFormat="1" ht="28.2" customHeight="1" x14ac:dyDescent="0.25">
      <c r="A87" s="102"/>
      <c r="B87" s="142" t="s">
        <v>91</v>
      </c>
      <c r="C87" s="172">
        <f>IFERROR(ROUND((((C56*0.05*(C61+C63+C65+C67+C69+C71+C75+C79+C83+C73+C77+C81+C85))+((G56*0.05)*(G61+G63+G65+G67+G69+G71+G75+G79+G83+G73+G77+G81+G85))+((K56*0.05)*(K61+K63+K65+K67+K69+K71+K75+K79+K83+K73+K77+K81+K85))))/(C61+C63+C65+C67+C69+C71+C75+C79+C83+C73+C77+C81+C85+G61+G63+G65+G67+G69+G71+G75+G79+G83+G73+G77+G81+G85+K61+K63+K65+K67+K69+K71+K75+K79+K83+K73+K77+K81+K85),2),0)</f>
        <v>0</v>
      </c>
      <c r="D87" s="114"/>
      <c r="E87" s="114"/>
      <c r="F87" s="100"/>
      <c r="G87" s="100"/>
      <c r="H87" s="131"/>
      <c r="I87" s="452"/>
      <c r="J87" s="452"/>
      <c r="K87" s="452"/>
      <c r="L87" s="131"/>
      <c r="M87" s="384">
        <f>ROUND((C61*E61)+(G61*I61)+(K61*M61)+(C63*E63)+(G63*I63)+(K63*M63)+(C65*E65)+(G65*I65)+(K65*M65)+(C67*E67)+(G67*I67)+(K67*M67)+(C69*E69)+(G69*I69)+(K69*M69)+(C71*E71)+(G71*I71)+(K71*M71)+(C75*E75)+(G75*I75)+(K75*M75)+(C79*E79)+(G79*I79)+(K79*M79)+(C83*E83)+(G83*I83)+(K83*M83)+(C73*E73)+(G73*I73)+(K73*M73)+(C77*E77)+(G77*I77)+(K77*M77)+(C81*E81)+(G81*I81)+(K81*M81)+(C85*E85)+(G85*I85)+(K85*M85),2)</f>
        <v>0</v>
      </c>
      <c r="N87" s="384"/>
      <c r="O87" s="110"/>
      <c r="P87" s="97"/>
      <c r="Q87" s="11"/>
    </row>
    <row r="88" spans="1:19" s="16" customFormat="1" ht="19.5" customHeight="1" x14ac:dyDescent="0.25">
      <c r="A88" s="102"/>
      <c r="B88" s="185"/>
      <c r="C88" s="114"/>
      <c r="D88" s="114"/>
      <c r="E88" s="442"/>
      <c r="F88" s="442"/>
      <c r="G88" s="102"/>
      <c r="H88" s="132"/>
      <c r="I88" s="433"/>
      <c r="J88" s="433"/>
      <c r="K88" s="433"/>
      <c r="L88" s="116"/>
      <c r="M88" s="19" t="s">
        <v>6</v>
      </c>
      <c r="N88" s="19" t="s">
        <v>92</v>
      </c>
      <c r="O88" s="184"/>
      <c r="P88" s="97"/>
      <c r="Q88" s="11"/>
    </row>
    <row r="89" spans="1:19" s="16" customFormat="1" ht="25.95" customHeight="1" x14ac:dyDescent="0.25">
      <c r="A89" s="102"/>
      <c r="B89" s="121"/>
      <c r="C89" s="467">
        <f>M87</f>
        <v>0</v>
      </c>
      <c r="D89" s="468"/>
      <c r="E89" s="187" t="s">
        <v>10</v>
      </c>
      <c r="F89" s="466">
        <f>'Non-Day Hab Units of Service'!M35</f>
        <v>0</v>
      </c>
      <c r="G89" s="422"/>
      <c r="H89" s="116" t="s">
        <v>11</v>
      </c>
      <c r="I89" s="463">
        <f>IF(C87&gt;0,ROUND(C89/F89,2),0)</f>
        <v>0</v>
      </c>
      <c r="J89" s="464"/>
      <c r="K89" s="266"/>
      <c r="L89" s="132"/>
      <c r="M89" s="151"/>
      <c r="N89" s="151"/>
      <c r="O89" s="110"/>
      <c r="P89" s="97"/>
      <c r="Q89" s="11"/>
    </row>
    <row r="90" spans="1:19" s="16" customFormat="1" ht="21.75" customHeight="1" x14ac:dyDescent="0.25">
      <c r="A90" s="102"/>
      <c r="B90" s="121"/>
      <c r="C90" s="461" t="s">
        <v>113</v>
      </c>
      <c r="D90" s="396"/>
      <c r="E90" s="186"/>
      <c r="F90" s="462" t="s">
        <v>212</v>
      </c>
      <c r="G90" s="465"/>
      <c r="H90" s="116"/>
      <c r="I90" s="462" t="s">
        <v>206</v>
      </c>
      <c r="J90" s="422"/>
      <c r="K90" s="266"/>
      <c r="L90" s="132"/>
      <c r="M90" s="151"/>
      <c r="N90" s="151"/>
      <c r="O90" s="110"/>
      <c r="P90" s="97"/>
      <c r="Q90" s="11"/>
      <c r="S90"/>
    </row>
    <row r="91" spans="1:19" s="16" customFormat="1" ht="13.5" customHeight="1" x14ac:dyDescent="0.25">
      <c r="A91" s="102"/>
      <c r="B91" s="129"/>
      <c r="C91" s="119"/>
      <c r="D91" s="119"/>
      <c r="E91" s="119"/>
      <c r="F91" s="149"/>
      <c r="G91" s="149"/>
      <c r="H91" s="130"/>
      <c r="I91" s="259"/>
      <c r="J91" s="259"/>
      <c r="K91" s="259"/>
      <c r="L91" s="130"/>
      <c r="M91" s="188"/>
      <c r="N91" s="188"/>
      <c r="O91" s="168"/>
      <c r="P91" s="97"/>
      <c r="Q91" s="11"/>
    </row>
    <row r="92" spans="1:19" ht="18" customHeight="1" x14ac:dyDescent="0.25">
      <c r="A92" s="100"/>
      <c r="B92" s="97"/>
      <c r="C92" s="97"/>
      <c r="D92" s="97"/>
      <c r="E92" s="97"/>
      <c r="F92" s="97"/>
      <c r="G92" s="97"/>
      <c r="H92" s="97"/>
      <c r="I92" s="97"/>
      <c r="J92" s="97"/>
      <c r="K92" s="97"/>
      <c r="L92" s="97"/>
      <c r="M92" s="97"/>
      <c r="N92" s="97"/>
      <c r="O92" s="97"/>
      <c r="P92" s="97"/>
    </row>
    <row r="93" spans="1:19" ht="28.2" customHeight="1" x14ac:dyDescent="0.25">
      <c r="A93" s="100"/>
      <c r="B93" s="324" t="s">
        <v>25</v>
      </c>
      <c r="C93" s="325"/>
      <c r="D93" s="325"/>
      <c r="E93" s="325"/>
      <c r="F93" s="325"/>
      <c r="G93" s="325"/>
      <c r="H93" s="325"/>
      <c r="I93" s="325"/>
      <c r="J93" s="325"/>
      <c r="K93" s="325"/>
      <c r="L93" s="325"/>
      <c r="M93" s="325"/>
      <c r="N93" s="326"/>
      <c r="O93" s="97"/>
      <c r="P93" s="97"/>
      <c r="R93"/>
    </row>
    <row r="94" spans="1:19" ht="31.5" customHeight="1" x14ac:dyDescent="0.25">
      <c r="A94" s="100"/>
      <c r="B94" s="103"/>
      <c r="C94" s="100"/>
      <c r="D94" s="100"/>
      <c r="E94" s="100"/>
      <c r="F94" s="421">
        <f>M87</f>
        <v>0</v>
      </c>
      <c r="G94" s="422"/>
      <c r="H94" s="100"/>
      <c r="I94" s="427">
        <v>0.9</v>
      </c>
      <c r="J94" s="428"/>
      <c r="K94" s="429"/>
      <c r="L94" s="100"/>
      <c r="M94" s="423">
        <f>ROUND(F94*I94,2)</f>
        <v>0</v>
      </c>
      <c r="N94" s="424"/>
      <c r="O94" s="97"/>
      <c r="P94" s="97"/>
    </row>
    <row r="95" spans="1:19" ht="24" customHeight="1" x14ac:dyDescent="0.25">
      <c r="A95" s="100"/>
      <c r="B95" s="103"/>
      <c r="C95" s="100"/>
      <c r="D95" s="100"/>
      <c r="E95" s="100"/>
      <c r="F95" s="425" t="s">
        <v>113</v>
      </c>
      <c r="G95" s="426"/>
      <c r="H95" s="100"/>
      <c r="I95" s="430"/>
      <c r="J95" s="431"/>
      <c r="K95" s="432"/>
      <c r="L95" s="100"/>
      <c r="M95" s="17" t="s">
        <v>8</v>
      </c>
      <c r="N95" s="281" t="s">
        <v>241</v>
      </c>
      <c r="O95" s="97"/>
      <c r="P95" s="97"/>
    </row>
    <row r="96" spans="1:19" ht="13.5" customHeight="1" x14ac:dyDescent="0.25">
      <c r="A96" s="100"/>
      <c r="B96" s="273"/>
      <c r="C96" s="275"/>
      <c r="D96" s="275"/>
      <c r="E96" s="275"/>
      <c r="F96" s="276"/>
      <c r="G96" s="278"/>
      <c r="H96" s="275"/>
      <c r="I96" s="279"/>
      <c r="J96" s="280"/>
      <c r="K96" s="279"/>
      <c r="L96" s="275"/>
      <c r="M96" s="277"/>
      <c r="N96" s="274"/>
      <c r="O96" s="97"/>
      <c r="P96" s="97"/>
    </row>
    <row r="97" spans="1:19" s="14" customFormat="1" ht="9.75" customHeight="1" x14ac:dyDescent="0.25">
      <c r="A97" s="100"/>
      <c r="B97" s="100"/>
      <c r="C97" s="100"/>
      <c r="D97" s="100"/>
      <c r="E97" s="100"/>
      <c r="F97" s="100"/>
      <c r="G97" s="100"/>
      <c r="H97" s="100"/>
      <c r="I97" s="100"/>
      <c r="J97" s="100"/>
      <c r="K97" s="100"/>
      <c r="L97" s="100"/>
      <c r="M97" s="100"/>
      <c r="N97" s="100"/>
      <c r="O97" s="97"/>
      <c r="P97" s="97"/>
      <c r="Q97" s="11"/>
    </row>
    <row r="98" spans="1:19" ht="28.2" customHeight="1" x14ac:dyDescent="0.25">
      <c r="A98" s="100"/>
      <c r="B98" s="324" t="s">
        <v>23</v>
      </c>
      <c r="C98" s="325"/>
      <c r="D98" s="325"/>
      <c r="E98" s="325"/>
      <c r="F98" s="325"/>
      <c r="G98" s="325"/>
      <c r="H98" s="325"/>
      <c r="I98" s="325"/>
      <c r="J98" s="325"/>
      <c r="K98" s="325"/>
      <c r="L98" s="325"/>
      <c r="M98" s="325"/>
      <c r="N98" s="326"/>
      <c r="O98" s="97"/>
      <c r="P98" s="97"/>
      <c r="R98"/>
    </row>
    <row r="99" spans="1:19" x14ac:dyDescent="0.25">
      <c r="A99" s="100"/>
      <c r="B99" s="103"/>
      <c r="C99" s="100"/>
      <c r="D99" s="100"/>
      <c r="E99" s="100"/>
      <c r="F99" s="100"/>
      <c r="G99" s="100"/>
      <c r="H99" s="100"/>
      <c r="I99" s="100"/>
      <c r="J99" s="100"/>
      <c r="K99" s="100"/>
      <c r="L99" s="100"/>
      <c r="M99" s="100"/>
      <c r="N99" s="115"/>
      <c r="O99" s="97"/>
      <c r="P99" s="97"/>
    </row>
    <row r="100" spans="1:19" customFormat="1" ht="28.2" customHeight="1" x14ac:dyDescent="0.25">
      <c r="A100" s="102"/>
      <c r="B100" s="121"/>
      <c r="C100" s="438">
        <f>M94</f>
        <v>0</v>
      </c>
      <c r="D100" s="439"/>
      <c r="E100" s="131" t="s">
        <v>22</v>
      </c>
      <c r="F100" s="448">
        <f>N45</f>
        <v>0</v>
      </c>
      <c r="G100" s="449"/>
      <c r="H100" s="249" t="s">
        <v>10</v>
      </c>
      <c r="I100" s="434">
        <f>'Non-Day Hab Units of Service'!J35</f>
        <v>0</v>
      </c>
      <c r="J100" s="435"/>
      <c r="K100" s="435"/>
      <c r="L100" s="131" t="s">
        <v>11</v>
      </c>
      <c r="M100" s="436">
        <f>IFERROR(IF(((C100-F100)/I100)&gt;C87,C87,(C100-F100)/I100),0)</f>
        <v>0</v>
      </c>
      <c r="N100" s="437"/>
      <c r="O100" s="97"/>
      <c r="P100" s="97"/>
      <c r="Q100" s="11"/>
    </row>
    <row r="101" spans="1:19" s="16" customFormat="1" ht="21.6" customHeight="1" x14ac:dyDescent="0.25">
      <c r="A101" s="102"/>
      <c r="B101" s="121"/>
      <c r="C101" s="440" t="s">
        <v>190</v>
      </c>
      <c r="D101" s="441"/>
      <c r="E101" s="250"/>
      <c r="F101" s="357" t="s">
        <v>121</v>
      </c>
      <c r="G101" s="357"/>
      <c r="H101" s="151"/>
      <c r="I101" s="357" t="s">
        <v>242</v>
      </c>
      <c r="J101" s="357"/>
      <c r="K101" s="357"/>
      <c r="L101" s="132"/>
      <c r="M101" s="19" t="s">
        <v>9</v>
      </c>
      <c r="N101" s="248" t="s">
        <v>90</v>
      </c>
      <c r="O101" s="97"/>
      <c r="P101" s="97"/>
      <c r="Q101" s="11"/>
    </row>
    <row r="102" spans="1:19" s="16" customFormat="1" ht="10.5" customHeight="1" x14ac:dyDescent="0.25">
      <c r="A102" s="102"/>
      <c r="B102" s="121"/>
      <c r="C102" s="267"/>
      <c r="D102" s="267"/>
      <c r="E102" s="132"/>
      <c r="F102" s="282"/>
      <c r="G102" s="282"/>
      <c r="H102" s="151"/>
      <c r="I102" s="282"/>
      <c r="J102" s="282"/>
      <c r="K102" s="282"/>
      <c r="L102" s="132"/>
      <c r="M102" s="283"/>
      <c r="N102" s="284"/>
      <c r="O102" s="97"/>
      <c r="P102" s="97"/>
      <c r="Q102" s="11"/>
    </row>
    <row r="103" spans="1:19" customFormat="1" ht="28.2" customHeight="1" x14ac:dyDescent="0.25">
      <c r="A103" s="102"/>
      <c r="B103" s="121"/>
      <c r="C103" s="114"/>
      <c r="D103" s="114"/>
      <c r="E103" s="114"/>
      <c r="F103" s="340">
        <f>IF(M100&gt;0,M100,0)</f>
        <v>0</v>
      </c>
      <c r="G103" s="341"/>
      <c r="H103" s="131" t="s">
        <v>20</v>
      </c>
      <c r="I103" s="445">
        <f>'Non-Day Hab Units of Service'!M35</f>
        <v>0</v>
      </c>
      <c r="J103" s="446"/>
      <c r="K103" s="447"/>
      <c r="L103" s="131" t="s">
        <v>11</v>
      </c>
      <c r="M103" s="340">
        <f>ROUND(F103*I103,2)</f>
        <v>0</v>
      </c>
      <c r="N103" s="341"/>
      <c r="O103" s="97"/>
      <c r="P103" s="97"/>
      <c r="Q103" s="11"/>
    </row>
    <row r="104" spans="1:19" s="16" customFormat="1" ht="23.4" customHeight="1" x14ac:dyDescent="0.25">
      <c r="A104" s="102"/>
      <c r="B104" s="129"/>
      <c r="C104" s="119"/>
      <c r="D104" s="119"/>
      <c r="E104" s="162"/>
      <c r="F104" s="407" t="s">
        <v>9</v>
      </c>
      <c r="G104" s="408"/>
      <c r="H104" s="130"/>
      <c r="I104" s="346" t="s">
        <v>78</v>
      </c>
      <c r="J104" s="377"/>
      <c r="K104" s="347"/>
      <c r="L104" s="130"/>
      <c r="M104" s="19" t="s">
        <v>17</v>
      </c>
      <c r="N104" s="248" t="s">
        <v>19</v>
      </c>
      <c r="O104" s="97"/>
      <c r="P104" s="97"/>
      <c r="Q104" s="11"/>
      <c r="S104" s="64"/>
    </row>
    <row r="105" spans="1:19" ht="7.5" customHeight="1" x14ac:dyDescent="0.25">
      <c r="A105" s="97"/>
      <c r="B105" s="163"/>
      <c r="C105" s="163"/>
      <c r="D105" s="163"/>
      <c r="E105" s="163"/>
      <c r="F105" s="164"/>
      <c r="G105" s="164"/>
      <c r="H105" s="164"/>
      <c r="I105" s="164"/>
      <c r="J105" s="164"/>
      <c r="K105" s="164"/>
      <c r="L105" s="97"/>
      <c r="M105" s="97"/>
      <c r="N105" s="97"/>
      <c r="O105" s="97"/>
      <c r="P105" s="97"/>
    </row>
    <row r="106" spans="1:19" ht="30.75" customHeight="1" x14ac:dyDescent="0.3">
      <c r="A106" s="97"/>
      <c r="B106" s="392" t="s">
        <v>124</v>
      </c>
      <c r="C106" s="393"/>
      <c r="D106" s="393"/>
      <c r="E106" s="393"/>
      <c r="F106" s="393"/>
      <c r="G106" s="393"/>
      <c r="H106" s="393"/>
      <c r="I106" s="393"/>
      <c r="J106" s="393"/>
      <c r="K106" s="394"/>
      <c r="L106" s="97"/>
      <c r="M106" s="97"/>
      <c r="N106" s="97"/>
      <c r="O106" s="97"/>
      <c r="P106" s="97"/>
    </row>
    <row r="107" spans="1:19" ht="16.5" customHeight="1" x14ac:dyDescent="0.25">
      <c r="A107" s="97"/>
      <c r="B107" s="161"/>
      <c r="C107" s="180"/>
      <c r="D107" s="183"/>
      <c r="E107" s="183"/>
      <c r="F107" s="180"/>
      <c r="G107" s="183"/>
      <c r="H107" s="183"/>
      <c r="I107" s="180"/>
      <c r="J107" s="183"/>
      <c r="K107" s="182"/>
      <c r="L107" s="97"/>
      <c r="M107" s="97"/>
      <c r="N107" s="97"/>
      <c r="O107" s="97"/>
      <c r="P107" s="97"/>
    </row>
    <row r="108" spans="1:19" ht="37.5" customHeight="1" x14ac:dyDescent="0.25">
      <c r="A108" s="97"/>
      <c r="B108" s="161"/>
      <c r="C108" s="181"/>
      <c r="D108" s="395">
        <f>M103</f>
        <v>0</v>
      </c>
      <c r="E108" s="396"/>
      <c r="F108" s="397" t="s">
        <v>10</v>
      </c>
      <c r="G108" s="399">
        <f>J84</f>
        <v>0</v>
      </c>
      <c r="H108" s="400"/>
      <c r="I108" s="397" t="s">
        <v>11</v>
      </c>
      <c r="J108" s="401">
        <f>IFERROR(SUM(D108/G108),0)</f>
        <v>0</v>
      </c>
      <c r="K108" s="402"/>
      <c r="L108" s="97"/>
      <c r="M108" s="97"/>
      <c r="N108" s="97"/>
      <c r="O108" s="97"/>
      <c r="P108" s="97"/>
    </row>
    <row r="109" spans="1:19" ht="31.5" customHeight="1" x14ac:dyDescent="0.25">
      <c r="A109" s="97"/>
      <c r="B109" s="167"/>
      <c r="C109" s="182"/>
      <c r="D109" s="403" t="s">
        <v>192</v>
      </c>
      <c r="E109" s="404"/>
      <c r="F109" s="398"/>
      <c r="G109" s="405" t="s">
        <v>193</v>
      </c>
      <c r="H109" s="406"/>
      <c r="I109" s="398"/>
      <c r="J109" s="403" t="s">
        <v>125</v>
      </c>
      <c r="K109" s="404"/>
      <c r="L109" s="97"/>
      <c r="M109" s="97"/>
      <c r="N109" s="97"/>
      <c r="O109" s="97"/>
      <c r="P109" s="97"/>
    </row>
    <row r="110" spans="1:19" ht="13.2" customHeight="1" x14ac:dyDescent="0.25">
      <c r="A110" s="97"/>
      <c r="B110" s="163"/>
      <c r="C110" s="163"/>
      <c r="D110" s="163"/>
      <c r="E110" s="163"/>
      <c r="F110" s="164"/>
      <c r="G110" s="164"/>
      <c r="H110" s="164"/>
      <c r="I110" s="164"/>
      <c r="J110" s="164"/>
      <c r="K110" s="164"/>
      <c r="L110" s="97"/>
      <c r="M110" s="97"/>
      <c r="N110" s="97"/>
      <c r="O110" s="97"/>
      <c r="P110" s="97"/>
    </row>
    <row r="111" spans="1:19" ht="28.2" customHeight="1" x14ac:dyDescent="0.25">
      <c r="A111" s="163"/>
      <c r="B111" s="379" t="s">
        <v>207</v>
      </c>
      <c r="C111" s="380"/>
      <c r="D111" s="380"/>
      <c r="E111" s="380"/>
      <c r="F111" s="380"/>
      <c r="G111" s="380"/>
      <c r="H111" s="380"/>
      <c r="I111" s="380"/>
      <c r="J111" s="380"/>
      <c r="K111" s="380"/>
      <c r="L111" s="380"/>
      <c r="M111" s="380"/>
      <c r="N111" s="381"/>
      <c r="O111" s="97"/>
      <c r="P111" s="97"/>
    </row>
    <row r="112" spans="1:19" x14ac:dyDescent="0.25">
      <c r="A112" s="163"/>
      <c r="B112" s="163"/>
      <c r="C112" s="163"/>
      <c r="D112" s="163"/>
      <c r="E112" s="163"/>
      <c r="F112" s="163"/>
      <c r="G112" s="163"/>
      <c r="H112" s="163"/>
      <c r="I112" s="163"/>
      <c r="J112" s="163"/>
      <c r="K112" s="163"/>
      <c r="L112" s="163"/>
      <c r="M112" s="163"/>
      <c r="N112" s="163"/>
      <c r="O112" s="97"/>
      <c r="P112" s="97"/>
    </row>
    <row r="113" spans="1:17" s="12" customFormat="1" ht="61.2" customHeight="1" x14ac:dyDescent="0.25">
      <c r="A113" s="165"/>
      <c r="B113" s="379" t="s">
        <v>18</v>
      </c>
      <c r="C113" s="380"/>
      <c r="D113" s="380"/>
      <c r="E113" s="380"/>
      <c r="F113" s="380"/>
      <c r="G113" s="380"/>
      <c r="H113" s="380"/>
      <c r="I113" s="380"/>
      <c r="J113" s="380"/>
      <c r="K113" s="380"/>
      <c r="L113" s="380"/>
      <c r="M113" s="380"/>
      <c r="N113" s="381"/>
      <c r="O113" s="97"/>
      <c r="P113" s="97"/>
      <c r="Q113" s="11"/>
    </row>
    <row r="114" spans="1:17" x14ac:dyDescent="0.25">
      <c r="A114" s="97"/>
      <c r="B114" s="97"/>
      <c r="C114" s="97"/>
      <c r="D114" s="97"/>
      <c r="E114" s="97"/>
      <c r="F114" s="97"/>
      <c r="G114" s="97"/>
      <c r="H114" s="97"/>
      <c r="I114" s="97"/>
      <c r="J114" s="97"/>
      <c r="K114" s="97"/>
      <c r="L114" s="97"/>
      <c r="M114" s="97"/>
      <c r="N114" s="97"/>
      <c r="O114" s="97"/>
      <c r="P114" s="97"/>
    </row>
    <row r="115" spans="1:17" x14ac:dyDescent="0.25">
      <c r="A115" s="97"/>
      <c r="B115" s="97"/>
      <c r="C115" s="97"/>
      <c r="D115" s="97"/>
      <c r="E115" s="97"/>
      <c r="F115" s="97"/>
      <c r="G115" s="97"/>
      <c r="H115" s="97"/>
      <c r="I115" s="97"/>
      <c r="J115" s="97"/>
      <c r="K115" s="97"/>
      <c r="L115" s="97"/>
      <c r="M115" s="97"/>
      <c r="N115" s="97"/>
      <c r="O115" s="97"/>
      <c r="P115" s="97"/>
    </row>
  </sheetData>
  <sheetProtection password="C82F" sheet="1" objects="1" scenarios="1"/>
  <mergeCells count="116">
    <mergeCell ref="M75:N75"/>
    <mergeCell ref="M79:N79"/>
    <mergeCell ref="M65:N65"/>
    <mergeCell ref="M67:N67"/>
    <mergeCell ref="B21:N21"/>
    <mergeCell ref="B22:L22"/>
    <mergeCell ref="B23:L23"/>
    <mergeCell ref="B24:L24"/>
    <mergeCell ref="B25:L25"/>
    <mergeCell ref="C54:E54"/>
    <mergeCell ref="G54:I54"/>
    <mergeCell ref="B27:M27"/>
    <mergeCell ref="B35:M35"/>
    <mergeCell ref="B43:M43"/>
    <mergeCell ref="B26:M26"/>
    <mergeCell ref="B34:M34"/>
    <mergeCell ref="B42:M42"/>
    <mergeCell ref="B40:L40"/>
    <mergeCell ref="B41:L41"/>
    <mergeCell ref="M71:N71"/>
    <mergeCell ref="B10:L10"/>
    <mergeCell ref="B11:M11"/>
    <mergeCell ref="B18:M18"/>
    <mergeCell ref="C90:D90"/>
    <mergeCell ref="I90:J90"/>
    <mergeCell ref="I89:J89"/>
    <mergeCell ref="F90:G90"/>
    <mergeCell ref="F89:G89"/>
    <mergeCell ref="C89:D89"/>
    <mergeCell ref="B50:C50"/>
    <mergeCell ref="D50:E50"/>
    <mergeCell ref="G50:H50"/>
    <mergeCell ref="J50:K50"/>
    <mergeCell ref="B51:C51"/>
    <mergeCell ref="D51:E51"/>
    <mergeCell ref="G51:H51"/>
    <mergeCell ref="B47:K47"/>
    <mergeCell ref="B48:K48"/>
    <mergeCell ref="B49:C49"/>
    <mergeCell ref="D49:E49"/>
    <mergeCell ref="G49:H49"/>
    <mergeCell ref="J49:K49"/>
    <mergeCell ref="B39:L39"/>
    <mergeCell ref="K54:N54"/>
    <mergeCell ref="B1:N1"/>
    <mergeCell ref="M63:N63"/>
    <mergeCell ref="C55:E55"/>
    <mergeCell ref="M58:N58"/>
    <mergeCell ref="M61:N61"/>
    <mergeCell ref="G55:I55"/>
    <mergeCell ref="K55:N55"/>
    <mergeCell ref="B53:O53"/>
    <mergeCell ref="C56:E56"/>
    <mergeCell ref="B32:L32"/>
    <mergeCell ref="B37:N37"/>
    <mergeCell ref="B38:L38"/>
    <mergeCell ref="B31:L31"/>
    <mergeCell ref="B29:N29"/>
    <mergeCell ref="B3:N3"/>
    <mergeCell ref="B4:N4"/>
    <mergeCell ref="B5:N5"/>
    <mergeCell ref="B6:L6"/>
    <mergeCell ref="B7:L7"/>
    <mergeCell ref="B8:L8"/>
    <mergeCell ref="B9:L9"/>
    <mergeCell ref="B15:L15"/>
    <mergeCell ref="B16:L16"/>
    <mergeCell ref="B17:L17"/>
    <mergeCell ref="E88:F88"/>
    <mergeCell ref="B13:N13"/>
    <mergeCell ref="B14:L14"/>
    <mergeCell ref="B33:L33"/>
    <mergeCell ref="B30:L30"/>
    <mergeCell ref="I103:K103"/>
    <mergeCell ref="M103:N103"/>
    <mergeCell ref="F104:G104"/>
    <mergeCell ref="I104:K104"/>
    <mergeCell ref="B98:N98"/>
    <mergeCell ref="F100:G100"/>
    <mergeCell ref="M69:N69"/>
    <mergeCell ref="M59:N59"/>
    <mergeCell ref="B45:L45"/>
    <mergeCell ref="M87:N87"/>
    <mergeCell ref="I87:K87"/>
    <mergeCell ref="G56:I56"/>
    <mergeCell ref="K56:N56"/>
    <mergeCell ref="M83:N83"/>
    <mergeCell ref="M73:N73"/>
    <mergeCell ref="M77:N77"/>
    <mergeCell ref="M81:N81"/>
    <mergeCell ref="M85:N85"/>
    <mergeCell ref="B19:M19"/>
    <mergeCell ref="F94:G94"/>
    <mergeCell ref="M94:N94"/>
    <mergeCell ref="F95:G95"/>
    <mergeCell ref="I94:K95"/>
    <mergeCell ref="B111:N111"/>
    <mergeCell ref="B113:N113"/>
    <mergeCell ref="I88:K88"/>
    <mergeCell ref="B93:N93"/>
    <mergeCell ref="I100:K100"/>
    <mergeCell ref="M100:N100"/>
    <mergeCell ref="C100:D100"/>
    <mergeCell ref="C101:D101"/>
    <mergeCell ref="F101:G101"/>
    <mergeCell ref="I101:K101"/>
    <mergeCell ref="F103:G103"/>
    <mergeCell ref="B106:K106"/>
    <mergeCell ref="D108:E108"/>
    <mergeCell ref="F108:F109"/>
    <mergeCell ref="G108:H108"/>
    <mergeCell ref="I108:I109"/>
    <mergeCell ref="J108:K108"/>
    <mergeCell ref="D109:E109"/>
    <mergeCell ref="G109:H109"/>
    <mergeCell ref="J109:K109"/>
  </mergeCells>
  <pageMargins left="0.25" right="0.25" top="0.5" bottom="0.5" header="0.3" footer="0.3"/>
  <pageSetup scale="75" fitToWidth="0" orientation="portrait" r:id="rId1"/>
  <headerFooter alignWithMargins="0">
    <oddFooter>&amp;C&amp;12&amp;A&amp;R&amp;N</oddFooter>
  </headerFooter>
  <rowBreaks count="2" manualBreakCount="2">
    <brk id="45" max="16383" man="1"/>
    <brk id="11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0"/>
  <sheetViews>
    <sheetView workbookViewId="0">
      <pane ySplit="3" topLeftCell="A4" activePane="bottomLeft" state="frozen"/>
      <selection pane="bottomLeft" activeCell="E35" sqref="E35"/>
    </sheetView>
  </sheetViews>
  <sheetFormatPr defaultRowHeight="13.2" x14ac:dyDescent="0.25"/>
  <cols>
    <col min="1" max="1" width="13.5546875" customWidth="1"/>
    <col min="2" max="2" width="9.6640625" customWidth="1"/>
    <col min="3" max="3" width="9.44140625" customWidth="1"/>
    <col min="4" max="4" width="8.88671875" customWidth="1"/>
    <col min="9" max="9" width="13.44140625" customWidth="1"/>
  </cols>
  <sheetData>
    <row r="1" spans="1:16" ht="53.4" customHeight="1" x14ac:dyDescent="0.25">
      <c r="A1" s="495" t="s">
        <v>170</v>
      </c>
      <c r="B1" s="495"/>
      <c r="C1" s="495"/>
      <c r="D1" s="495"/>
      <c r="E1" s="495"/>
      <c r="F1" s="495"/>
      <c r="G1" s="495"/>
      <c r="H1" s="495"/>
      <c r="I1" s="495"/>
      <c r="J1" s="495"/>
      <c r="K1" s="495"/>
      <c r="L1" s="495"/>
      <c r="M1" s="496"/>
      <c r="N1" s="496"/>
      <c r="O1" s="496"/>
      <c r="P1" s="496"/>
    </row>
    <row r="2" spans="1:16" ht="53.4" customHeight="1" x14ac:dyDescent="0.25">
      <c r="A2" s="171"/>
      <c r="B2" s="497" t="s">
        <v>139</v>
      </c>
      <c r="C2" s="491" t="s">
        <v>140</v>
      </c>
      <c r="D2" s="491" t="s">
        <v>141</v>
      </c>
      <c r="E2" s="491" t="s">
        <v>142</v>
      </c>
      <c r="F2" s="491" t="s">
        <v>143</v>
      </c>
      <c r="G2" s="491" t="s">
        <v>136</v>
      </c>
      <c r="H2" s="169"/>
      <c r="I2" s="236"/>
      <c r="J2" s="497" t="s">
        <v>166</v>
      </c>
      <c r="K2" s="491" t="s">
        <v>165</v>
      </c>
      <c r="L2" s="491" t="s">
        <v>167</v>
      </c>
      <c r="M2" s="491" t="s">
        <v>168</v>
      </c>
      <c r="N2" s="491" t="s">
        <v>169</v>
      </c>
      <c r="O2" s="493" t="s">
        <v>136</v>
      </c>
      <c r="P2" s="169"/>
    </row>
    <row r="3" spans="1:16" ht="28.8" x14ac:dyDescent="0.3">
      <c r="A3" s="234" t="s">
        <v>49</v>
      </c>
      <c r="B3" s="498"/>
      <c r="C3" s="492"/>
      <c r="D3" s="492"/>
      <c r="E3" s="492"/>
      <c r="F3" s="492"/>
      <c r="G3" s="492"/>
      <c r="H3" s="170"/>
      <c r="I3" s="235" t="s">
        <v>49</v>
      </c>
      <c r="J3" s="498"/>
      <c r="K3" s="492"/>
      <c r="L3" s="492"/>
      <c r="M3" s="492"/>
      <c r="N3" s="492"/>
      <c r="O3" s="494"/>
      <c r="P3" s="170"/>
    </row>
    <row r="4" spans="1:16" ht="14.4" x14ac:dyDescent="0.3">
      <c r="A4" s="232">
        <v>0</v>
      </c>
      <c r="B4" s="230">
        <v>8.42</v>
      </c>
      <c r="C4" s="37">
        <v>10.61</v>
      </c>
      <c r="D4" s="37">
        <v>14.62</v>
      </c>
      <c r="E4" s="37">
        <v>23.16</v>
      </c>
      <c r="F4" s="37">
        <v>107.61</v>
      </c>
      <c r="G4" s="37">
        <v>10.61</v>
      </c>
      <c r="H4" s="170"/>
      <c r="I4" s="232">
        <v>0</v>
      </c>
      <c r="J4" s="230">
        <v>8.9700000000000006</v>
      </c>
      <c r="K4" s="37">
        <v>11.21</v>
      </c>
      <c r="L4" s="37">
        <v>14.91</v>
      </c>
      <c r="M4" s="37">
        <v>23.16</v>
      </c>
      <c r="N4" s="37">
        <v>107.61</v>
      </c>
      <c r="O4" s="37">
        <v>10.61</v>
      </c>
      <c r="P4" s="170"/>
    </row>
    <row r="5" spans="1:16" ht="14.4" x14ac:dyDescent="0.3">
      <c r="A5" s="232">
        <v>1</v>
      </c>
      <c r="B5" s="231">
        <f>+B4+0.05</f>
        <v>8.4700000000000006</v>
      </c>
      <c r="C5" s="38">
        <f>+C4+0.05</f>
        <v>10.66</v>
      </c>
      <c r="D5" s="38">
        <f t="shared" ref="D5:G20" si="0">+D4+0.05</f>
        <v>14.67</v>
      </c>
      <c r="E5" s="38">
        <f t="shared" si="0"/>
        <v>23.21</v>
      </c>
      <c r="F5" s="38">
        <f t="shared" si="0"/>
        <v>107.66</v>
      </c>
      <c r="G5" s="38">
        <f t="shared" si="0"/>
        <v>10.66</v>
      </c>
      <c r="H5" s="170"/>
      <c r="I5" s="232">
        <v>1</v>
      </c>
      <c r="J5" s="231">
        <f>SUM(I5*0.05)+8.97</f>
        <v>9.0200000000000014</v>
      </c>
      <c r="K5" s="38">
        <f>SUM(I5*0.05)+11.21</f>
        <v>11.260000000000002</v>
      </c>
      <c r="L5" s="38">
        <f>SUM(I5*0.05)+14.91</f>
        <v>14.96</v>
      </c>
      <c r="M5" s="38">
        <f>SUM(I5*0.05)+23.16</f>
        <v>23.21</v>
      </c>
      <c r="N5" s="38">
        <f>SUM(I5*0.05)+107.61</f>
        <v>107.66</v>
      </c>
      <c r="O5" s="38">
        <f t="shared" ref="O5" si="1">+O4+0.05</f>
        <v>10.66</v>
      </c>
      <c r="P5" s="170"/>
    </row>
    <row r="6" spans="1:16" ht="14.4" x14ac:dyDescent="0.3">
      <c r="A6" s="232">
        <v>2</v>
      </c>
      <c r="B6" s="231">
        <f>+B5+0.05</f>
        <v>8.5200000000000014</v>
      </c>
      <c r="C6" s="38">
        <f>+C5+0.05</f>
        <v>10.71</v>
      </c>
      <c r="D6" s="38">
        <f t="shared" si="0"/>
        <v>14.72</v>
      </c>
      <c r="E6" s="38">
        <f t="shared" si="0"/>
        <v>23.26</v>
      </c>
      <c r="F6" s="38">
        <f t="shared" si="0"/>
        <v>107.71</v>
      </c>
      <c r="G6" s="38">
        <f t="shared" si="0"/>
        <v>10.71</v>
      </c>
      <c r="H6" s="170"/>
      <c r="I6" s="232">
        <v>2</v>
      </c>
      <c r="J6" s="231">
        <f t="shared" ref="J6:J28" si="2">SUM(I6*0.05)+8.97</f>
        <v>9.07</v>
      </c>
      <c r="K6" s="38">
        <f t="shared" ref="K6:K29" si="3">SUM(I6*0.05)+11.21</f>
        <v>11.31</v>
      </c>
      <c r="L6" s="38">
        <f t="shared" ref="L6:L29" si="4">SUM(I6*0.05)+14.91</f>
        <v>15.01</v>
      </c>
      <c r="M6" s="38">
        <f t="shared" ref="M6:M29" si="5">SUM(I6*0.05)+23.16</f>
        <v>23.26</v>
      </c>
      <c r="N6" s="38">
        <f t="shared" ref="N6:N29" si="6">SUM(I6*0.05)+107.61</f>
        <v>107.71</v>
      </c>
      <c r="O6" s="38">
        <f t="shared" ref="O6" si="7">+O5+0.05</f>
        <v>10.71</v>
      </c>
      <c r="P6" s="170"/>
    </row>
    <row r="7" spans="1:16" ht="14.4" x14ac:dyDescent="0.3">
      <c r="A7" s="232">
        <v>3</v>
      </c>
      <c r="B7" s="231">
        <f t="shared" ref="B7:G22" si="8">+B6+0.05</f>
        <v>8.5700000000000021</v>
      </c>
      <c r="C7" s="38">
        <f t="shared" si="8"/>
        <v>10.760000000000002</v>
      </c>
      <c r="D7" s="38">
        <f t="shared" si="0"/>
        <v>14.770000000000001</v>
      </c>
      <c r="E7" s="38">
        <f t="shared" si="0"/>
        <v>23.310000000000002</v>
      </c>
      <c r="F7" s="38">
        <f t="shared" si="0"/>
        <v>107.75999999999999</v>
      </c>
      <c r="G7" s="38">
        <f t="shared" si="0"/>
        <v>10.760000000000002</v>
      </c>
      <c r="H7" s="170"/>
      <c r="I7" s="232">
        <v>3</v>
      </c>
      <c r="J7" s="231">
        <f t="shared" si="2"/>
        <v>9.120000000000001</v>
      </c>
      <c r="K7" s="38">
        <f t="shared" si="3"/>
        <v>11.360000000000001</v>
      </c>
      <c r="L7" s="38">
        <f t="shared" si="4"/>
        <v>15.06</v>
      </c>
      <c r="M7" s="38">
        <f t="shared" si="5"/>
        <v>23.31</v>
      </c>
      <c r="N7" s="38">
        <f t="shared" si="6"/>
        <v>107.76</v>
      </c>
      <c r="O7" s="38">
        <f t="shared" ref="O7" si="9">+O6+0.05</f>
        <v>10.760000000000002</v>
      </c>
      <c r="P7" s="170"/>
    </row>
    <row r="8" spans="1:16" ht="14.4" x14ac:dyDescent="0.3">
      <c r="A8" s="232">
        <v>4</v>
      </c>
      <c r="B8" s="231">
        <f t="shared" si="8"/>
        <v>8.6200000000000028</v>
      </c>
      <c r="C8" s="38">
        <f t="shared" si="8"/>
        <v>10.810000000000002</v>
      </c>
      <c r="D8" s="38">
        <f t="shared" si="0"/>
        <v>14.820000000000002</v>
      </c>
      <c r="E8" s="38">
        <f t="shared" si="0"/>
        <v>23.360000000000003</v>
      </c>
      <c r="F8" s="38">
        <f t="shared" si="0"/>
        <v>107.80999999999999</v>
      </c>
      <c r="G8" s="38">
        <f t="shared" si="0"/>
        <v>10.810000000000002</v>
      </c>
      <c r="H8" s="170"/>
      <c r="I8" s="232">
        <v>4</v>
      </c>
      <c r="J8" s="231">
        <f t="shared" si="2"/>
        <v>9.17</v>
      </c>
      <c r="K8" s="38">
        <f t="shared" si="3"/>
        <v>11.41</v>
      </c>
      <c r="L8" s="38">
        <f t="shared" si="4"/>
        <v>15.11</v>
      </c>
      <c r="M8" s="38">
        <f t="shared" si="5"/>
        <v>23.36</v>
      </c>
      <c r="N8" s="38">
        <f t="shared" si="6"/>
        <v>107.81</v>
      </c>
      <c r="O8" s="38">
        <f t="shared" ref="O8" si="10">+O7+0.05</f>
        <v>10.810000000000002</v>
      </c>
      <c r="P8" s="170"/>
    </row>
    <row r="9" spans="1:16" ht="14.4" x14ac:dyDescent="0.3">
      <c r="A9" s="232">
        <v>5</v>
      </c>
      <c r="B9" s="231">
        <f t="shared" si="8"/>
        <v>8.6700000000000035</v>
      </c>
      <c r="C9" s="38">
        <f t="shared" si="8"/>
        <v>10.860000000000003</v>
      </c>
      <c r="D9" s="38">
        <f t="shared" si="0"/>
        <v>14.870000000000003</v>
      </c>
      <c r="E9" s="38">
        <f t="shared" si="0"/>
        <v>23.410000000000004</v>
      </c>
      <c r="F9" s="38">
        <f t="shared" si="0"/>
        <v>107.85999999999999</v>
      </c>
      <c r="G9" s="38">
        <f t="shared" si="0"/>
        <v>10.860000000000003</v>
      </c>
      <c r="H9" s="170"/>
      <c r="I9" s="232">
        <v>5</v>
      </c>
      <c r="J9" s="231">
        <f t="shared" si="2"/>
        <v>9.2200000000000006</v>
      </c>
      <c r="K9" s="38">
        <f t="shared" si="3"/>
        <v>11.46</v>
      </c>
      <c r="L9" s="38">
        <f t="shared" si="4"/>
        <v>15.16</v>
      </c>
      <c r="M9" s="38">
        <f t="shared" si="5"/>
        <v>23.41</v>
      </c>
      <c r="N9" s="38">
        <f t="shared" si="6"/>
        <v>107.86</v>
      </c>
      <c r="O9" s="38">
        <f t="shared" ref="O9" si="11">+O8+0.05</f>
        <v>10.860000000000003</v>
      </c>
      <c r="P9" s="170"/>
    </row>
    <row r="10" spans="1:16" ht="14.4" x14ac:dyDescent="0.3">
      <c r="A10" s="232">
        <v>6</v>
      </c>
      <c r="B10" s="231">
        <f t="shared" si="8"/>
        <v>8.7200000000000042</v>
      </c>
      <c r="C10" s="38">
        <f t="shared" si="8"/>
        <v>10.910000000000004</v>
      </c>
      <c r="D10" s="38">
        <f t="shared" si="0"/>
        <v>14.920000000000003</v>
      </c>
      <c r="E10" s="38">
        <f t="shared" si="0"/>
        <v>23.460000000000004</v>
      </c>
      <c r="F10" s="38">
        <f t="shared" si="0"/>
        <v>107.90999999999998</v>
      </c>
      <c r="G10" s="38">
        <f t="shared" si="0"/>
        <v>10.910000000000004</v>
      </c>
      <c r="H10" s="170"/>
      <c r="I10" s="232">
        <v>6</v>
      </c>
      <c r="J10" s="231">
        <f t="shared" si="2"/>
        <v>9.2700000000000014</v>
      </c>
      <c r="K10" s="38">
        <f t="shared" si="3"/>
        <v>11.510000000000002</v>
      </c>
      <c r="L10" s="38">
        <f t="shared" si="4"/>
        <v>15.21</v>
      </c>
      <c r="M10" s="38">
        <f t="shared" si="5"/>
        <v>23.46</v>
      </c>
      <c r="N10" s="38">
        <f t="shared" si="6"/>
        <v>107.91</v>
      </c>
      <c r="O10" s="38">
        <f t="shared" ref="O10" si="12">+O9+0.05</f>
        <v>10.910000000000004</v>
      </c>
      <c r="P10" s="170"/>
    </row>
    <row r="11" spans="1:16" ht="14.4" x14ac:dyDescent="0.3">
      <c r="A11" s="232">
        <v>7</v>
      </c>
      <c r="B11" s="231">
        <f t="shared" si="8"/>
        <v>8.7700000000000049</v>
      </c>
      <c r="C11" s="38">
        <f t="shared" si="8"/>
        <v>10.960000000000004</v>
      </c>
      <c r="D11" s="38">
        <f t="shared" si="0"/>
        <v>14.970000000000004</v>
      </c>
      <c r="E11" s="38">
        <f t="shared" si="0"/>
        <v>23.510000000000005</v>
      </c>
      <c r="F11" s="38">
        <f t="shared" si="0"/>
        <v>107.95999999999998</v>
      </c>
      <c r="G11" s="38">
        <f t="shared" si="0"/>
        <v>10.960000000000004</v>
      </c>
      <c r="H11" s="170"/>
      <c r="I11" s="232">
        <v>7</v>
      </c>
      <c r="J11" s="231">
        <f t="shared" si="2"/>
        <v>9.32</v>
      </c>
      <c r="K11" s="38">
        <f t="shared" si="3"/>
        <v>11.56</v>
      </c>
      <c r="L11" s="38">
        <f t="shared" si="4"/>
        <v>15.26</v>
      </c>
      <c r="M11" s="38">
        <f t="shared" si="5"/>
        <v>23.51</v>
      </c>
      <c r="N11" s="38">
        <f t="shared" si="6"/>
        <v>107.96</v>
      </c>
      <c r="O11" s="38">
        <f t="shared" ref="O11" si="13">+O10+0.05</f>
        <v>10.960000000000004</v>
      </c>
      <c r="P11" s="170"/>
    </row>
    <row r="12" spans="1:16" ht="14.4" x14ac:dyDescent="0.3">
      <c r="A12" s="232">
        <v>8</v>
      </c>
      <c r="B12" s="231">
        <f t="shared" si="8"/>
        <v>8.8200000000000056</v>
      </c>
      <c r="C12" s="38">
        <f t="shared" si="8"/>
        <v>11.010000000000005</v>
      </c>
      <c r="D12" s="38">
        <f t="shared" si="0"/>
        <v>15.020000000000005</v>
      </c>
      <c r="E12" s="38">
        <f t="shared" si="0"/>
        <v>23.560000000000006</v>
      </c>
      <c r="F12" s="38">
        <f t="shared" si="0"/>
        <v>108.00999999999998</v>
      </c>
      <c r="G12" s="38">
        <f t="shared" si="0"/>
        <v>11.010000000000005</v>
      </c>
      <c r="H12" s="170"/>
      <c r="I12" s="232">
        <v>8</v>
      </c>
      <c r="J12" s="231">
        <f t="shared" si="2"/>
        <v>9.370000000000001</v>
      </c>
      <c r="K12" s="38">
        <f t="shared" si="3"/>
        <v>11.610000000000001</v>
      </c>
      <c r="L12" s="38">
        <f t="shared" si="4"/>
        <v>15.31</v>
      </c>
      <c r="M12" s="38">
        <f t="shared" si="5"/>
        <v>23.56</v>
      </c>
      <c r="N12" s="38">
        <f t="shared" si="6"/>
        <v>108.01</v>
      </c>
      <c r="O12" s="38">
        <f t="shared" ref="O12" si="14">+O11+0.05</f>
        <v>11.010000000000005</v>
      </c>
      <c r="P12" s="170"/>
    </row>
    <row r="13" spans="1:16" ht="14.4" x14ac:dyDescent="0.3">
      <c r="A13" s="232">
        <v>9</v>
      </c>
      <c r="B13" s="231">
        <f t="shared" si="8"/>
        <v>8.8700000000000063</v>
      </c>
      <c r="C13" s="38">
        <f t="shared" si="8"/>
        <v>11.060000000000006</v>
      </c>
      <c r="D13" s="38">
        <f t="shared" si="0"/>
        <v>15.070000000000006</v>
      </c>
      <c r="E13" s="38">
        <f t="shared" si="0"/>
        <v>23.610000000000007</v>
      </c>
      <c r="F13" s="38">
        <f t="shared" si="0"/>
        <v>108.05999999999997</v>
      </c>
      <c r="G13" s="38">
        <f t="shared" si="0"/>
        <v>11.060000000000006</v>
      </c>
      <c r="H13" s="170"/>
      <c r="I13" s="232">
        <v>9</v>
      </c>
      <c r="J13" s="231">
        <f t="shared" si="2"/>
        <v>9.42</v>
      </c>
      <c r="K13" s="38">
        <f t="shared" si="3"/>
        <v>11.66</v>
      </c>
      <c r="L13" s="38">
        <f t="shared" si="4"/>
        <v>15.36</v>
      </c>
      <c r="M13" s="38">
        <f t="shared" si="5"/>
        <v>23.61</v>
      </c>
      <c r="N13" s="38">
        <f t="shared" si="6"/>
        <v>108.06</v>
      </c>
      <c r="O13" s="38">
        <f t="shared" ref="O13" si="15">+O12+0.05</f>
        <v>11.060000000000006</v>
      </c>
      <c r="P13" s="170"/>
    </row>
    <row r="14" spans="1:16" ht="14.4" x14ac:dyDescent="0.3">
      <c r="A14" s="232">
        <v>10</v>
      </c>
      <c r="B14" s="231">
        <f t="shared" si="8"/>
        <v>8.920000000000007</v>
      </c>
      <c r="C14" s="38">
        <f t="shared" si="8"/>
        <v>11.110000000000007</v>
      </c>
      <c r="D14" s="38">
        <f t="shared" si="0"/>
        <v>15.120000000000006</v>
      </c>
      <c r="E14" s="38">
        <f t="shared" si="0"/>
        <v>23.660000000000007</v>
      </c>
      <c r="F14" s="38">
        <f t="shared" si="0"/>
        <v>108.10999999999997</v>
      </c>
      <c r="G14" s="38">
        <f t="shared" si="0"/>
        <v>11.110000000000007</v>
      </c>
      <c r="H14" s="170"/>
      <c r="I14" s="232">
        <v>10</v>
      </c>
      <c r="J14" s="231">
        <f t="shared" si="2"/>
        <v>9.4700000000000006</v>
      </c>
      <c r="K14" s="38">
        <f t="shared" si="3"/>
        <v>11.71</v>
      </c>
      <c r="L14" s="38">
        <f t="shared" si="4"/>
        <v>15.41</v>
      </c>
      <c r="M14" s="38">
        <f t="shared" si="5"/>
        <v>23.66</v>
      </c>
      <c r="N14" s="38">
        <f t="shared" si="6"/>
        <v>108.11</v>
      </c>
      <c r="O14" s="38">
        <f t="shared" ref="O14" si="16">+O13+0.05</f>
        <v>11.110000000000007</v>
      </c>
      <c r="P14" s="170"/>
    </row>
    <row r="15" spans="1:16" ht="14.4" x14ac:dyDescent="0.3">
      <c r="A15" s="232">
        <v>11</v>
      </c>
      <c r="B15" s="231">
        <f t="shared" si="8"/>
        <v>8.9700000000000077</v>
      </c>
      <c r="C15" s="38">
        <f t="shared" si="8"/>
        <v>11.160000000000007</v>
      </c>
      <c r="D15" s="38">
        <f t="shared" si="0"/>
        <v>15.170000000000007</v>
      </c>
      <c r="E15" s="38">
        <f t="shared" si="0"/>
        <v>23.710000000000008</v>
      </c>
      <c r="F15" s="38">
        <f t="shared" si="0"/>
        <v>108.15999999999997</v>
      </c>
      <c r="G15" s="38">
        <f t="shared" si="0"/>
        <v>11.160000000000007</v>
      </c>
      <c r="H15" s="170"/>
      <c r="I15" s="232">
        <v>11</v>
      </c>
      <c r="J15" s="231">
        <f t="shared" si="2"/>
        <v>9.5200000000000014</v>
      </c>
      <c r="K15" s="38">
        <f t="shared" si="3"/>
        <v>11.760000000000002</v>
      </c>
      <c r="L15" s="38">
        <f t="shared" si="4"/>
        <v>15.46</v>
      </c>
      <c r="M15" s="38">
        <f t="shared" si="5"/>
        <v>23.71</v>
      </c>
      <c r="N15" s="38">
        <f t="shared" si="6"/>
        <v>108.16</v>
      </c>
      <c r="O15" s="38">
        <f t="shared" ref="O15" si="17">+O14+0.05</f>
        <v>11.160000000000007</v>
      </c>
      <c r="P15" s="170"/>
    </row>
    <row r="16" spans="1:16" ht="14.4" x14ac:dyDescent="0.3">
      <c r="A16" s="232">
        <v>12</v>
      </c>
      <c r="B16" s="231">
        <f t="shared" si="8"/>
        <v>9.0200000000000085</v>
      </c>
      <c r="C16" s="38">
        <f t="shared" si="8"/>
        <v>11.210000000000008</v>
      </c>
      <c r="D16" s="38">
        <f t="shared" si="0"/>
        <v>15.220000000000008</v>
      </c>
      <c r="E16" s="38">
        <f t="shared" si="0"/>
        <v>23.760000000000009</v>
      </c>
      <c r="F16" s="38">
        <f t="shared" si="0"/>
        <v>108.20999999999997</v>
      </c>
      <c r="G16" s="38">
        <f t="shared" si="0"/>
        <v>11.210000000000008</v>
      </c>
      <c r="H16" s="170"/>
      <c r="I16" s="232">
        <v>12</v>
      </c>
      <c r="J16" s="231">
        <f t="shared" si="2"/>
        <v>9.57</v>
      </c>
      <c r="K16" s="38">
        <f t="shared" si="3"/>
        <v>11.81</v>
      </c>
      <c r="L16" s="38">
        <f t="shared" si="4"/>
        <v>15.51</v>
      </c>
      <c r="M16" s="38">
        <f t="shared" si="5"/>
        <v>23.76</v>
      </c>
      <c r="N16" s="38">
        <f t="shared" si="6"/>
        <v>108.21</v>
      </c>
      <c r="O16" s="38">
        <f t="shared" ref="O16" si="18">+O15+0.05</f>
        <v>11.210000000000008</v>
      </c>
      <c r="P16" s="170"/>
    </row>
    <row r="17" spans="1:16" ht="14.4" x14ac:dyDescent="0.3">
      <c r="A17" s="232">
        <v>13</v>
      </c>
      <c r="B17" s="231">
        <f t="shared" si="8"/>
        <v>9.0700000000000092</v>
      </c>
      <c r="C17" s="38">
        <f t="shared" si="8"/>
        <v>11.260000000000009</v>
      </c>
      <c r="D17" s="38">
        <f t="shared" si="0"/>
        <v>15.270000000000008</v>
      </c>
      <c r="E17" s="38">
        <f t="shared" si="0"/>
        <v>23.810000000000009</v>
      </c>
      <c r="F17" s="38">
        <f t="shared" si="0"/>
        <v>108.25999999999996</v>
      </c>
      <c r="G17" s="38">
        <f t="shared" si="0"/>
        <v>11.260000000000009</v>
      </c>
      <c r="H17" s="170"/>
      <c r="I17" s="232">
        <v>13</v>
      </c>
      <c r="J17" s="231">
        <f t="shared" si="2"/>
        <v>9.620000000000001</v>
      </c>
      <c r="K17" s="38">
        <f t="shared" si="3"/>
        <v>11.860000000000001</v>
      </c>
      <c r="L17" s="38">
        <f t="shared" si="4"/>
        <v>15.56</v>
      </c>
      <c r="M17" s="38">
        <f t="shared" si="5"/>
        <v>23.81</v>
      </c>
      <c r="N17" s="38">
        <f t="shared" si="6"/>
        <v>108.26</v>
      </c>
      <c r="O17" s="38">
        <f t="shared" ref="O17" si="19">+O16+0.05</f>
        <v>11.260000000000009</v>
      </c>
      <c r="P17" s="170"/>
    </row>
    <row r="18" spans="1:16" ht="14.4" x14ac:dyDescent="0.3">
      <c r="A18" s="232">
        <v>14</v>
      </c>
      <c r="B18" s="231">
        <f t="shared" si="8"/>
        <v>9.1200000000000099</v>
      </c>
      <c r="C18" s="38">
        <f t="shared" si="8"/>
        <v>11.310000000000009</v>
      </c>
      <c r="D18" s="38">
        <f t="shared" si="0"/>
        <v>15.320000000000009</v>
      </c>
      <c r="E18" s="38">
        <f t="shared" si="0"/>
        <v>23.86000000000001</v>
      </c>
      <c r="F18" s="38">
        <f t="shared" si="0"/>
        <v>108.30999999999996</v>
      </c>
      <c r="G18" s="38">
        <f t="shared" si="0"/>
        <v>11.310000000000009</v>
      </c>
      <c r="H18" s="170"/>
      <c r="I18" s="232">
        <v>14</v>
      </c>
      <c r="J18" s="231">
        <f t="shared" si="2"/>
        <v>9.67</v>
      </c>
      <c r="K18" s="38">
        <f t="shared" si="3"/>
        <v>11.91</v>
      </c>
      <c r="L18" s="38">
        <f t="shared" si="4"/>
        <v>15.61</v>
      </c>
      <c r="M18" s="38">
        <f t="shared" si="5"/>
        <v>23.86</v>
      </c>
      <c r="N18" s="38">
        <f t="shared" si="6"/>
        <v>108.31</v>
      </c>
      <c r="O18" s="38">
        <f t="shared" ref="O18" si="20">+O17+0.05</f>
        <v>11.310000000000009</v>
      </c>
      <c r="P18" s="170"/>
    </row>
    <row r="19" spans="1:16" ht="14.4" x14ac:dyDescent="0.3">
      <c r="A19" s="232">
        <v>15</v>
      </c>
      <c r="B19" s="231">
        <f t="shared" si="8"/>
        <v>9.1700000000000106</v>
      </c>
      <c r="C19" s="38">
        <f t="shared" si="8"/>
        <v>11.36000000000001</v>
      </c>
      <c r="D19" s="38">
        <f t="shared" si="0"/>
        <v>15.37000000000001</v>
      </c>
      <c r="E19" s="38">
        <f t="shared" si="0"/>
        <v>23.910000000000011</v>
      </c>
      <c r="F19" s="38">
        <f t="shared" si="0"/>
        <v>108.35999999999996</v>
      </c>
      <c r="G19" s="38">
        <f t="shared" si="0"/>
        <v>11.36000000000001</v>
      </c>
      <c r="H19" s="170"/>
      <c r="I19" s="232">
        <v>15</v>
      </c>
      <c r="J19" s="231">
        <f t="shared" si="2"/>
        <v>9.7200000000000006</v>
      </c>
      <c r="K19" s="38">
        <f t="shared" si="3"/>
        <v>11.96</v>
      </c>
      <c r="L19" s="38">
        <f t="shared" si="4"/>
        <v>15.66</v>
      </c>
      <c r="M19" s="38">
        <f t="shared" si="5"/>
        <v>23.91</v>
      </c>
      <c r="N19" s="38">
        <f t="shared" si="6"/>
        <v>108.36</v>
      </c>
      <c r="O19" s="38">
        <f t="shared" ref="O19" si="21">+O18+0.05</f>
        <v>11.36000000000001</v>
      </c>
      <c r="P19" s="170"/>
    </row>
    <row r="20" spans="1:16" ht="14.4" x14ac:dyDescent="0.3">
      <c r="A20" s="232">
        <v>16</v>
      </c>
      <c r="B20" s="231">
        <f t="shared" si="8"/>
        <v>9.2200000000000113</v>
      </c>
      <c r="C20" s="38">
        <f t="shared" si="8"/>
        <v>11.410000000000011</v>
      </c>
      <c r="D20" s="38">
        <f t="shared" si="0"/>
        <v>15.420000000000011</v>
      </c>
      <c r="E20" s="38">
        <f t="shared" si="0"/>
        <v>23.960000000000012</v>
      </c>
      <c r="F20" s="38">
        <f t="shared" si="0"/>
        <v>108.40999999999995</v>
      </c>
      <c r="G20" s="38">
        <f t="shared" si="0"/>
        <v>11.410000000000011</v>
      </c>
      <c r="H20" s="170"/>
      <c r="I20" s="232">
        <v>16</v>
      </c>
      <c r="J20" s="231">
        <f t="shared" si="2"/>
        <v>9.7700000000000014</v>
      </c>
      <c r="K20" s="38">
        <f t="shared" si="3"/>
        <v>12.010000000000002</v>
      </c>
      <c r="L20" s="38">
        <f t="shared" si="4"/>
        <v>15.71</v>
      </c>
      <c r="M20" s="38">
        <f t="shared" si="5"/>
        <v>23.96</v>
      </c>
      <c r="N20" s="38">
        <f t="shared" si="6"/>
        <v>108.41</v>
      </c>
      <c r="O20" s="38">
        <f t="shared" ref="O20" si="22">+O19+0.05</f>
        <v>11.410000000000011</v>
      </c>
      <c r="P20" s="170"/>
    </row>
    <row r="21" spans="1:16" ht="14.4" x14ac:dyDescent="0.3">
      <c r="A21" s="232">
        <v>17</v>
      </c>
      <c r="B21" s="231">
        <f t="shared" si="8"/>
        <v>9.270000000000012</v>
      </c>
      <c r="C21" s="38">
        <f t="shared" si="8"/>
        <v>11.460000000000012</v>
      </c>
      <c r="D21" s="38">
        <f t="shared" si="8"/>
        <v>15.470000000000011</v>
      </c>
      <c r="E21" s="38">
        <f t="shared" si="8"/>
        <v>24.010000000000012</v>
      </c>
      <c r="F21" s="38">
        <f t="shared" si="8"/>
        <v>108.45999999999995</v>
      </c>
      <c r="G21" s="38">
        <f t="shared" si="8"/>
        <v>11.460000000000012</v>
      </c>
      <c r="H21" s="170"/>
      <c r="I21" s="232">
        <v>17</v>
      </c>
      <c r="J21" s="231">
        <f t="shared" si="2"/>
        <v>9.82</v>
      </c>
      <c r="K21" s="38">
        <f t="shared" si="3"/>
        <v>12.06</v>
      </c>
      <c r="L21" s="38">
        <f t="shared" si="4"/>
        <v>15.76</v>
      </c>
      <c r="M21" s="38">
        <f t="shared" si="5"/>
        <v>24.01</v>
      </c>
      <c r="N21" s="38">
        <f t="shared" si="6"/>
        <v>108.46</v>
      </c>
      <c r="O21" s="38">
        <f t="shared" ref="O21" si="23">+O20+0.05</f>
        <v>11.460000000000012</v>
      </c>
      <c r="P21" s="170"/>
    </row>
    <row r="22" spans="1:16" ht="14.4" x14ac:dyDescent="0.3">
      <c r="A22" s="232">
        <v>18</v>
      </c>
      <c r="B22" s="231">
        <f t="shared" si="8"/>
        <v>9.3200000000000127</v>
      </c>
      <c r="C22" s="38">
        <f t="shared" si="8"/>
        <v>11.510000000000012</v>
      </c>
      <c r="D22" s="38">
        <f t="shared" si="8"/>
        <v>15.520000000000012</v>
      </c>
      <c r="E22" s="38">
        <f t="shared" si="8"/>
        <v>24.060000000000013</v>
      </c>
      <c r="F22" s="38">
        <f t="shared" si="8"/>
        <v>108.50999999999995</v>
      </c>
      <c r="G22" s="38">
        <f t="shared" si="8"/>
        <v>11.510000000000012</v>
      </c>
      <c r="H22" s="170"/>
      <c r="I22" s="232">
        <v>18</v>
      </c>
      <c r="J22" s="231">
        <f t="shared" si="2"/>
        <v>9.870000000000001</v>
      </c>
      <c r="K22" s="38">
        <f t="shared" si="3"/>
        <v>12.110000000000001</v>
      </c>
      <c r="L22" s="38">
        <f t="shared" si="4"/>
        <v>15.81</v>
      </c>
      <c r="M22" s="38">
        <f t="shared" si="5"/>
        <v>24.06</v>
      </c>
      <c r="N22" s="38">
        <f t="shared" si="6"/>
        <v>108.51</v>
      </c>
      <c r="O22" s="38">
        <f t="shared" ref="O22" si="24">+O21+0.05</f>
        <v>11.510000000000012</v>
      </c>
      <c r="P22" s="170"/>
    </row>
    <row r="23" spans="1:16" ht="14.4" x14ac:dyDescent="0.3">
      <c r="A23" s="232">
        <v>19</v>
      </c>
      <c r="B23" s="231">
        <f t="shared" ref="B23:G29" si="25">+B22+0.05</f>
        <v>9.3700000000000134</v>
      </c>
      <c r="C23" s="38">
        <f t="shared" si="25"/>
        <v>11.560000000000013</v>
      </c>
      <c r="D23" s="38">
        <f t="shared" si="25"/>
        <v>15.570000000000013</v>
      </c>
      <c r="E23" s="38">
        <f t="shared" si="25"/>
        <v>24.110000000000014</v>
      </c>
      <c r="F23" s="38">
        <f t="shared" si="25"/>
        <v>108.55999999999995</v>
      </c>
      <c r="G23" s="38">
        <f t="shared" si="25"/>
        <v>11.560000000000013</v>
      </c>
      <c r="H23" s="170"/>
      <c r="I23" s="232">
        <v>19</v>
      </c>
      <c r="J23" s="231">
        <f t="shared" si="2"/>
        <v>9.92</v>
      </c>
      <c r="K23" s="38">
        <f t="shared" si="3"/>
        <v>12.16</v>
      </c>
      <c r="L23" s="38">
        <f t="shared" si="4"/>
        <v>15.86</v>
      </c>
      <c r="M23" s="38">
        <f t="shared" si="5"/>
        <v>24.11</v>
      </c>
      <c r="N23" s="38">
        <f t="shared" si="6"/>
        <v>108.56</v>
      </c>
      <c r="O23" s="38">
        <f t="shared" ref="O23" si="26">+O22+0.05</f>
        <v>11.560000000000013</v>
      </c>
      <c r="P23" s="170"/>
    </row>
    <row r="24" spans="1:16" ht="14.4" x14ac:dyDescent="0.3">
      <c r="A24" s="232">
        <v>20</v>
      </c>
      <c r="B24" s="231">
        <f t="shared" si="25"/>
        <v>9.4200000000000141</v>
      </c>
      <c r="C24" s="38">
        <f t="shared" si="25"/>
        <v>11.610000000000014</v>
      </c>
      <c r="D24" s="38">
        <f t="shared" si="25"/>
        <v>15.620000000000013</v>
      </c>
      <c r="E24" s="38">
        <f t="shared" si="25"/>
        <v>24.160000000000014</v>
      </c>
      <c r="F24" s="38">
        <f t="shared" si="25"/>
        <v>108.60999999999994</v>
      </c>
      <c r="G24" s="38">
        <f t="shared" si="25"/>
        <v>11.610000000000014</v>
      </c>
      <c r="H24" s="170"/>
      <c r="I24" s="232">
        <v>20</v>
      </c>
      <c r="J24" s="231">
        <f t="shared" si="2"/>
        <v>9.9700000000000006</v>
      </c>
      <c r="K24" s="38">
        <f t="shared" si="3"/>
        <v>12.21</v>
      </c>
      <c r="L24" s="38">
        <f t="shared" si="4"/>
        <v>15.91</v>
      </c>
      <c r="M24" s="38">
        <f t="shared" si="5"/>
        <v>24.16</v>
      </c>
      <c r="N24" s="38">
        <f t="shared" si="6"/>
        <v>108.61</v>
      </c>
      <c r="O24" s="38">
        <f t="shared" ref="O24" si="27">+O23+0.05</f>
        <v>11.610000000000014</v>
      </c>
      <c r="P24" s="170"/>
    </row>
    <row r="25" spans="1:16" ht="14.4" x14ac:dyDescent="0.3">
      <c r="A25" s="232">
        <v>21</v>
      </c>
      <c r="B25" s="231">
        <f t="shared" si="25"/>
        <v>9.4700000000000149</v>
      </c>
      <c r="C25" s="38">
        <f t="shared" si="25"/>
        <v>11.660000000000014</v>
      </c>
      <c r="D25" s="38">
        <f t="shared" si="25"/>
        <v>15.670000000000014</v>
      </c>
      <c r="E25" s="38">
        <f t="shared" si="25"/>
        <v>24.210000000000015</v>
      </c>
      <c r="F25" s="38">
        <f t="shared" si="25"/>
        <v>108.65999999999994</v>
      </c>
      <c r="G25" s="38">
        <f t="shared" si="25"/>
        <v>11.660000000000014</v>
      </c>
      <c r="H25" s="170"/>
      <c r="I25" s="232">
        <v>21</v>
      </c>
      <c r="J25" s="231">
        <f t="shared" si="2"/>
        <v>10.020000000000001</v>
      </c>
      <c r="K25" s="38">
        <f t="shared" si="3"/>
        <v>12.260000000000002</v>
      </c>
      <c r="L25" s="38">
        <f t="shared" si="4"/>
        <v>15.96</v>
      </c>
      <c r="M25" s="38">
        <f t="shared" si="5"/>
        <v>24.21</v>
      </c>
      <c r="N25" s="38">
        <f t="shared" si="6"/>
        <v>108.66</v>
      </c>
      <c r="O25" s="38">
        <f t="shared" ref="O25" si="28">+O24+0.05</f>
        <v>11.660000000000014</v>
      </c>
      <c r="P25" s="170"/>
    </row>
    <row r="26" spans="1:16" ht="14.4" x14ac:dyDescent="0.3">
      <c r="A26" s="232">
        <v>22</v>
      </c>
      <c r="B26" s="231">
        <f t="shared" si="25"/>
        <v>9.5200000000000156</v>
      </c>
      <c r="C26" s="38">
        <f t="shared" si="25"/>
        <v>11.710000000000015</v>
      </c>
      <c r="D26" s="38">
        <f t="shared" si="25"/>
        <v>15.720000000000015</v>
      </c>
      <c r="E26" s="38">
        <f t="shared" si="25"/>
        <v>24.260000000000016</v>
      </c>
      <c r="F26" s="38">
        <f t="shared" si="25"/>
        <v>108.70999999999994</v>
      </c>
      <c r="G26" s="38">
        <f t="shared" si="25"/>
        <v>11.710000000000015</v>
      </c>
      <c r="H26" s="170"/>
      <c r="I26" s="232">
        <v>22</v>
      </c>
      <c r="J26" s="231">
        <f t="shared" si="2"/>
        <v>10.07</v>
      </c>
      <c r="K26" s="38">
        <f t="shared" si="3"/>
        <v>12.31</v>
      </c>
      <c r="L26" s="38">
        <f t="shared" si="4"/>
        <v>16.010000000000002</v>
      </c>
      <c r="M26" s="38">
        <f t="shared" si="5"/>
        <v>24.26</v>
      </c>
      <c r="N26" s="38">
        <f t="shared" si="6"/>
        <v>108.71</v>
      </c>
      <c r="O26" s="38">
        <f t="shared" ref="O26" si="29">+O25+0.05</f>
        <v>11.710000000000015</v>
      </c>
      <c r="P26" s="170"/>
    </row>
    <row r="27" spans="1:16" ht="14.4" x14ac:dyDescent="0.3">
      <c r="A27" s="232">
        <v>23</v>
      </c>
      <c r="B27" s="231">
        <f t="shared" si="25"/>
        <v>9.5700000000000163</v>
      </c>
      <c r="C27" s="38">
        <f t="shared" si="25"/>
        <v>11.760000000000016</v>
      </c>
      <c r="D27" s="38">
        <f t="shared" si="25"/>
        <v>15.770000000000016</v>
      </c>
      <c r="E27" s="38">
        <f t="shared" si="25"/>
        <v>24.310000000000016</v>
      </c>
      <c r="F27" s="38">
        <f t="shared" si="25"/>
        <v>108.75999999999993</v>
      </c>
      <c r="G27" s="38">
        <f t="shared" si="25"/>
        <v>11.760000000000016</v>
      </c>
      <c r="H27" s="170"/>
      <c r="I27" s="232">
        <v>23</v>
      </c>
      <c r="J27" s="231">
        <f t="shared" si="2"/>
        <v>10.120000000000001</v>
      </c>
      <c r="K27" s="38">
        <f t="shared" si="3"/>
        <v>12.360000000000001</v>
      </c>
      <c r="L27" s="38">
        <f t="shared" si="4"/>
        <v>16.059999999999999</v>
      </c>
      <c r="M27" s="38">
        <f t="shared" si="5"/>
        <v>24.31</v>
      </c>
      <c r="N27" s="38">
        <f t="shared" si="6"/>
        <v>108.76</v>
      </c>
      <c r="O27" s="38">
        <f t="shared" ref="O27" si="30">+O26+0.05</f>
        <v>11.760000000000016</v>
      </c>
      <c r="P27" s="170"/>
    </row>
    <row r="28" spans="1:16" ht="14.4" x14ac:dyDescent="0.3">
      <c r="A28" s="232">
        <v>24</v>
      </c>
      <c r="B28" s="231">
        <f t="shared" si="25"/>
        <v>9.620000000000017</v>
      </c>
      <c r="C28" s="38">
        <f t="shared" si="25"/>
        <v>11.810000000000016</v>
      </c>
      <c r="D28" s="38">
        <f t="shared" si="25"/>
        <v>15.820000000000016</v>
      </c>
      <c r="E28" s="38">
        <f t="shared" si="25"/>
        <v>24.360000000000017</v>
      </c>
      <c r="F28" s="38">
        <f t="shared" si="25"/>
        <v>108.80999999999993</v>
      </c>
      <c r="G28" s="38">
        <f t="shared" si="25"/>
        <v>11.810000000000016</v>
      </c>
      <c r="H28" s="170"/>
      <c r="I28" s="232">
        <v>24</v>
      </c>
      <c r="J28" s="231">
        <f t="shared" si="2"/>
        <v>10.170000000000002</v>
      </c>
      <c r="K28" s="38">
        <f t="shared" si="3"/>
        <v>12.41</v>
      </c>
      <c r="L28" s="38">
        <f t="shared" si="4"/>
        <v>16.11</v>
      </c>
      <c r="M28" s="38">
        <f t="shared" si="5"/>
        <v>24.36</v>
      </c>
      <c r="N28" s="38">
        <f t="shared" si="6"/>
        <v>108.81</v>
      </c>
      <c r="O28" s="38">
        <f t="shared" ref="O28" si="31">+O27+0.05</f>
        <v>11.810000000000016</v>
      </c>
      <c r="P28" s="170"/>
    </row>
    <row r="29" spans="1:16" ht="14.4" x14ac:dyDescent="0.3">
      <c r="A29" s="233">
        <v>25</v>
      </c>
      <c r="B29" s="231">
        <f t="shared" si="25"/>
        <v>9.6700000000000177</v>
      </c>
      <c r="C29" s="38">
        <f t="shared" si="25"/>
        <v>11.860000000000017</v>
      </c>
      <c r="D29" s="38">
        <f t="shared" si="25"/>
        <v>15.870000000000017</v>
      </c>
      <c r="E29" s="38">
        <f t="shared" si="25"/>
        <v>24.410000000000018</v>
      </c>
      <c r="F29" s="38">
        <f t="shared" si="25"/>
        <v>108.85999999999993</v>
      </c>
      <c r="G29" s="38">
        <f t="shared" si="25"/>
        <v>11.860000000000017</v>
      </c>
      <c r="H29" s="166"/>
      <c r="I29" s="233">
        <v>25</v>
      </c>
      <c r="J29" s="231">
        <f>SUM(I29*0.05)+8.97</f>
        <v>10.220000000000001</v>
      </c>
      <c r="K29" s="38">
        <f t="shared" si="3"/>
        <v>12.46</v>
      </c>
      <c r="L29" s="38">
        <f t="shared" si="4"/>
        <v>16.16</v>
      </c>
      <c r="M29" s="38">
        <f t="shared" si="5"/>
        <v>24.41</v>
      </c>
      <c r="N29" s="38">
        <f t="shared" si="6"/>
        <v>108.86</v>
      </c>
      <c r="O29" s="38">
        <f t="shared" ref="O29" si="32">+O28+0.05</f>
        <v>11.860000000000017</v>
      </c>
      <c r="P29" s="166"/>
    </row>
    <row r="30" spans="1:16" ht="52.5" customHeight="1" x14ac:dyDescent="0.25">
      <c r="A30" s="488" t="s">
        <v>50</v>
      </c>
      <c r="B30" s="489"/>
      <c r="C30" s="489"/>
      <c r="D30" s="489"/>
      <c r="E30" s="489"/>
      <c r="F30" s="489"/>
      <c r="G30" s="489"/>
      <c r="H30" s="489"/>
      <c r="I30" s="489"/>
      <c r="J30" s="489"/>
      <c r="K30" s="489"/>
      <c r="L30" s="489"/>
      <c r="M30" s="489"/>
      <c r="N30" s="489"/>
      <c r="O30" s="489"/>
      <c r="P30" s="490"/>
    </row>
  </sheetData>
  <mergeCells count="14">
    <mergeCell ref="A30:P30"/>
    <mergeCell ref="M2:M3"/>
    <mergeCell ref="N2:N3"/>
    <mergeCell ref="O2:O3"/>
    <mergeCell ref="A1:P1"/>
    <mergeCell ref="G2:G3"/>
    <mergeCell ref="B2:B3"/>
    <mergeCell ref="C2:C3"/>
    <mergeCell ref="D2:D3"/>
    <mergeCell ref="E2:E3"/>
    <mergeCell ref="F2:F3"/>
    <mergeCell ref="J2:J3"/>
    <mergeCell ref="K2:K3"/>
    <mergeCell ref="L2:L3"/>
  </mergeCells>
  <pageMargins left="0.7" right="0.7" top="0.75" bottom="0.75" header="0.3" footer="0.3"/>
  <pageSetup scale="80" orientation="landscape" r:id="rId1"/>
  <headerFooter>
    <oddFooter>&amp;C&amp;A&amp;R&amp;N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4"/>
  <sheetViews>
    <sheetView workbookViewId="0">
      <pane ySplit="4" topLeftCell="A5" activePane="bottomLeft" state="frozen"/>
      <selection pane="bottomLeft" activeCell="U25" sqref="U25"/>
    </sheetView>
  </sheetViews>
  <sheetFormatPr defaultRowHeight="13.2" x14ac:dyDescent="0.25"/>
  <cols>
    <col min="1" max="1" width="12.88671875" bestFit="1" customWidth="1"/>
    <col min="2" max="2" width="9.109375" customWidth="1"/>
    <col min="3" max="3" width="9.6640625" customWidth="1"/>
    <col min="4" max="4" width="9.33203125" customWidth="1"/>
    <col min="5" max="5" width="9.5546875" customWidth="1"/>
    <col min="6" max="6" width="9.44140625" customWidth="1"/>
    <col min="7" max="7" width="10.44140625" customWidth="1"/>
    <col min="8" max="8" width="9.44140625" customWidth="1"/>
    <col min="9" max="10" width="10.88671875" customWidth="1"/>
    <col min="11" max="11" width="9.44140625" customWidth="1"/>
    <col min="12" max="12" width="9.88671875" customWidth="1"/>
    <col min="13" max="13" width="8.88671875" customWidth="1"/>
    <col min="14" max="16" width="9.5546875" customWidth="1"/>
  </cols>
  <sheetData>
    <row r="1" spans="1:19" ht="48" customHeight="1" thickBot="1" x14ac:dyDescent="0.3">
      <c r="A1" s="502" t="s">
        <v>135</v>
      </c>
      <c r="B1" s="503"/>
      <c r="C1" s="503"/>
      <c r="D1" s="503"/>
      <c r="E1" s="503"/>
      <c r="F1" s="503"/>
      <c r="G1" s="503"/>
      <c r="H1" s="503"/>
      <c r="I1" s="503"/>
      <c r="J1" s="503"/>
      <c r="K1" s="503"/>
      <c r="L1" s="503"/>
      <c r="M1" s="503"/>
      <c r="N1" s="503"/>
      <c r="O1" s="503"/>
      <c r="P1" s="503"/>
      <c r="Q1" s="504"/>
      <c r="R1" s="504"/>
    </row>
    <row r="2" spans="1:19" ht="24.75" customHeight="1" x14ac:dyDescent="0.3">
      <c r="A2" s="499"/>
      <c r="B2" s="500"/>
      <c r="C2" s="500"/>
      <c r="D2" s="500"/>
      <c r="E2" s="500"/>
      <c r="F2" s="500"/>
      <c r="G2" s="500"/>
      <c r="H2" s="500"/>
      <c r="I2" s="500"/>
      <c r="J2" s="500"/>
      <c r="K2" s="500"/>
      <c r="L2" s="500"/>
      <c r="M2" s="500"/>
      <c r="N2" s="500"/>
      <c r="O2" s="500"/>
      <c r="P2" s="500"/>
      <c r="Q2" s="500"/>
      <c r="R2" s="501"/>
      <c r="S2" s="43"/>
    </row>
    <row r="3" spans="1:19" x14ac:dyDescent="0.25">
      <c r="A3" s="221"/>
      <c r="B3" s="505" t="s">
        <v>51</v>
      </c>
      <c r="C3" s="506"/>
      <c r="D3" s="506"/>
      <c r="E3" s="506"/>
      <c r="F3" s="506"/>
      <c r="G3" s="506"/>
      <c r="H3" s="506"/>
      <c r="I3" s="506"/>
      <c r="J3" s="506"/>
      <c r="K3" s="506"/>
      <c r="L3" s="506"/>
      <c r="M3" s="506"/>
      <c r="N3" s="506"/>
      <c r="O3" s="506"/>
      <c r="P3" s="507"/>
      <c r="Q3" s="161"/>
      <c r="R3" s="215"/>
      <c r="S3" s="43"/>
    </row>
    <row r="4" spans="1:19" ht="92.4" x14ac:dyDescent="0.25">
      <c r="A4" s="237" t="s">
        <v>52</v>
      </c>
      <c r="B4" s="227" t="s">
        <v>156</v>
      </c>
      <c r="C4" s="227" t="s">
        <v>157</v>
      </c>
      <c r="D4" s="227" t="s">
        <v>158</v>
      </c>
      <c r="E4" s="227" t="s">
        <v>159</v>
      </c>
      <c r="F4" s="227" t="s">
        <v>160</v>
      </c>
      <c r="G4" s="227" t="s">
        <v>164</v>
      </c>
      <c r="H4" s="228" t="s">
        <v>175</v>
      </c>
      <c r="I4" s="229" t="s">
        <v>176</v>
      </c>
      <c r="J4" s="227" t="s">
        <v>171</v>
      </c>
      <c r="K4" s="227" t="s">
        <v>161</v>
      </c>
      <c r="L4" s="227" t="s">
        <v>172</v>
      </c>
      <c r="M4" s="227" t="s">
        <v>162</v>
      </c>
      <c r="N4" s="227" t="s">
        <v>173</v>
      </c>
      <c r="O4" s="227" t="s">
        <v>163</v>
      </c>
      <c r="P4" s="227" t="s">
        <v>174</v>
      </c>
      <c r="Q4" s="179"/>
      <c r="R4" s="224"/>
      <c r="S4" s="43"/>
    </row>
    <row r="5" spans="1:19" x14ac:dyDescent="0.25">
      <c r="A5" s="219">
        <v>0</v>
      </c>
      <c r="B5" s="39">
        <f>62.44</f>
        <v>62.44</v>
      </c>
      <c r="C5" s="39">
        <f>69.68</f>
        <v>69.680000000000007</v>
      </c>
      <c r="D5" s="39">
        <f>80.26</f>
        <v>80.260000000000005</v>
      </c>
      <c r="E5" s="39">
        <f>97.98</f>
        <v>97.98</v>
      </c>
      <c r="F5" s="39">
        <f>169.11</f>
        <v>169.11</v>
      </c>
      <c r="G5" s="39">
        <f>14.52</f>
        <v>14.52</v>
      </c>
      <c r="H5" s="39">
        <f>14.52</f>
        <v>14.52</v>
      </c>
      <c r="I5" s="40">
        <f>14.52</f>
        <v>14.52</v>
      </c>
      <c r="J5" s="40">
        <f>14.52</f>
        <v>14.52</v>
      </c>
      <c r="K5" s="39">
        <f>10.66</f>
        <v>10.66</v>
      </c>
      <c r="L5" s="39">
        <f>10.66</f>
        <v>10.66</v>
      </c>
      <c r="M5" s="41">
        <f>19.07</f>
        <v>19.07</v>
      </c>
      <c r="N5" s="41">
        <f>19.07</f>
        <v>19.07</v>
      </c>
      <c r="O5" s="41">
        <f>19.07</f>
        <v>19.07</v>
      </c>
      <c r="P5" s="41">
        <f>19.07</f>
        <v>19.07</v>
      </c>
      <c r="Q5" s="222"/>
      <c r="R5" s="225"/>
    </row>
    <row r="6" spans="1:19" x14ac:dyDescent="0.25">
      <c r="A6" s="220">
        <v>1</v>
      </c>
      <c r="B6" s="42">
        <f>SUM(A6*0.05)+62.44</f>
        <v>62.489999999999995</v>
      </c>
      <c r="C6" s="42">
        <f>SUM(A6*0.05)+69.68</f>
        <v>69.73</v>
      </c>
      <c r="D6" s="42">
        <f>(A6*0.05)+80.26</f>
        <v>80.31</v>
      </c>
      <c r="E6" s="42">
        <f>SUM(A6*0.05)+97.98</f>
        <v>98.03</v>
      </c>
      <c r="F6" s="42">
        <f>SUM(A6*0.05)+169.11</f>
        <v>169.16000000000003</v>
      </c>
      <c r="G6" s="42">
        <f>SUM(A6*0.05)+14.52</f>
        <v>14.57</v>
      </c>
      <c r="H6" s="42">
        <f>(A6*0.05)+14.52</f>
        <v>14.57</v>
      </c>
      <c r="I6" s="42">
        <f>SUM(A6*0.05)+14.52</f>
        <v>14.57</v>
      </c>
      <c r="J6" s="42">
        <f>SUM(A6*0.05)+14.52</f>
        <v>14.57</v>
      </c>
      <c r="K6" s="42">
        <f>SUM(A6*0.05)+10.66</f>
        <v>10.71</v>
      </c>
      <c r="L6" s="42">
        <f>SUM(A6*0.05)+10.66</f>
        <v>10.71</v>
      </c>
      <c r="M6" s="42">
        <f>SUM(A6*0.05)+19.07</f>
        <v>19.12</v>
      </c>
      <c r="N6" s="42">
        <f>(A6*0.05)+19.07</f>
        <v>19.12</v>
      </c>
      <c r="O6" s="42">
        <f>SUM(A6*0.05)+19.07</f>
        <v>19.12</v>
      </c>
      <c r="P6" s="42">
        <f>SUM(A6*0.05)+19.07</f>
        <v>19.12</v>
      </c>
      <c r="Q6" s="223"/>
      <c r="R6" s="226"/>
    </row>
    <row r="7" spans="1:19" x14ac:dyDescent="0.25">
      <c r="A7" s="219">
        <v>2</v>
      </c>
      <c r="B7" s="42">
        <f t="shared" ref="B7:B30" si="0">SUM(A7*0.05)+62.44</f>
        <v>62.54</v>
      </c>
      <c r="C7" s="42">
        <f t="shared" ref="C7:C30" si="1">SUM(A7*0.05)+69.68</f>
        <v>69.78</v>
      </c>
      <c r="D7" s="42">
        <f t="shared" ref="D7:D30" si="2">(A7*0.05)+80.26</f>
        <v>80.36</v>
      </c>
      <c r="E7" s="42">
        <f t="shared" ref="E7:E30" si="3">SUM(A7*0.05)+97.98</f>
        <v>98.08</v>
      </c>
      <c r="F7" s="42">
        <f t="shared" ref="F7:F30" si="4">SUM(A7*0.05)+169.11</f>
        <v>169.21</v>
      </c>
      <c r="G7" s="42">
        <f t="shared" ref="G7:G30" si="5">SUM(A7*0.05)+14.52</f>
        <v>14.62</v>
      </c>
      <c r="H7" s="42">
        <f t="shared" ref="H7:H30" si="6">(A7*0.05)+14.52</f>
        <v>14.62</v>
      </c>
      <c r="I7" s="42">
        <f t="shared" ref="I7:I30" si="7">SUM(A7*0.05)+14.52</f>
        <v>14.62</v>
      </c>
      <c r="J7" s="42">
        <f t="shared" ref="J7:J30" si="8">SUM(A7*0.05)+14.52</f>
        <v>14.62</v>
      </c>
      <c r="K7" s="42">
        <f t="shared" ref="K7:K30" si="9">SUM(A7*0.05)+10.66</f>
        <v>10.76</v>
      </c>
      <c r="L7" s="42">
        <f t="shared" ref="L7:L30" si="10">SUM(A7*0.05)+10.66</f>
        <v>10.76</v>
      </c>
      <c r="M7" s="42">
        <f t="shared" ref="M7:M30" si="11">SUM(A7*0.05)+19.07</f>
        <v>19.170000000000002</v>
      </c>
      <c r="N7" s="42">
        <f t="shared" ref="N7:N30" si="12">(A7*0.05)+19.07</f>
        <v>19.170000000000002</v>
      </c>
      <c r="O7" s="42">
        <f t="shared" ref="O7:O30" si="13">SUM(A7*0.05)+19.07</f>
        <v>19.170000000000002</v>
      </c>
      <c r="P7" s="42">
        <f t="shared" ref="P7:P30" si="14">SUM(A7*0.05)+19.07</f>
        <v>19.170000000000002</v>
      </c>
      <c r="Q7" s="223"/>
      <c r="R7" s="226"/>
    </row>
    <row r="8" spans="1:19" x14ac:dyDescent="0.25">
      <c r="A8" s="219">
        <v>3</v>
      </c>
      <c r="B8" s="42">
        <f t="shared" si="0"/>
        <v>62.589999999999996</v>
      </c>
      <c r="C8" s="42">
        <f t="shared" si="1"/>
        <v>69.830000000000013</v>
      </c>
      <c r="D8" s="42">
        <f t="shared" si="2"/>
        <v>80.410000000000011</v>
      </c>
      <c r="E8" s="42">
        <f t="shared" si="3"/>
        <v>98.13000000000001</v>
      </c>
      <c r="F8" s="42">
        <f t="shared" si="4"/>
        <v>169.26000000000002</v>
      </c>
      <c r="G8" s="42">
        <f t="shared" si="5"/>
        <v>14.67</v>
      </c>
      <c r="H8" s="42">
        <f t="shared" si="6"/>
        <v>14.67</v>
      </c>
      <c r="I8" s="42">
        <f t="shared" si="7"/>
        <v>14.67</v>
      </c>
      <c r="J8" s="42">
        <f t="shared" si="8"/>
        <v>14.67</v>
      </c>
      <c r="K8" s="42">
        <f t="shared" si="9"/>
        <v>10.81</v>
      </c>
      <c r="L8" s="42">
        <f t="shared" si="10"/>
        <v>10.81</v>
      </c>
      <c r="M8" s="42">
        <f t="shared" si="11"/>
        <v>19.22</v>
      </c>
      <c r="N8" s="42">
        <f t="shared" si="12"/>
        <v>19.22</v>
      </c>
      <c r="O8" s="42">
        <f t="shared" si="13"/>
        <v>19.22</v>
      </c>
      <c r="P8" s="42">
        <f t="shared" si="14"/>
        <v>19.22</v>
      </c>
      <c r="Q8" s="223"/>
      <c r="R8" s="226"/>
    </row>
    <row r="9" spans="1:19" x14ac:dyDescent="0.25">
      <c r="A9" s="219">
        <v>4</v>
      </c>
      <c r="B9" s="42">
        <f t="shared" si="0"/>
        <v>62.64</v>
      </c>
      <c r="C9" s="42">
        <f t="shared" si="1"/>
        <v>69.88000000000001</v>
      </c>
      <c r="D9" s="42">
        <f t="shared" si="2"/>
        <v>80.460000000000008</v>
      </c>
      <c r="E9" s="42">
        <f t="shared" si="3"/>
        <v>98.18</v>
      </c>
      <c r="F9" s="42">
        <f t="shared" si="4"/>
        <v>169.31</v>
      </c>
      <c r="G9" s="42">
        <f t="shared" si="5"/>
        <v>14.719999999999999</v>
      </c>
      <c r="H9" s="42">
        <f t="shared" si="6"/>
        <v>14.719999999999999</v>
      </c>
      <c r="I9" s="42">
        <f t="shared" si="7"/>
        <v>14.719999999999999</v>
      </c>
      <c r="J9" s="42">
        <f t="shared" si="8"/>
        <v>14.719999999999999</v>
      </c>
      <c r="K9" s="42">
        <f t="shared" si="9"/>
        <v>10.86</v>
      </c>
      <c r="L9" s="42">
        <f t="shared" si="10"/>
        <v>10.86</v>
      </c>
      <c r="M9" s="42">
        <f t="shared" si="11"/>
        <v>19.27</v>
      </c>
      <c r="N9" s="42">
        <f t="shared" si="12"/>
        <v>19.27</v>
      </c>
      <c r="O9" s="42">
        <f t="shared" si="13"/>
        <v>19.27</v>
      </c>
      <c r="P9" s="42">
        <f t="shared" si="14"/>
        <v>19.27</v>
      </c>
      <c r="Q9" s="223"/>
      <c r="R9" s="226"/>
    </row>
    <row r="10" spans="1:19" x14ac:dyDescent="0.25">
      <c r="A10" s="219">
        <v>5</v>
      </c>
      <c r="B10" s="42">
        <f t="shared" si="0"/>
        <v>62.69</v>
      </c>
      <c r="C10" s="42">
        <f t="shared" si="1"/>
        <v>69.930000000000007</v>
      </c>
      <c r="D10" s="42">
        <f t="shared" si="2"/>
        <v>80.510000000000005</v>
      </c>
      <c r="E10" s="42">
        <f t="shared" si="3"/>
        <v>98.23</v>
      </c>
      <c r="F10" s="42">
        <f t="shared" si="4"/>
        <v>169.36</v>
      </c>
      <c r="G10" s="42">
        <f t="shared" si="5"/>
        <v>14.77</v>
      </c>
      <c r="H10" s="42">
        <f t="shared" si="6"/>
        <v>14.77</v>
      </c>
      <c r="I10" s="42">
        <f t="shared" si="7"/>
        <v>14.77</v>
      </c>
      <c r="J10" s="42">
        <f t="shared" si="8"/>
        <v>14.77</v>
      </c>
      <c r="K10" s="42">
        <f t="shared" si="9"/>
        <v>10.91</v>
      </c>
      <c r="L10" s="42">
        <f t="shared" si="10"/>
        <v>10.91</v>
      </c>
      <c r="M10" s="42">
        <f t="shared" si="11"/>
        <v>19.32</v>
      </c>
      <c r="N10" s="42">
        <f t="shared" si="12"/>
        <v>19.32</v>
      </c>
      <c r="O10" s="42">
        <f t="shared" si="13"/>
        <v>19.32</v>
      </c>
      <c r="P10" s="42">
        <f t="shared" si="14"/>
        <v>19.32</v>
      </c>
      <c r="Q10" s="223"/>
      <c r="R10" s="226"/>
    </row>
    <row r="11" spans="1:19" x14ac:dyDescent="0.25">
      <c r="A11" s="219">
        <v>6</v>
      </c>
      <c r="B11" s="42">
        <f t="shared" si="0"/>
        <v>62.739999999999995</v>
      </c>
      <c r="C11" s="42">
        <f t="shared" si="1"/>
        <v>69.98</v>
      </c>
      <c r="D11" s="42">
        <f t="shared" si="2"/>
        <v>80.56</v>
      </c>
      <c r="E11" s="42">
        <f t="shared" si="3"/>
        <v>98.28</v>
      </c>
      <c r="F11" s="42">
        <f t="shared" si="4"/>
        <v>169.41000000000003</v>
      </c>
      <c r="G11" s="42">
        <f t="shared" si="5"/>
        <v>14.82</v>
      </c>
      <c r="H11" s="42">
        <f t="shared" si="6"/>
        <v>14.82</v>
      </c>
      <c r="I11" s="42">
        <f t="shared" si="7"/>
        <v>14.82</v>
      </c>
      <c r="J11" s="42">
        <f t="shared" si="8"/>
        <v>14.82</v>
      </c>
      <c r="K11" s="42">
        <f t="shared" si="9"/>
        <v>10.96</v>
      </c>
      <c r="L11" s="42">
        <f t="shared" si="10"/>
        <v>10.96</v>
      </c>
      <c r="M11" s="42">
        <f t="shared" si="11"/>
        <v>19.37</v>
      </c>
      <c r="N11" s="42">
        <f t="shared" si="12"/>
        <v>19.37</v>
      </c>
      <c r="O11" s="42">
        <f t="shared" si="13"/>
        <v>19.37</v>
      </c>
      <c r="P11" s="42">
        <f t="shared" si="14"/>
        <v>19.37</v>
      </c>
      <c r="Q11" s="223"/>
      <c r="R11" s="226"/>
    </row>
    <row r="12" spans="1:19" x14ac:dyDescent="0.25">
      <c r="A12" s="219">
        <v>7</v>
      </c>
      <c r="B12" s="42">
        <f t="shared" si="0"/>
        <v>62.79</v>
      </c>
      <c r="C12" s="42">
        <f t="shared" si="1"/>
        <v>70.03</v>
      </c>
      <c r="D12" s="42">
        <f t="shared" si="2"/>
        <v>80.61</v>
      </c>
      <c r="E12" s="42">
        <f t="shared" si="3"/>
        <v>98.33</v>
      </c>
      <c r="F12" s="42">
        <f t="shared" si="4"/>
        <v>169.46</v>
      </c>
      <c r="G12" s="42">
        <f t="shared" si="5"/>
        <v>14.87</v>
      </c>
      <c r="H12" s="42">
        <f t="shared" si="6"/>
        <v>14.87</v>
      </c>
      <c r="I12" s="42">
        <f t="shared" si="7"/>
        <v>14.87</v>
      </c>
      <c r="J12" s="42">
        <f t="shared" si="8"/>
        <v>14.87</v>
      </c>
      <c r="K12" s="42">
        <f t="shared" si="9"/>
        <v>11.01</v>
      </c>
      <c r="L12" s="42">
        <f t="shared" si="10"/>
        <v>11.01</v>
      </c>
      <c r="M12" s="42">
        <f t="shared" si="11"/>
        <v>19.420000000000002</v>
      </c>
      <c r="N12" s="42">
        <f t="shared" si="12"/>
        <v>19.420000000000002</v>
      </c>
      <c r="O12" s="42">
        <f t="shared" si="13"/>
        <v>19.420000000000002</v>
      </c>
      <c r="P12" s="42">
        <f t="shared" si="14"/>
        <v>19.420000000000002</v>
      </c>
      <c r="Q12" s="223"/>
      <c r="R12" s="226"/>
    </row>
    <row r="13" spans="1:19" x14ac:dyDescent="0.25">
      <c r="A13" s="219">
        <v>8</v>
      </c>
      <c r="B13" s="42">
        <f t="shared" si="0"/>
        <v>62.839999999999996</v>
      </c>
      <c r="C13" s="42">
        <f t="shared" si="1"/>
        <v>70.080000000000013</v>
      </c>
      <c r="D13" s="42">
        <f t="shared" si="2"/>
        <v>80.660000000000011</v>
      </c>
      <c r="E13" s="42">
        <f t="shared" si="3"/>
        <v>98.38000000000001</v>
      </c>
      <c r="F13" s="42">
        <f t="shared" si="4"/>
        <v>169.51000000000002</v>
      </c>
      <c r="G13" s="42">
        <f t="shared" si="5"/>
        <v>14.92</v>
      </c>
      <c r="H13" s="42">
        <f t="shared" si="6"/>
        <v>14.92</v>
      </c>
      <c r="I13" s="42">
        <f t="shared" si="7"/>
        <v>14.92</v>
      </c>
      <c r="J13" s="42">
        <f t="shared" si="8"/>
        <v>14.92</v>
      </c>
      <c r="K13" s="42">
        <f t="shared" si="9"/>
        <v>11.06</v>
      </c>
      <c r="L13" s="42">
        <f t="shared" si="10"/>
        <v>11.06</v>
      </c>
      <c r="M13" s="42">
        <f t="shared" si="11"/>
        <v>19.47</v>
      </c>
      <c r="N13" s="42">
        <f t="shared" si="12"/>
        <v>19.47</v>
      </c>
      <c r="O13" s="42">
        <f t="shared" si="13"/>
        <v>19.47</v>
      </c>
      <c r="P13" s="42">
        <f t="shared" si="14"/>
        <v>19.47</v>
      </c>
      <c r="Q13" s="223"/>
      <c r="R13" s="226"/>
    </row>
    <row r="14" spans="1:19" x14ac:dyDescent="0.25">
      <c r="A14" s="219">
        <v>9</v>
      </c>
      <c r="B14" s="42">
        <f t="shared" si="0"/>
        <v>62.89</v>
      </c>
      <c r="C14" s="42">
        <f t="shared" si="1"/>
        <v>70.13000000000001</v>
      </c>
      <c r="D14" s="42">
        <f t="shared" si="2"/>
        <v>80.710000000000008</v>
      </c>
      <c r="E14" s="42">
        <f t="shared" si="3"/>
        <v>98.43</v>
      </c>
      <c r="F14" s="42">
        <f t="shared" si="4"/>
        <v>169.56</v>
      </c>
      <c r="G14" s="42">
        <f t="shared" si="5"/>
        <v>14.969999999999999</v>
      </c>
      <c r="H14" s="42">
        <f t="shared" si="6"/>
        <v>14.969999999999999</v>
      </c>
      <c r="I14" s="42">
        <f t="shared" si="7"/>
        <v>14.969999999999999</v>
      </c>
      <c r="J14" s="42">
        <f t="shared" si="8"/>
        <v>14.969999999999999</v>
      </c>
      <c r="K14" s="42">
        <f t="shared" si="9"/>
        <v>11.11</v>
      </c>
      <c r="L14" s="42">
        <f t="shared" si="10"/>
        <v>11.11</v>
      </c>
      <c r="M14" s="42">
        <f t="shared" si="11"/>
        <v>19.52</v>
      </c>
      <c r="N14" s="42">
        <f t="shared" si="12"/>
        <v>19.52</v>
      </c>
      <c r="O14" s="42">
        <f t="shared" si="13"/>
        <v>19.52</v>
      </c>
      <c r="P14" s="42">
        <f t="shared" si="14"/>
        <v>19.52</v>
      </c>
      <c r="Q14" s="223"/>
      <c r="R14" s="226"/>
    </row>
    <row r="15" spans="1:19" x14ac:dyDescent="0.25">
      <c r="A15" s="219">
        <v>10</v>
      </c>
      <c r="B15" s="42">
        <f t="shared" si="0"/>
        <v>62.94</v>
      </c>
      <c r="C15" s="42">
        <f t="shared" si="1"/>
        <v>70.180000000000007</v>
      </c>
      <c r="D15" s="42">
        <f t="shared" si="2"/>
        <v>80.760000000000005</v>
      </c>
      <c r="E15" s="42">
        <f t="shared" si="3"/>
        <v>98.48</v>
      </c>
      <c r="F15" s="42">
        <f t="shared" si="4"/>
        <v>169.61</v>
      </c>
      <c r="G15" s="42">
        <f t="shared" si="5"/>
        <v>15.02</v>
      </c>
      <c r="H15" s="42">
        <f t="shared" si="6"/>
        <v>15.02</v>
      </c>
      <c r="I15" s="42">
        <f t="shared" si="7"/>
        <v>15.02</v>
      </c>
      <c r="J15" s="42">
        <f t="shared" si="8"/>
        <v>15.02</v>
      </c>
      <c r="K15" s="42">
        <f t="shared" si="9"/>
        <v>11.16</v>
      </c>
      <c r="L15" s="42">
        <f t="shared" si="10"/>
        <v>11.16</v>
      </c>
      <c r="M15" s="42">
        <f t="shared" si="11"/>
        <v>19.57</v>
      </c>
      <c r="N15" s="42">
        <f t="shared" si="12"/>
        <v>19.57</v>
      </c>
      <c r="O15" s="42">
        <f t="shared" si="13"/>
        <v>19.57</v>
      </c>
      <c r="P15" s="42">
        <f t="shared" si="14"/>
        <v>19.57</v>
      </c>
      <c r="Q15" s="223"/>
      <c r="R15" s="226"/>
    </row>
    <row r="16" spans="1:19" x14ac:dyDescent="0.25">
      <c r="A16" s="219">
        <v>11</v>
      </c>
      <c r="B16" s="42">
        <f t="shared" si="0"/>
        <v>62.989999999999995</v>
      </c>
      <c r="C16" s="42">
        <f t="shared" si="1"/>
        <v>70.23</v>
      </c>
      <c r="D16" s="42">
        <f t="shared" si="2"/>
        <v>80.81</v>
      </c>
      <c r="E16" s="42">
        <f t="shared" si="3"/>
        <v>98.53</v>
      </c>
      <c r="F16" s="42">
        <f t="shared" si="4"/>
        <v>169.66000000000003</v>
      </c>
      <c r="G16" s="42">
        <f t="shared" si="5"/>
        <v>15.07</v>
      </c>
      <c r="H16" s="42">
        <f t="shared" si="6"/>
        <v>15.07</v>
      </c>
      <c r="I16" s="42">
        <f t="shared" si="7"/>
        <v>15.07</v>
      </c>
      <c r="J16" s="42">
        <f t="shared" si="8"/>
        <v>15.07</v>
      </c>
      <c r="K16" s="42">
        <f t="shared" si="9"/>
        <v>11.21</v>
      </c>
      <c r="L16" s="42">
        <f t="shared" si="10"/>
        <v>11.21</v>
      </c>
      <c r="M16" s="42">
        <f t="shared" si="11"/>
        <v>19.62</v>
      </c>
      <c r="N16" s="42">
        <f t="shared" si="12"/>
        <v>19.62</v>
      </c>
      <c r="O16" s="42">
        <f t="shared" si="13"/>
        <v>19.62</v>
      </c>
      <c r="P16" s="42">
        <f t="shared" si="14"/>
        <v>19.62</v>
      </c>
      <c r="Q16" s="223"/>
      <c r="R16" s="226"/>
    </row>
    <row r="17" spans="1:18" x14ac:dyDescent="0.25">
      <c r="A17" s="219">
        <v>12</v>
      </c>
      <c r="B17" s="42">
        <f t="shared" si="0"/>
        <v>63.04</v>
      </c>
      <c r="C17" s="42">
        <f t="shared" si="1"/>
        <v>70.28</v>
      </c>
      <c r="D17" s="42">
        <f t="shared" si="2"/>
        <v>80.86</v>
      </c>
      <c r="E17" s="42">
        <f t="shared" si="3"/>
        <v>98.58</v>
      </c>
      <c r="F17" s="42">
        <f t="shared" si="4"/>
        <v>169.71</v>
      </c>
      <c r="G17" s="42">
        <f t="shared" si="5"/>
        <v>15.12</v>
      </c>
      <c r="H17" s="42">
        <f t="shared" si="6"/>
        <v>15.12</v>
      </c>
      <c r="I17" s="42">
        <f t="shared" si="7"/>
        <v>15.12</v>
      </c>
      <c r="J17" s="42">
        <f t="shared" si="8"/>
        <v>15.12</v>
      </c>
      <c r="K17" s="42">
        <f t="shared" si="9"/>
        <v>11.26</v>
      </c>
      <c r="L17" s="42">
        <f t="shared" si="10"/>
        <v>11.26</v>
      </c>
      <c r="M17" s="42">
        <f t="shared" si="11"/>
        <v>19.670000000000002</v>
      </c>
      <c r="N17" s="42">
        <f t="shared" si="12"/>
        <v>19.670000000000002</v>
      </c>
      <c r="O17" s="42">
        <f t="shared" si="13"/>
        <v>19.670000000000002</v>
      </c>
      <c r="P17" s="42">
        <f t="shared" si="14"/>
        <v>19.670000000000002</v>
      </c>
      <c r="Q17" s="223"/>
      <c r="R17" s="226"/>
    </row>
    <row r="18" spans="1:18" x14ac:dyDescent="0.25">
      <c r="A18" s="219">
        <v>13</v>
      </c>
      <c r="B18" s="42">
        <f t="shared" si="0"/>
        <v>63.089999999999996</v>
      </c>
      <c r="C18" s="42">
        <f t="shared" si="1"/>
        <v>70.330000000000013</v>
      </c>
      <c r="D18" s="42">
        <f t="shared" si="2"/>
        <v>80.910000000000011</v>
      </c>
      <c r="E18" s="42">
        <f t="shared" si="3"/>
        <v>98.63000000000001</v>
      </c>
      <c r="F18" s="42">
        <f t="shared" si="4"/>
        <v>169.76000000000002</v>
      </c>
      <c r="G18" s="42">
        <f t="shared" si="5"/>
        <v>15.17</v>
      </c>
      <c r="H18" s="42">
        <f t="shared" si="6"/>
        <v>15.17</v>
      </c>
      <c r="I18" s="42">
        <f t="shared" si="7"/>
        <v>15.17</v>
      </c>
      <c r="J18" s="42">
        <f t="shared" si="8"/>
        <v>15.17</v>
      </c>
      <c r="K18" s="42">
        <f t="shared" si="9"/>
        <v>11.31</v>
      </c>
      <c r="L18" s="42">
        <f t="shared" si="10"/>
        <v>11.31</v>
      </c>
      <c r="M18" s="42">
        <f t="shared" si="11"/>
        <v>19.72</v>
      </c>
      <c r="N18" s="42">
        <f t="shared" si="12"/>
        <v>19.72</v>
      </c>
      <c r="O18" s="42">
        <f t="shared" si="13"/>
        <v>19.72</v>
      </c>
      <c r="P18" s="42">
        <f t="shared" si="14"/>
        <v>19.72</v>
      </c>
      <c r="Q18" s="223"/>
      <c r="R18" s="226"/>
    </row>
    <row r="19" spans="1:18" x14ac:dyDescent="0.25">
      <c r="A19" s="219">
        <v>14</v>
      </c>
      <c r="B19" s="42">
        <f t="shared" si="0"/>
        <v>63.14</v>
      </c>
      <c r="C19" s="42">
        <f t="shared" si="1"/>
        <v>70.38000000000001</v>
      </c>
      <c r="D19" s="42">
        <f t="shared" si="2"/>
        <v>80.960000000000008</v>
      </c>
      <c r="E19" s="42">
        <f t="shared" si="3"/>
        <v>98.68</v>
      </c>
      <c r="F19" s="42">
        <f t="shared" si="4"/>
        <v>169.81</v>
      </c>
      <c r="G19" s="42">
        <f t="shared" si="5"/>
        <v>15.219999999999999</v>
      </c>
      <c r="H19" s="42">
        <f t="shared" si="6"/>
        <v>15.219999999999999</v>
      </c>
      <c r="I19" s="42">
        <f t="shared" si="7"/>
        <v>15.219999999999999</v>
      </c>
      <c r="J19" s="42">
        <f t="shared" si="8"/>
        <v>15.219999999999999</v>
      </c>
      <c r="K19" s="42">
        <f t="shared" si="9"/>
        <v>11.36</v>
      </c>
      <c r="L19" s="42">
        <f t="shared" si="10"/>
        <v>11.36</v>
      </c>
      <c r="M19" s="42">
        <f t="shared" si="11"/>
        <v>19.77</v>
      </c>
      <c r="N19" s="42">
        <f t="shared" si="12"/>
        <v>19.77</v>
      </c>
      <c r="O19" s="42">
        <f t="shared" si="13"/>
        <v>19.77</v>
      </c>
      <c r="P19" s="42">
        <f t="shared" si="14"/>
        <v>19.77</v>
      </c>
      <c r="Q19" s="223"/>
      <c r="R19" s="226"/>
    </row>
    <row r="20" spans="1:18" x14ac:dyDescent="0.25">
      <c r="A20" s="219">
        <v>15</v>
      </c>
      <c r="B20" s="42">
        <f t="shared" si="0"/>
        <v>63.19</v>
      </c>
      <c r="C20" s="42">
        <f t="shared" si="1"/>
        <v>70.430000000000007</v>
      </c>
      <c r="D20" s="42">
        <f t="shared" si="2"/>
        <v>81.010000000000005</v>
      </c>
      <c r="E20" s="42">
        <f t="shared" si="3"/>
        <v>98.73</v>
      </c>
      <c r="F20" s="42">
        <f t="shared" si="4"/>
        <v>169.86</v>
      </c>
      <c r="G20" s="42">
        <f t="shared" si="5"/>
        <v>15.27</v>
      </c>
      <c r="H20" s="42">
        <f t="shared" si="6"/>
        <v>15.27</v>
      </c>
      <c r="I20" s="42">
        <f t="shared" si="7"/>
        <v>15.27</v>
      </c>
      <c r="J20" s="42">
        <f t="shared" si="8"/>
        <v>15.27</v>
      </c>
      <c r="K20" s="42">
        <f t="shared" si="9"/>
        <v>11.41</v>
      </c>
      <c r="L20" s="42">
        <f t="shared" si="10"/>
        <v>11.41</v>
      </c>
      <c r="M20" s="42">
        <f t="shared" si="11"/>
        <v>19.82</v>
      </c>
      <c r="N20" s="42">
        <f t="shared" si="12"/>
        <v>19.82</v>
      </c>
      <c r="O20" s="42">
        <f t="shared" si="13"/>
        <v>19.82</v>
      </c>
      <c r="P20" s="42">
        <f t="shared" si="14"/>
        <v>19.82</v>
      </c>
      <c r="Q20" s="223"/>
      <c r="R20" s="226"/>
    </row>
    <row r="21" spans="1:18" x14ac:dyDescent="0.25">
      <c r="A21" s="219">
        <v>16</v>
      </c>
      <c r="B21" s="42">
        <f t="shared" si="0"/>
        <v>63.239999999999995</v>
      </c>
      <c r="C21" s="42">
        <f t="shared" si="1"/>
        <v>70.48</v>
      </c>
      <c r="D21" s="42">
        <f t="shared" si="2"/>
        <v>81.06</v>
      </c>
      <c r="E21" s="42">
        <f t="shared" si="3"/>
        <v>98.78</v>
      </c>
      <c r="F21" s="42">
        <f t="shared" si="4"/>
        <v>169.91000000000003</v>
      </c>
      <c r="G21" s="42">
        <f t="shared" si="5"/>
        <v>15.32</v>
      </c>
      <c r="H21" s="42">
        <f t="shared" si="6"/>
        <v>15.32</v>
      </c>
      <c r="I21" s="42">
        <f t="shared" si="7"/>
        <v>15.32</v>
      </c>
      <c r="J21" s="42">
        <f t="shared" si="8"/>
        <v>15.32</v>
      </c>
      <c r="K21" s="42">
        <f t="shared" si="9"/>
        <v>11.46</v>
      </c>
      <c r="L21" s="42">
        <f t="shared" si="10"/>
        <v>11.46</v>
      </c>
      <c r="M21" s="42">
        <f t="shared" si="11"/>
        <v>19.87</v>
      </c>
      <c r="N21" s="42">
        <f t="shared" si="12"/>
        <v>19.87</v>
      </c>
      <c r="O21" s="42">
        <f t="shared" si="13"/>
        <v>19.87</v>
      </c>
      <c r="P21" s="42">
        <f t="shared" si="14"/>
        <v>19.87</v>
      </c>
      <c r="Q21" s="223"/>
      <c r="R21" s="226"/>
    </row>
    <row r="22" spans="1:18" x14ac:dyDescent="0.25">
      <c r="A22" s="219">
        <v>17</v>
      </c>
      <c r="B22" s="42">
        <f t="shared" si="0"/>
        <v>63.29</v>
      </c>
      <c r="C22" s="42">
        <f t="shared" si="1"/>
        <v>70.53</v>
      </c>
      <c r="D22" s="42">
        <f t="shared" si="2"/>
        <v>81.11</v>
      </c>
      <c r="E22" s="42">
        <f t="shared" si="3"/>
        <v>98.83</v>
      </c>
      <c r="F22" s="42">
        <f t="shared" si="4"/>
        <v>169.96</v>
      </c>
      <c r="G22" s="42">
        <f t="shared" si="5"/>
        <v>15.37</v>
      </c>
      <c r="H22" s="42">
        <f t="shared" si="6"/>
        <v>15.37</v>
      </c>
      <c r="I22" s="42">
        <f t="shared" si="7"/>
        <v>15.37</v>
      </c>
      <c r="J22" s="42">
        <f t="shared" si="8"/>
        <v>15.37</v>
      </c>
      <c r="K22" s="42">
        <f t="shared" si="9"/>
        <v>11.51</v>
      </c>
      <c r="L22" s="42">
        <f t="shared" si="10"/>
        <v>11.51</v>
      </c>
      <c r="M22" s="42">
        <f t="shared" si="11"/>
        <v>19.920000000000002</v>
      </c>
      <c r="N22" s="42">
        <f t="shared" si="12"/>
        <v>19.920000000000002</v>
      </c>
      <c r="O22" s="42">
        <f t="shared" si="13"/>
        <v>19.920000000000002</v>
      </c>
      <c r="P22" s="42">
        <f t="shared" si="14"/>
        <v>19.920000000000002</v>
      </c>
      <c r="Q22" s="223"/>
      <c r="R22" s="226"/>
    </row>
    <row r="23" spans="1:18" x14ac:dyDescent="0.25">
      <c r="A23" s="219">
        <v>18</v>
      </c>
      <c r="B23" s="42">
        <f t="shared" si="0"/>
        <v>63.339999999999996</v>
      </c>
      <c r="C23" s="42">
        <f t="shared" si="1"/>
        <v>70.580000000000013</v>
      </c>
      <c r="D23" s="42">
        <f t="shared" si="2"/>
        <v>81.160000000000011</v>
      </c>
      <c r="E23" s="42">
        <f t="shared" si="3"/>
        <v>98.88000000000001</v>
      </c>
      <c r="F23" s="42">
        <f t="shared" si="4"/>
        <v>170.01000000000002</v>
      </c>
      <c r="G23" s="42">
        <f t="shared" si="5"/>
        <v>15.42</v>
      </c>
      <c r="H23" s="42">
        <f t="shared" si="6"/>
        <v>15.42</v>
      </c>
      <c r="I23" s="42">
        <f t="shared" si="7"/>
        <v>15.42</v>
      </c>
      <c r="J23" s="42">
        <f t="shared" si="8"/>
        <v>15.42</v>
      </c>
      <c r="K23" s="42">
        <f t="shared" si="9"/>
        <v>11.56</v>
      </c>
      <c r="L23" s="42">
        <f t="shared" si="10"/>
        <v>11.56</v>
      </c>
      <c r="M23" s="42">
        <f t="shared" si="11"/>
        <v>19.97</v>
      </c>
      <c r="N23" s="42">
        <f t="shared" si="12"/>
        <v>19.97</v>
      </c>
      <c r="O23" s="42">
        <f t="shared" si="13"/>
        <v>19.97</v>
      </c>
      <c r="P23" s="42">
        <f t="shared" si="14"/>
        <v>19.97</v>
      </c>
      <c r="Q23" s="223"/>
      <c r="R23" s="226"/>
    </row>
    <row r="24" spans="1:18" x14ac:dyDescent="0.25">
      <c r="A24" s="219">
        <v>19</v>
      </c>
      <c r="B24" s="42">
        <f t="shared" si="0"/>
        <v>63.39</v>
      </c>
      <c r="C24" s="42">
        <f t="shared" si="1"/>
        <v>70.63000000000001</v>
      </c>
      <c r="D24" s="42">
        <f t="shared" si="2"/>
        <v>81.210000000000008</v>
      </c>
      <c r="E24" s="42">
        <f t="shared" si="3"/>
        <v>98.93</v>
      </c>
      <c r="F24" s="42">
        <f t="shared" si="4"/>
        <v>170.06</v>
      </c>
      <c r="G24" s="42">
        <f t="shared" si="5"/>
        <v>15.469999999999999</v>
      </c>
      <c r="H24" s="42">
        <f t="shared" si="6"/>
        <v>15.469999999999999</v>
      </c>
      <c r="I24" s="42">
        <f t="shared" si="7"/>
        <v>15.469999999999999</v>
      </c>
      <c r="J24" s="42">
        <f t="shared" si="8"/>
        <v>15.469999999999999</v>
      </c>
      <c r="K24" s="42">
        <f t="shared" si="9"/>
        <v>11.61</v>
      </c>
      <c r="L24" s="42">
        <f t="shared" si="10"/>
        <v>11.61</v>
      </c>
      <c r="M24" s="42">
        <f t="shared" si="11"/>
        <v>20.02</v>
      </c>
      <c r="N24" s="42">
        <f t="shared" si="12"/>
        <v>20.02</v>
      </c>
      <c r="O24" s="42">
        <f t="shared" si="13"/>
        <v>20.02</v>
      </c>
      <c r="P24" s="42">
        <f t="shared" si="14"/>
        <v>20.02</v>
      </c>
      <c r="Q24" s="223"/>
      <c r="R24" s="226"/>
    </row>
    <row r="25" spans="1:18" x14ac:dyDescent="0.25">
      <c r="A25" s="219">
        <v>20</v>
      </c>
      <c r="B25" s="42">
        <f t="shared" si="0"/>
        <v>63.44</v>
      </c>
      <c r="C25" s="42">
        <f t="shared" si="1"/>
        <v>70.680000000000007</v>
      </c>
      <c r="D25" s="42">
        <f t="shared" si="2"/>
        <v>81.260000000000005</v>
      </c>
      <c r="E25" s="42">
        <f t="shared" si="3"/>
        <v>98.98</v>
      </c>
      <c r="F25" s="42">
        <f t="shared" si="4"/>
        <v>170.11</v>
      </c>
      <c r="G25" s="42">
        <f t="shared" si="5"/>
        <v>15.52</v>
      </c>
      <c r="H25" s="42">
        <f t="shared" si="6"/>
        <v>15.52</v>
      </c>
      <c r="I25" s="42">
        <f t="shared" si="7"/>
        <v>15.52</v>
      </c>
      <c r="J25" s="42">
        <f t="shared" si="8"/>
        <v>15.52</v>
      </c>
      <c r="K25" s="42">
        <f t="shared" si="9"/>
        <v>11.66</v>
      </c>
      <c r="L25" s="42">
        <f t="shared" si="10"/>
        <v>11.66</v>
      </c>
      <c r="M25" s="42">
        <f t="shared" si="11"/>
        <v>20.07</v>
      </c>
      <c r="N25" s="42">
        <f t="shared" si="12"/>
        <v>20.07</v>
      </c>
      <c r="O25" s="42">
        <f t="shared" si="13"/>
        <v>20.07</v>
      </c>
      <c r="P25" s="42">
        <f t="shared" si="14"/>
        <v>20.07</v>
      </c>
      <c r="Q25" s="223"/>
      <c r="R25" s="226"/>
    </row>
    <row r="26" spans="1:18" x14ac:dyDescent="0.25">
      <c r="A26" s="219">
        <v>21</v>
      </c>
      <c r="B26" s="42">
        <f t="shared" si="0"/>
        <v>63.489999999999995</v>
      </c>
      <c r="C26" s="42">
        <f t="shared" si="1"/>
        <v>70.73</v>
      </c>
      <c r="D26" s="42">
        <f t="shared" si="2"/>
        <v>81.31</v>
      </c>
      <c r="E26" s="42">
        <f t="shared" si="3"/>
        <v>99.03</v>
      </c>
      <c r="F26" s="42">
        <f t="shared" si="4"/>
        <v>170.16000000000003</v>
      </c>
      <c r="G26" s="42">
        <f t="shared" si="5"/>
        <v>15.57</v>
      </c>
      <c r="H26" s="42">
        <f t="shared" si="6"/>
        <v>15.57</v>
      </c>
      <c r="I26" s="42">
        <f t="shared" si="7"/>
        <v>15.57</v>
      </c>
      <c r="J26" s="42">
        <f t="shared" si="8"/>
        <v>15.57</v>
      </c>
      <c r="K26" s="42">
        <f t="shared" si="9"/>
        <v>11.71</v>
      </c>
      <c r="L26" s="42">
        <f t="shared" si="10"/>
        <v>11.71</v>
      </c>
      <c r="M26" s="42">
        <f t="shared" si="11"/>
        <v>20.12</v>
      </c>
      <c r="N26" s="42">
        <f t="shared" si="12"/>
        <v>20.12</v>
      </c>
      <c r="O26" s="42">
        <f t="shared" si="13"/>
        <v>20.12</v>
      </c>
      <c r="P26" s="42">
        <f t="shared" si="14"/>
        <v>20.12</v>
      </c>
      <c r="Q26" s="223"/>
      <c r="R26" s="226"/>
    </row>
    <row r="27" spans="1:18" x14ac:dyDescent="0.25">
      <c r="A27" s="219">
        <v>22</v>
      </c>
      <c r="B27" s="42">
        <f t="shared" si="0"/>
        <v>63.54</v>
      </c>
      <c r="C27" s="42">
        <f t="shared" si="1"/>
        <v>70.78</v>
      </c>
      <c r="D27" s="42">
        <f t="shared" si="2"/>
        <v>81.36</v>
      </c>
      <c r="E27" s="42">
        <f t="shared" si="3"/>
        <v>99.08</v>
      </c>
      <c r="F27" s="42">
        <f t="shared" si="4"/>
        <v>170.21</v>
      </c>
      <c r="G27" s="42">
        <f t="shared" si="5"/>
        <v>15.62</v>
      </c>
      <c r="H27" s="42">
        <f t="shared" si="6"/>
        <v>15.62</v>
      </c>
      <c r="I27" s="42">
        <f t="shared" si="7"/>
        <v>15.62</v>
      </c>
      <c r="J27" s="42">
        <f t="shared" si="8"/>
        <v>15.62</v>
      </c>
      <c r="K27" s="42">
        <f t="shared" si="9"/>
        <v>11.76</v>
      </c>
      <c r="L27" s="42">
        <f t="shared" si="10"/>
        <v>11.76</v>
      </c>
      <c r="M27" s="42">
        <f t="shared" si="11"/>
        <v>20.170000000000002</v>
      </c>
      <c r="N27" s="42">
        <f t="shared" si="12"/>
        <v>20.170000000000002</v>
      </c>
      <c r="O27" s="42">
        <f t="shared" si="13"/>
        <v>20.170000000000002</v>
      </c>
      <c r="P27" s="42">
        <f t="shared" si="14"/>
        <v>20.170000000000002</v>
      </c>
      <c r="Q27" s="223"/>
      <c r="R27" s="226"/>
    </row>
    <row r="28" spans="1:18" x14ac:dyDescent="0.25">
      <c r="A28" s="219">
        <v>23</v>
      </c>
      <c r="B28" s="42">
        <f t="shared" si="0"/>
        <v>63.589999999999996</v>
      </c>
      <c r="C28" s="42">
        <f t="shared" si="1"/>
        <v>70.830000000000013</v>
      </c>
      <c r="D28" s="42">
        <f t="shared" si="2"/>
        <v>81.410000000000011</v>
      </c>
      <c r="E28" s="42">
        <f t="shared" si="3"/>
        <v>99.13000000000001</v>
      </c>
      <c r="F28" s="42">
        <f t="shared" si="4"/>
        <v>170.26000000000002</v>
      </c>
      <c r="G28" s="42">
        <f t="shared" si="5"/>
        <v>15.67</v>
      </c>
      <c r="H28" s="42">
        <f t="shared" si="6"/>
        <v>15.67</v>
      </c>
      <c r="I28" s="42">
        <f t="shared" si="7"/>
        <v>15.67</v>
      </c>
      <c r="J28" s="42">
        <f t="shared" si="8"/>
        <v>15.67</v>
      </c>
      <c r="K28" s="42">
        <f t="shared" si="9"/>
        <v>11.81</v>
      </c>
      <c r="L28" s="42">
        <f t="shared" si="10"/>
        <v>11.81</v>
      </c>
      <c r="M28" s="42">
        <f t="shared" si="11"/>
        <v>20.22</v>
      </c>
      <c r="N28" s="42">
        <f t="shared" si="12"/>
        <v>20.22</v>
      </c>
      <c r="O28" s="42">
        <f t="shared" si="13"/>
        <v>20.22</v>
      </c>
      <c r="P28" s="42">
        <f t="shared" si="14"/>
        <v>20.22</v>
      </c>
      <c r="Q28" s="223"/>
      <c r="R28" s="226"/>
    </row>
    <row r="29" spans="1:18" x14ac:dyDescent="0.25">
      <c r="A29" s="219">
        <v>24</v>
      </c>
      <c r="B29" s="42">
        <f t="shared" si="0"/>
        <v>63.64</v>
      </c>
      <c r="C29" s="42">
        <f t="shared" si="1"/>
        <v>70.88000000000001</v>
      </c>
      <c r="D29" s="42">
        <f t="shared" si="2"/>
        <v>81.460000000000008</v>
      </c>
      <c r="E29" s="42">
        <f t="shared" si="3"/>
        <v>99.18</v>
      </c>
      <c r="F29" s="42">
        <f t="shared" si="4"/>
        <v>170.31</v>
      </c>
      <c r="G29" s="42">
        <f t="shared" si="5"/>
        <v>15.719999999999999</v>
      </c>
      <c r="H29" s="42">
        <f t="shared" si="6"/>
        <v>15.719999999999999</v>
      </c>
      <c r="I29" s="42">
        <f t="shared" si="7"/>
        <v>15.719999999999999</v>
      </c>
      <c r="J29" s="42">
        <f t="shared" si="8"/>
        <v>15.719999999999999</v>
      </c>
      <c r="K29" s="42">
        <f t="shared" si="9"/>
        <v>11.86</v>
      </c>
      <c r="L29" s="42">
        <f t="shared" si="10"/>
        <v>11.86</v>
      </c>
      <c r="M29" s="42">
        <f t="shared" si="11"/>
        <v>20.27</v>
      </c>
      <c r="N29" s="42">
        <f t="shared" si="12"/>
        <v>20.27</v>
      </c>
      <c r="O29" s="42">
        <f t="shared" si="13"/>
        <v>20.27</v>
      </c>
      <c r="P29" s="42">
        <f t="shared" si="14"/>
        <v>20.27</v>
      </c>
      <c r="Q29" s="223"/>
      <c r="R29" s="226"/>
    </row>
    <row r="30" spans="1:18" x14ac:dyDescent="0.25">
      <c r="A30" s="219">
        <v>25</v>
      </c>
      <c r="B30" s="42">
        <f t="shared" si="0"/>
        <v>63.69</v>
      </c>
      <c r="C30" s="42">
        <f t="shared" si="1"/>
        <v>70.930000000000007</v>
      </c>
      <c r="D30" s="42">
        <f t="shared" si="2"/>
        <v>81.510000000000005</v>
      </c>
      <c r="E30" s="42">
        <f t="shared" si="3"/>
        <v>99.23</v>
      </c>
      <c r="F30" s="42">
        <f t="shared" si="4"/>
        <v>170.36</v>
      </c>
      <c r="G30" s="42">
        <f t="shared" si="5"/>
        <v>15.77</v>
      </c>
      <c r="H30" s="42">
        <f t="shared" si="6"/>
        <v>15.77</v>
      </c>
      <c r="I30" s="42">
        <f t="shared" si="7"/>
        <v>15.77</v>
      </c>
      <c r="J30" s="42">
        <f t="shared" si="8"/>
        <v>15.77</v>
      </c>
      <c r="K30" s="42">
        <f t="shared" si="9"/>
        <v>11.91</v>
      </c>
      <c r="L30" s="42">
        <f t="shared" si="10"/>
        <v>11.91</v>
      </c>
      <c r="M30" s="42">
        <f t="shared" si="11"/>
        <v>20.32</v>
      </c>
      <c r="N30" s="42">
        <f t="shared" si="12"/>
        <v>20.32</v>
      </c>
      <c r="O30" s="42">
        <f t="shared" si="13"/>
        <v>20.32</v>
      </c>
      <c r="P30" s="42">
        <f t="shared" si="14"/>
        <v>20.32</v>
      </c>
      <c r="Q30" s="223"/>
      <c r="R30" s="226"/>
    </row>
    <row r="31" spans="1:18" x14ac:dyDescent="0.25">
      <c r="A31" s="221"/>
      <c r="B31" s="102"/>
      <c r="C31" s="102"/>
      <c r="D31" s="102"/>
      <c r="E31" s="102"/>
      <c r="F31" s="102"/>
      <c r="G31" s="102"/>
      <c r="H31" s="102"/>
      <c r="I31" s="102"/>
      <c r="J31" s="102"/>
      <c r="K31" s="102"/>
      <c r="L31" s="102"/>
      <c r="M31" s="102"/>
      <c r="N31" s="102"/>
      <c r="O31" s="102"/>
      <c r="P31" s="102"/>
      <c r="Q31" s="102"/>
      <c r="R31" s="215"/>
    </row>
    <row r="32" spans="1:18" ht="49.95" customHeight="1" thickBot="1" x14ac:dyDescent="0.3">
      <c r="A32" s="508" t="s">
        <v>54</v>
      </c>
      <c r="B32" s="509"/>
      <c r="C32" s="509"/>
      <c r="D32" s="509"/>
      <c r="E32" s="509"/>
      <c r="F32" s="509"/>
      <c r="G32" s="509"/>
      <c r="H32" s="509"/>
      <c r="I32" s="509"/>
      <c r="J32" s="509"/>
      <c r="K32" s="509"/>
      <c r="L32" s="509"/>
      <c r="M32" s="509"/>
      <c r="N32" s="509"/>
      <c r="O32" s="509"/>
      <c r="P32" s="509"/>
      <c r="Q32" s="216"/>
      <c r="R32" s="217"/>
    </row>
    <row r="33" spans="1:18" ht="6.75" customHeight="1" thickBot="1" x14ac:dyDescent="0.3">
      <c r="A33" s="214"/>
      <c r="B33" s="214"/>
      <c r="C33" s="214"/>
      <c r="D33" s="214"/>
      <c r="E33" s="214"/>
      <c r="F33" s="214"/>
      <c r="G33" s="214"/>
      <c r="H33" s="214"/>
      <c r="I33" s="214"/>
      <c r="J33" s="214"/>
      <c r="K33" s="214"/>
      <c r="L33" s="214"/>
      <c r="M33" s="214"/>
      <c r="N33" s="214"/>
      <c r="O33" s="214"/>
      <c r="P33" s="214"/>
      <c r="Q33" s="214"/>
      <c r="R33" s="214"/>
    </row>
    <row r="34" spans="1:18" ht="17.399999999999999" x14ac:dyDescent="0.3">
      <c r="A34" s="499"/>
      <c r="B34" s="500"/>
      <c r="C34" s="500"/>
      <c r="D34" s="500"/>
      <c r="E34" s="500"/>
      <c r="F34" s="500"/>
      <c r="G34" s="500"/>
      <c r="H34" s="500"/>
      <c r="I34" s="500"/>
      <c r="J34" s="500"/>
      <c r="K34" s="500"/>
      <c r="L34" s="500"/>
      <c r="M34" s="500"/>
      <c r="N34" s="500"/>
      <c r="O34" s="500"/>
      <c r="P34" s="500"/>
      <c r="Q34" s="500"/>
      <c r="R34" s="501"/>
    </row>
    <row r="35" spans="1:18" x14ac:dyDescent="0.25">
      <c r="A35" s="221"/>
      <c r="B35" s="505" t="s">
        <v>51</v>
      </c>
      <c r="C35" s="506"/>
      <c r="D35" s="506"/>
      <c r="E35" s="506"/>
      <c r="F35" s="506"/>
      <c r="G35" s="506"/>
      <c r="H35" s="506"/>
      <c r="I35" s="506"/>
      <c r="J35" s="506"/>
      <c r="K35" s="506"/>
      <c r="L35" s="506"/>
      <c r="M35" s="506"/>
      <c r="N35" s="506"/>
      <c r="O35" s="506"/>
      <c r="P35" s="507"/>
      <c r="Q35" s="161"/>
      <c r="R35" s="215"/>
    </row>
    <row r="36" spans="1:18" ht="92.4" x14ac:dyDescent="0.25">
      <c r="A36" s="237" t="s">
        <v>52</v>
      </c>
      <c r="B36" s="227" t="s">
        <v>149</v>
      </c>
      <c r="C36" s="227" t="s">
        <v>148</v>
      </c>
      <c r="D36" s="227" t="s">
        <v>147</v>
      </c>
      <c r="E36" s="227" t="s">
        <v>146</v>
      </c>
      <c r="F36" s="227" t="s">
        <v>145</v>
      </c>
      <c r="G36" s="227" t="s">
        <v>152</v>
      </c>
      <c r="H36" s="228" t="s">
        <v>138</v>
      </c>
      <c r="I36" s="229" t="s">
        <v>137</v>
      </c>
      <c r="J36" s="227" t="s">
        <v>171</v>
      </c>
      <c r="K36" s="227" t="s">
        <v>144</v>
      </c>
      <c r="L36" s="227" t="s">
        <v>155</v>
      </c>
      <c r="M36" s="227" t="s">
        <v>151</v>
      </c>
      <c r="N36" s="227" t="s">
        <v>154</v>
      </c>
      <c r="O36" s="227" t="s">
        <v>150</v>
      </c>
      <c r="P36" s="227" t="s">
        <v>153</v>
      </c>
      <c r="Q36" s="179"/>
      <c r="R36" s="224"/>
    </row>
    <row r="37" spans="1:18" x14ac:dyDescent="0.25">
      <c r="A37" s="219">
        <v>0</v>
      </c>
      <c r="B37" s="39">
        <v>62.44</v>
      </c>
      <c r="C37" s="39">
        <v>69.680000000000007</v>
      </c>
      <c r="D37" s="39">
        <v>80.260000000000005</v>
      </c>
      <c r="E37" s="39">
        <v>98.82</v>
      </c>
      <c r="F37" s="39">
        <v>175.69</v>
      </c>
      <c r="G37" s="39">
        <f>16.07</f>
        <v>16.07</v>
      </c>
      <c r="H37" s="39">
        <v>16.07</v>
      </c>
      <c r="I37" s="218">
        <v>14.52</v>
      </c>
      <c r="J37" s="218">
        <f>14.52</f>
        <v>14.52</v>
      </c>
      <c r="K37" s="39">
        <v>10.66</v>
      </c>
      <c r="L37" s="39">
        <v>10.66</v>
      </c>
      <c r="M37" s="41">
        <v>19.07</v>
      </c>
      <c r="N37" s="41">
        <v>19.07</v>
      </c>
      <c r="O37" s="41">
        <v>19.07</v>
      </c>
      <c r="P37" s="41">
        <v>19.07</v>
      </c>
      <c r="Q37" s="222"/>
      <c r="R37" s="225"/>
    </row>
    <row r="38" spans="1:18" x14ac:dyDescent="0.25">
      <c r="A38" s="220">
        <v>1</v>
      </c>
      <c r="B38" s="42">
        <f>SUM(A38*0.05)+62.44</f>
        <v>62.489999999999995</v>
      </c>
      <c r="C38" s="42">
        <f>SUM(A38*0.05)+69.68</f>
        <v>69.73</v>
      </c>
      <c r="D38" s="42">
        <f>SUM(A38*0.05)+80.26</f>
        <v>80.31</v>
      </c>
      <c r="E38" s="42">
        <f>SUM(A38*0.05)+98.82</f>
        <v>98.86999999999999</v>
      </c>
      <c r="F38" s="42">
        <f>SUM(A38*0.05)+175.69</f>
        <v>175.74</v>
      </c>
      <c r="G38" s="42">
        <f>SUM(A38*0.05)+16.07</f>
        <v>16.12</v>
      </c>
      <c r="H38" s="42">
        <f>SUM(A38*0.05)+16.07</f>
        <v>16.12</v>
      </c>
      <c r="I38" s="42">
        <f>SUM(A38*0.05)+14.52</f>
        <v>14.57</v>
      </c>
      <c r="J38" s="42">
        <f>SUM(A38*0.05)+14.52</f>
        <v>14.57</v>
      </c>
      <c r="K38" s="42">
        <f>SUM(A38*0.05)+10.66</f>
        <v>10.71</v>
      </c>
      <c r="L38" s="42">
        <f>SUM(A38*0.05)+10.66</f>
        <v>10.71</v>
      </c>
      <c r="M38" s="42">
        <f>SUM(A38*0.05)+19.07</f>
        <v>19.12</v>
      </c>
      <c r="N38" s="42">
        <f>(A38*0.05)+19.07</f>
        <v>19.12</v>
      </c>
      <c r="O38" s="42">
        <f>SUM(A38*0.05)+19.07</f>
        <v>19.12</v>
      </c>
      <c r="P38" s="42">
        <f>SUM(A38*0.05)+19.07</f>
        <v>19.12</v>
      </c>
      <c r="Q38" s="223"/>
      <c r="R38" s="226"/>
    </row>
    <row r="39" spans="1:18" x14ac:dyDescent="0.25">
      <c r="A39" s="219">
        <v>2</v>
      </c>
      <c r="B39" s="42">
        <f t="shared" ref="B39:B62" si="15">SUM(A39*0.05)+62.44</f>
        <v>62.54</v>
      </c>
      <c r="C39" s="42">
        <f t="shared" ref="C39:C62" si="16">SUM(A39*0.05)+69.68</f>
        <v>69.78</v>
      </c>
      <c r="D39" s="42">
        <f t="shared" ref="D39:D62" si="17">SUM(A39*0.05)+80.26</f>
        <v>80.36</v>
      </c>
      <c r="E39" s="42">
        <f t="shared" ref="E39:E62" si="18">SUM(A39*0.05)+98.82</f>
        <v>98.919999999999987</v>
      </c>
      <c r="F39" s="42">
        <f t="shared" ref="F39:F62" si="19">SUM(A39*0.05)+175.69</f>
        <v>175.79</v>
      </c>
      <c r="G39" s="42">
        <f t="shared" ref="G39:G62" si="20">SUM(A39*0.05)+16.07</f>
        <v>16.170000000000002</v>
      </c>
      <c r="H39" s="42">
        <f t="shared" ref="H39:H62" si="21">SUM(A39*0.05)+16.07</f>
        <v>16.170000000000002</v>
      </c>
      <c r="I39" s="42">
        <f t="shared" ref="I39:I62" si="22">SUM(A39*0.05)+14.52</f>
        <v>14.62</v>
      </c>
      <c r="J39" s="42">
        <f t="shared" ref="J39:J62" si="23">SUM(A39*0.05)+14.52</f>
        <v>14.62</v>
      </c>
      <c r="K39" s="42">
        <f t="shared" ref="K39:K62" si="24">SUM(A39*0.05)+10.66</f>
        <v>10.76</v>
      </c>
      <c r="L39" s="42">
        <f t="shared" ref="L39:L62" si="25">SUM(A39*0.05)+10.66</f>
        <v>10.76</v>
      </c>
      <c r="M39" s="42">
        <f t="shared" ref="M39:M62" si="26">SUM(A39*0.05)+19.07</f>
        <v>19.170000000000002</v>
      </c>
      <c r="N39" s="42">
        <f t="shared" ref="N39:N62" si="27">(A39*0.05)+19.07</f>
        <v>19.170000000000002</v>
      </c>
      <c r="O39" s="42">
        <f t="shared" ref="O39:O62" si="28">SUM(A39*0.05)+19.07</f>
        <v>19.170000000000002</v>
      </c>
      <c r="P39" s="42">
        <f t="shared" ref="P39:P62" si="29">SUM(A39*0.05)+19.07</f>
        <v>19.170000000000002</v>
      </c>
      <c r="Q39" s="223"/>
      <c r="R39" s="226"/>
    </row>
    <row r="40" spans="1:18" x14ac:dyDescent="0.25">
      <c r="A40" s="219">
        <v>3</v>
      </c>
      <c r="B40" s="42">
        <f t="shared" si="15"/>
        <v>62.589999999999996</v>
      </c>
      <c r="C40" s="42">
        <f t="shared" si="16"/>
        <v>69.830000000000013</v>
      </c>
      <c r="D40" s="42">
        <f t="shared" si="17"/>
        <v>80.410000000000011</v>
      </c>
      <c r="E40" s="42">
        <f t="shared" si="18"/>
        <v>98.97</v>
      </c>
      <c r="F40" s="42">
        <f t="shared" si="19"/>
        <v>175.84</v>
      </c>
      <c r="G40" s="42">
        <f t="shared" si="20"/>
        <v>16.22</v>
      </c>
      <c r="H40" s="42">
        <f t="shared" si="21"/>
        <v>16.22</v>
      </c>
      <c r="I40" s="42">
        <f t="shared" si="22"/>
        <v>14.67</v>
      </c>
      <c r="J40" s="42">
        <f t="shared" si="23"/>
        <v>14.67</v>
      </c>
      <c r="K40" s="42">
        <f t="shared" si="24"/>
        <v>10.81</v>
      </c>
      <c r="L40" s="42">
        <f t="shared" si="25"/>
        <v>10.81</v>
      </c>
      <c r="M40" s="42">
        <f t="shared" si="26"/>
        <v>19.22</v>
      </c>
      <c r="N40" s="42">
        <f t="shared" si="27"/>
        <v>19.22</v>
      </c>
      <c r="O40" s="42">
        <f t="shared" si="28"/>
        <v>19.22</v>
      </c>
      <c r="P40" s="42">
        <f t="shared" si="29"/>
        <v>19.22</v>
      </c>
      <c r="Q40" s="223"/>
      <c r="R40" s="226"/>
    </row>
    <row r="41" spans="1:18" x14ac:dyDescent="0.25">
      <c r="A41" s="219">
        <v>4</v>
      </c>
      <c r="B41" s="42">
        <f t="shared" si="15"/>
        <v>62.64</v>
      </c>
      <c r="C41" s="42">
        <f t="shared" si="16"/>
        <v>69.88000000000001</v>
      </c>
      <c r="D41" s="42">
        <f t="shared" si="17"/>
        <v>80.460000000000008</v>
      </c>
      <c r="E41" s="42">
        <f t="shared" si="18"/>
        <v>99.02</v>
      </c>
      <c r="F41" s="42">
        <f t="shared" si="19"/>
        <v>175.89</v>
      </c>
      <c r="G41" s="42">
        <f t="shared" si="20"/>
        <v>16.27</v>
      </c>
      <c r="H41" s="42">
        <f t="shared" si="21"/>
        <v>16.27</v>
      </c>
      <c r="I41" s="42">
        <f t="shared" si="22"/>
        <v>14.719999999999999</v>
      </c>
      <c r="J41" s="42">
        <f t="shared" si="23"/>
        <v>14.719999999999999</v>
      </c>
      <c r="K41" s="42">
        <f t="shared" si="24"/>
        <v>10.86</v>
      </c>
      <c r="L41" s="42">
        <f t="shared" si="25"/>
        <v>10.86</v>
      </c>
      <c r="M41" s="42">
        <f t="shared" si="26"/>
        <v>19.27</v>
      </c>
      <c r="N41" s="42">
        <f t="shared" si="27"/>
        <v>19.27</v>
      </c>
      <c r="O41" s="42">
        <f t="shared" si="28"/>
        <v>19.27</v>
      </c>
      <c r="P41" s="42">
        <f t="shared" si="29"/>
        <v>19.27</v>
      </c>
      <c r="Q41" s="223"/>
      <c r="R41" s="226"/>
    </row>
    <row r="42" spans="1:18" x14ac:dyDescent="0.25">
      <c r="A42" s="219">
        <v>5</v>
      </c>
      <c r="B42" s="42">
        <f t="shared" si="15"/>
        <v>62.69</v>
      </c>
      <c r="C42" s="42">
        <f t="shared" si="16"/>
        <v>69.930000000000007</v>
      </c>
      <c r="D42" s="42">
        <f t="shared" si="17"/>
        <v>80.510000000000005</v>
      </c>
      <c r="E42" s="42">
        <f t="shared" si="18"/>
        <v>99.07</v>
      </c>
      <c r="F42" s="42">
        <f t="shared" si="19"/>
        <v>175.94</v>
      </c>
      <c r="G42" s="42">
        <f t="shared" si="20"/>
        <v>16.32</v>
      </c>
      <c r="H42" s="42">
        <f t="shared" si="21"/>
        <v>16.32</v>
      </c>
      <c r="I42" s="42">
        <f t="shared" si="22"/>
        <v>14.77</v>
      </c>
      <c r="J42" s="42">
        <f t="shared" si="23"/>
        <v>14.77</v>
      </c>
      <c r="K42" s="42">
        <f t="shared" si="24"/>
        <v>10.91</v>
      </c>
      <c r="L42" s="42">
        <f t="shared" si="25"/>
        <v>10.91</v>
      </c>
      <c r="M42" s="42">
        <f t="shared" si="26"/>
        <v>19.32</v>
      </c>
      <c r="N42" s="42">
        <f t="shared" si="27"/>
        <v>19.32</v>
      </c>
      <c r="O42" s="42">
        <f t="shared" si="28"/>
        <v>19.32</v>
      </c>
      <c r="P42" s="42">
        <f t="shared" si="29"/>
        <v>19.32</v>
      </c>
      <c r="Q42" s="223"/>
      <c r="R42" s="226"/>
    </row>
    <row r="43" spans="1:18" x14ac:dyDescent="0.25">
      <c r="A43" s="219">
        <v>6</v>
      </c>
      <c r="B43" s="42">
        <f t="shared" si="15"/>
        <v>62.739999999999995</v>
      </c>
      <c r="C43" s="42">
        <f t="shared" si="16"/>
        <v>69.98</v>
      </c>
      <c r="D43" s="42">
        <f t="shared" si="17"/>
        <v>80.56</v>
      </c>
      <c r="E43" s="42">
        <f t="shared" si="18"/>
        <v>99.11999999999999</v>
      </c>
      <c r="F43" s="42">
        <f t="shared" si="19"/>
        <v>175.99</v>
      </c>
      <c r="G43" s="42">
        <f t="shared" si="20"/>
        <v>16.37</v>
      </c>
      <c r="H43" s="42">
        <f t="shared" si="21"/>
        <v>16.37</v>
      </c>
      <c r="I43" s="42">
        <f t="shared" si="22"/>
        <v>14.82</v>
      </c>
      <c r="J43" s="42">
        <f t="shared" si="23"/>
        <v>14.82</v>
      </c>
      <c r="K43" s="42">
        <f t="shared" si="24"/>
        <v>10.96</v>
      </c>
      <c r="L43" s="42">
        <f t="shared" si="25"/>
        <v>10.96</v>
      </c>
      <c r="M43" s="42">
        <f t="shared" si="26"/>
        <v>19.37</v>
      </c>
      <c r="N43" s="42">
        <f t="shared" si="27"/>
        <v>19.37</v>
      </c>
      <c r="O43" s="42">
        <f t="shared" si="28"/>
        <v>19.37</v>
      </c>
      <c r="P43" s="42">
        <f t="shared" si="29"/>
        <v>19.37</v>
      </c>
      <c r="Q43" s="223"/>
      <c r="R43" s="226"/>
    </row>
    <row r="44" spans="1:18" x14ac:dyDescent="0.25">
      <c r="A44" s="219">
        <v>7</v>
      </c>
      <c r="B44" s="42">
        <f t="shared" si="15"/>
        <v>62.79</v>
      </c>
      <c r="C44" s="42">
        <f t="shared" si="16"/>
        <v>70.03</v>
      </c>
      <c r="D44" s="42">
        <f t="shared" si="17"/>
        <v>80.61</v>
      </c>
      <c r="E44" s="42">
        <f t="shared" si="18"/>
        <v>99.169999999999987</v>
      </c>
      <c r="F44" s="42">
        <f t="shared" si="19"/>
        <v>176.04</v>
      </c>
      <c r="G44" s="42">
        <f t="shared" si="20"/>
        <v>16.420000000000002</v>
      </c>
      <c r="H44" s="42">
        <f t="shared" si="21"/>
        <v>16.420000000000002</v>
      </c>
      <c r="I44" s="42">
        <f t="shared" si="22"/>
        <v>14.87</v>
      </c>
      <c r="J44" s="42">
        <f t="shared" si="23"/>
        <v>14.87</v>
      </c>
      <c r="K44" s="42">
        <f t="shared" si="24"/>
        <v>11.01</v>
      </c>
      <c r="L44" s="42">
        <f t="shared" si="25"/>
        <v>11.01</v>
      </c>
      <c r="M44" s="42">
        <f t="shared" si="26"/>
        <v>19.420000000000002</v>
      </c>
      <c r="N44" s="42">
        <f t="shared" si="27"/>
        <v>19.420000000000002</v>
      </c>
      <c r="O44" s="42">
        <f t="shared" si="28"/>
        <v>19.420000000000002</v>
      </c>
      <c r="P44" s="42">
        <f t="shared" si="29"/>
        <v>19.420000000000002</v>
      </c>
      <c r="Q44" s="223"/>
      <c r="R44" s="226"/>
    </row>
    <row r="45" spans="1:18" x14ac:dyDescent="0.25">
      <c r="A45" s="219">
        <v>8</v>
      </c>
      <c r="B45" s="42">
        <f t="shared" si="15"/>
        <v>62.839999999999996</v>
      </c>
      <c r="C45" s="42">
        <f t="shared" si="16"/>
        <v>70.080000000000013</v>
      </c>
      <c r="D45" s="42">
        <f t="shared" si="17"/>
        <v>80.660000000000011</v>
      </c>
      <c r="E45" s="42">
        <f t="shared" si="18"/>
        <v>99.22</v>
      </c>
      <c r="F45" s="42">
        <f t="shared" si="19"/>
        <v>176.09</v>
      </c>
      <c r="G45" s="42">
        <f t="shared" si="20"/>
        <v>16.47</v>
      </c>
      <c r="H45" s="42">
        <f t="shared" si="21"/>
        <v>16.47</v>
      </c>
      <c r="I45" s="42">
        <f t="shared" si="22"/>
        <v>14.92</v>
      </c>
      <c r="J45" s="42">
        <f t="shared" si="23"/>
        <v>14.92</v>
      </c>
      <c r="K45" s="42">
        <f t="shared" si="24"/>
        <v>11.06</v>
      </c>
      <c r="L45" s="42">
        <f t="shared" si="25"/>
        <v>11.06</v>
      </c>
      <c r="M45" s="42">
        <f t="shared" si="26"/>
        <v>19.47</v>
      </c>
      <c r="N45" s="42">
        <f t="shared" si="27"/>
        <v>19.47</v>
      </c>
      <c r="O45" s="42">
        <f t="shared" si="28"/>
        <v>19.47</v>
      </c>
      <c r="P45" s="42">
        <f t="shared" si="29"/>
        <v>19.47</v>
      </c>
      <c r="Q45" s="223"/>
      <c r="R45" s="226"/>
    </row>
    <row r="46" spans="1:18" x14ac:dyDescent="0.25">
      <c r="A46" s="219">
        <v>9</v>
      </c>
      <c r="B46" s="42">
        <f t="shared" si="15"/>
        <v>62.89</v>
      </c>
      <c r="C46" s="42">
        <f t="shared" si="16"/>
        <v>70.13000000000001</v>
      </c>
      <c r="D46" s="42">
        <f t="shared" si="17"/>
        <v>80.710000000000008</v>
      </c>
      <c r="E46" s="42">
        <f t="shared" si="18"/>
        <v>99.27</v>
      </c>
      <c r="F46" s="42">
        <f t="shared" si="19"/>
        <v>176.14</v>
      </c>
      <c r="G46" s="42">
        <f t="shared" si="20"/>
        <v>16.52</v>
      </c>
      <c r="H46" s="42">
        <f t="shared" si="21"/>
        <v>16.52</v>
      </c>
      <c r="I46" s="42">
        <f t="shared" si="22"/>
        <v>14.969999999999999</v>
      </c>
      <c r="J46" s="42">
        <f t="shared" si="23"/>
        <v>14.969999999999999</v>
      </c>
      <c r="K46" s="42">
        <f t="shared" si="24"/>
        <v>11.11</v>
      </c>
      <c r="L46" s="42">
        <f t="shared" si="25"/>
        <v>11.11</v>
      </c>
      <c r="M46" s="42">
        <f t="shared" si="26"/>
        <v>19.52</v>
      </c>
      <c r="N46" s="42">
        <f t="shared" si="27"/>
        <v>19.52</v>
      </c>
      <c r="O46" s="42">
        <f t="shared" si="28"/>
        <v>19.52</v>
      </c>
      <c r="P46" s="42">
        <f t="shared" si="29"/>
        <v>19.52</v>
      </c>
      <c r="Q46" s="223"/>
      <c r="R46" s="226"/>
    </row>
    <row r="47" spans="1:18" x14ac:dyDescent="0.25">
      <c r="A47" s="219">
        <v>10</v>
      </c>
      <c r="B47" s="42">
        <f t="shared" si="15"/>
        <v>62.94</v>
      </c>
      <c r="C47" s="42">
        <f t="shared" si="16"/>
        <v>70.180000000000007</v>
      </c>
      <c r="D47" s="42">
        <f t="shared" si="17"/>
        <v>80.760000000000005</v>
      </c>
      <c r="E47" s="42">
        <f t="shared" si="18"/>
        <v>99.32</v>
      </c>
      <c r="F47" s="42">
        <f t="shared" si="19"/>
        <v>176.19</v>
      </c>
      <c r="G47" s="42">
        <f t="shared" si="20"/>
        <v>16.57</v>
      </c>
      <c r="H47" s="42">
        <f t="shared" si="21"/>
        <v>16.57</v>
      </c>
      <c r="I47" s="42">
        <f t="shared" si="22"/>
        <v>15.02</v>
      </c>
      <c r="J47" s="42">
        <f t="shared" si="23"/>
        <v>15.02</v>
      </c>
      <c r="K47" s="42">
        <f t="shared" si="24"/>
        <v>11.16</v>
      </c>
      <c r="L47" s="42">
        <f t="shared" si="25"/>
        <v>11.16</v>
      </c>
      <c r="M47" s="42">
        <f t="shared" si="26"/>
        <v>19.57</v>
      </c>
      <c r="N47" s="42">
        <f t="shared" si="27"/>
        <v>19.57</v>
      </c>
      <c r="O47" s="42">
        <f t="shared" si="28"/>
        <v>19.57</v>
      </c>
      <c r="P47" s="42">
        <f t="shared" si="29"/>
        <v>19.57</v>
      </c>
      <c r="Q47" s="223"/>
      <c r="R47" s="226"/>
    </row>
    <row r="48" spans="1:18" x14ac:dyDescent="0.25">
      <c r="A48" s="219">
        <v>11</v>
      </c>
      <c r="B48" s="42">
        <f t="shared" si="15"/>
        <v>62.989999999999995</v>
      </c>
      <c r="C48" s="42">
        <f t="shared" si="16"/>
        <v>70.23</v>
      </c>
      <c r="D48" s="42">
        <f t="shared" si="17"/>
        <v>80.81</v>
      </c>
      <c r="E48" s="42">
        <f t="shared" si="18"/>
        <v>99.36999999999999</v>
      </c>
      <c r="F48" s="42">
        <f t="shared" si="19"/>
        <v>176.24</v>
      </c>
      <c r="G48" s="42">
        <f t="shared" si="20"/>
        <v>16.62</v>
      </c>
      <c r="H48" s="42">
        <f t="shared" si="21"/>
        <v>16.62</v>
      </c>
      <c r="I48" s="42">
        <f t="shared" si="22"/>
        <v>15.07</v>
      </c>
      <c r="J48" s="42">
        <f t="shared" si="23"/>
        <v>15.07</v>
      </c>
      <c r="K48" s="42">
        <f t="shared" si="24"/>
        <v>11.21</v>
      </c>
      <c r="L48" s="42">
        <f t="shared" si="25"/>
        <v>11.21</v>
      </c>
      <c r="M48" s="42">
        <f t="shared" si="26"/>
        <v>19.62</v>
      </c>
      <c r="N48" s="42">
        <f t="shared" si="27"/>
        <v>19.62</v>
      </c>
      <c r="O48" s="42">
        <f t="shared" si="28"/>
        <v>19.62</v>
      </c>
      <c r="P48" s="42">
        <f t="shared" si="29"/>
        <v>19.62</v>
      </c>
      <c r="Q48" s="223"/>
      <c r="R48" s="226"/>
    </row>
    <row r="49" spans="1:18" x14ac:dyDescent="0.25">
      <c r="A49" s="219">
        <v>12</v>
      </c>
      <c r="B49" s="42">
        <f t="shared" si="15"/>
        <v>63.04</v>
      </c>
      <c r="C49" s="42">
        <f t="shared" si="16"/>
        <v>70.28</v>
      </c>
      <c r="D49" s="42">
        <f t="shared" si="17"/>
        <v>80.86</v>
      </c>
      <c r="E49" s="42">
        <f t="shared" si="18"/>
        <v>99.419999999999987</v>
      </c>
      <c r="F49" s="42">
        <f t="shared" si="19"/>
        <v>176.29</v>
      </c>
      <c r="G49" s="42">
        <f t="shared" si="20"/>
        <v>16.670000000000002</v>
      </c>
      <c r="H49" s="42">
        <f t="shared" si="21"/>
        <v>16.670000000000002</v>
      </c>
      <c r="I49" s="42">
        <f t="shared" si="22"/>
        <v>15.12</v>
      </c>
      <c r="J49" s="42">
        <f t="shared" si="23"/>
        <v>15.12</v>
      </c>
      <c r="K49" s="42">
        <f t="shared" si="24"/>
        <v>11.26</v>
      </c>
      <c r="L49" s="42">
        <f t="shared" si="25"/>
        <v>11.26</v>
      </c>
      <c r="M49" s="42">
        <f t="shared" si="26"/>
        <v>19.670000000000002</v>
      </c>
      <c r="N49" s="42">
        <f t="shared" si="27"/>
        <v>19.670000000000002</v>
      </c>
      <c r="O49" s="42">
        <f t="shared" si="28"/>
        <v>19.670000000000002</v>
      </c>
      <c r="P49" s="42">
        <f t="shared" si="29"/>
        <v>19.670000000000002</v>
      </c>
      <c r="Q49" s="223"/>
      <c r="R49" s="226"/>
    </row>
    <row r="50" spans="1:18" x14ac:dyDescent="0.25">
      <c r="A50" s="219">
        <v>13</v>
      </c>
      <c r="B50" s="42">
        <f t="shared" si="15"/>
        <v>63.089999999999996</v>
      </c>
      <c r="C50" s="42">
        <f t="shared" si="16"/>
        <v>70.330000000000013</v>
      </c>
      <c r="D50" s="42">
        <f t="shared" si="17"/>
        <v>80.910000000000011</v>
      </c>
      <c r="E50" s="42">
        <f t="shared" si="18"/>
        <v>99.47</v>
      </c>
      <c r="F50" s="42">
        <f t="shared" si="19"/>
        <v>176.34</v>
      </c>
      <c r="G50" s="42">
        <f t="shared" si="20"/>
        <v>16.72</v>
      </c>
      <c r="H50" s="42">
        <f t="shared" si="21"/>
        <v>16.72</v>
      </c>
      <c r="I50" s="42">
        <f t="shared" si="22"/>
        <v>15.17</v>
      </c>
      <c r="J50" s="42">
        <f t="shared" si="23"/>
        <v>15.17</v>
      </c>
      <c r="K50" s="42">
        <f t="shared" si="24"/>
        <v>11.31</v>
      </c>
      <c r="L50" s="42">
        <f t="shared" si="25"/>
        <v>11.31</v>
      </c>
      <c r="M50" s="42">
        <f t="shared" si="26"/>
        <v>19.72</v>
      </c>
      <c r="N50" s="42">
        <f t="shared" si="27"/>
        <v>19.72</v>
      </c>
      <c r="O50" s="42">
        <f t="shared" si="28"/>
        <v>19.72</v>
      </c>
      <c r="P50" s="42">
        <f t="shared" si="29"/>
        <v>19.72</v>
      </c>
      <c r="Q50" s="223"/>
      <c r="R50" s="226"/>
    </row>
    <row r="51" spans="1:18" x14ac:dyDescent="0.25">
      <c r="A51" s="219">
        <v>14</v>
      </c>
      <c r="B51" s="42">
        <f t="shared" si="15"/>
        <v>63.14</v>
      </c>
      <c r="C51" s="42">
        <f t="shared" si="16"/>
        <v>70.38000000000001</v>
      </c>
      <c r="D51" s="42">
        <f t="shared" si="17"/>
        <v>80.960000000000008</v>
      </c>
      <c r="E51" s="42">
        <f t="shared" si="18"/>
        <v>99.52</v>
      </c>
      <c r="F51" s="42">
        <f t="shared" si="19"/>
        <v>176.39</v>
      </c>
      <c r="G51" s="42">
        <f t="shared" si="20"/>
        <v>16.77</v>
      </c>
      <c r="H51" s="42">
        <f t="shared" si="21"/>
        <v>16.77</v>
      </c>
      <c r="I51" s="42">
        <f t="shared" si="22"/>
        <v>15.219999999999999</v>
      </c>
      <c r="J51" s="42">
        <f t="shared" si="23"/>
        <v>15.219999999999999</v>
      </c>
      <c r="K51" s="42">
        <f t="shared" si="24"/>
        <v>11.36</v>
      </c>
      <c r="L51" s="42">
        <f t="shared" si="25"/>
        <v>11.36</v>
      </c>
      <c r="M51" s="42">
        <f t="shared" si="26"/>
        <v>19.77</v>
      </c>
      <c r="N51" s="42">
        <f t="shared" si="27"/>
        <v>19.77</v>
      </c>
      <c r="O51" s="42">
        <f t="shared" si="28"/>
        <v>19.77</v>
      </c>
      <c r="P51" s="42">
        <f t="shared" si="29"/>
        <v>19.77</v>
      </c>
      <c r="Q51" s="223"/>
      <c r="R51" s="226"/>
    </row>
    <row r="52" spans="1:18" x14ac:dyDescent="0.25">
      <c r="A52" s="219">
        <v>15</v>
      </c>
      <c r="B52" s="42">
        <f t="shared" si="15"/>
        <v>63.19</v>
      </c>
      <c r="C52" s="42">
        <f t="shared" si="16"/>
        <v>70.430000000000007</v>
      </c>
      <c r="D52" s="42">
        <f t="shared" si="17"/>
        <v>81.010000000000005</v>
      </c>
      <c r="E52" s="42">
        <f t="shared" si="18"/>
        <v>99.57</v>
      </c>
      <c r="F52" s="42">
        <f t="shared" si="19"/>
        <v>176.44</v>
      </c>
      <c r="G52" s="42">
        <f t="shared" si="20"/>
        <v>16.82</v>
      </c>
      <c r="H52" s="42">
        <f t="shared" si="21"/>
        <v>16.82</v>
      </c>
      <c r="I52" s="42">
        <f t="shared" si="22"/>
        <v>15.27</v>
      </c>
      <c r="J52" s="42">
        <f t="shared" si="23"/>
        <v>15.27</v>
      </c>
      <c r="K52" s="42">
        <f t="shared" si="24"/>
        <v>11.41</v>
      </c>
      <c r="L52" s="42">
        <f t="shared" si="25"/>
        <v>11.41</v>
      </c>
      <c r="M52" s="42">
        <f t="shared" si="26"/>
        <v>19.82</v>
      </c>
      <c r="N52" s="42">
        <f t="shared" si="27"/>
        <v>19.82</v>
      </c>
      <c r="O52" s="42">
        <f t="shared" si="28"/>
        <v>19.82</v>
      </c>
      <c r="P52" s="42">
        <f t="shared" si="29"/>
        <v>19.82</v>
      </c>
      <c r="Q52" s="223"/>
      <c r="R52" s="226"/>
    </row>
    <row r="53" spans="1:18" x14ac:dyDescent="0.25">
      <c r="A53" s="219">
        <v>16</v>
      </c>
      <c r="B53" s="42">
        <f t="shared" si="15"/>
        <v>63.239999999999995</v>
      </c>
      <c r="C53" s="42">
        <f t="shared" si="16"/>
        <v>70.48</v>
      </c>
      <c r="D53" s="42">
        <f t="shared" si="17"/>
        <v>81.06</v>
      </c>
      <c r="E53" s="42">
        <f t="shared" si="18"/>
        <v>99.61999999999999</v>
      </c>
      <c r="F53" s="42">
        <f t="shared" si="19"/>
        <v>176.49</v>
      </c>
      <c r="G53" s="42">
        <f t="shared" si="20"/>
        <v>16.87</v>
      </c>
      <c r="H53" s="42">
        <f t="shared" si="21"/>
        <v>16.87</v>
      </c>
      <c r="I53" s="42">
        <f t="shared" si="22"/>
        <v>15.32</v>
      </c>
      <c r="J53" s="42">
        <f t="shared" si="23"/>
        <v>15.32</v>
      </c>
      <c r="K53" s="42">
        <f t="shared" si="24"/>
        <v>11.46</v>
      </c>
      <c r="L53" s="42">
        <f t="shared" si="25"/>
        <v>11.46</v>
      </c>
      <c r="M53" s="42">
        <f t="shared" si="26"/>
        <v>19.87</v>
      </c>
      <c r="N53" s="42">
        <f t="shared" si="27"/>
        <v>19.87</v>
      </c>
      <c r="O53" s="42">
        <f t="shared" si="28"/>
        <v>19.87</v>
      </c>
      <c r="P53" s="42">
        <f t="shared" si="29"/>
        <v>19.87</v>
      </c>
      <c r="Q53" s="223"/>
      <c r="R53" s="226"/>
    </row>
    <row r="54" spans="1:18" x14ac:dyDescent="0.25">
      <c r="A54" s="219">
        <v>17</v>
      </c>
      <c r="B54" s="42">
        <f t="shared" si="15"/>
        <v>63.29</v>
      </c>
      <c r="C54" s="42">
        <f t="shared" si="16"/>
        <v>70.53</v>
      </c>
      <c r="D54" s="42">
        <f t="shared" si="17"/>
        <v>81.11</v>
      </c>
      <c r="E54" s="42">
        <f t="shared" si="18"/>
        <v>99.669999999999987</v>
      </c>
      <c r="F54" s="42">
        <f t="shared" si="19"/>
        <v>176.54</v>
      </c>
      <c r="G54" s="42">
        <f t="shared" si="20"/>
        <v>16.920000000000002</v>
      </c>
      <c r="H54" s="42">
        <f t="shared" si="21"/>
        <v>16.920000000000002</v>
      </c>
      <c r="I54" s="42">
        <f t="shared" si="22"/>
        <v>15.37</v>
      </c>
      <c r="J54" s="42">
        <f t="shared" si="23"/>
        <v>15.37</v>
      </c>
      <c r="K54" s="42">
        <f t="shared" si="24"/>
        <v>11.51</v>
      </c>
      <c r="L54" s="42">
        <f t="shared" si="25"/>
        <v>11.51</v>
      </c>
      <c r="M54" s="42">
        <f t="shared" si="26"/>
        <v>19.920000000000002</v>
      </c>
      <c r="N54" s="42">
        <f t="shared" si="27"/>
        <v>19.920000000000002</v>
      </c>
      <c r="O54" s="42">
        <f t="shared" si="28"/>
        <v>19.920000000000002</v>
      </c>
      <c r="P54" s="42">
        <f t="shared" si="29"/>
        <v>19.920000000000002</v>
      </c>
      <c r="Q54" s="223"/>
      <c r="R54" s="226"/>
    </row>
    <row r="55" spans="1:18" x14ac:dyDescent="0.25">
      <c r="A55" s="219">
        <v>18</v>
      </c>
      <c r="B55" s="42">
        <f t="shared" si="15"/>
        <v>63.339999999999996</v>
      </c>
      <c r="C55" s="42">
        <f t="shared" si="16"/>
        <v>70.580000000000013</v>
      </c>
      <c r="D55" s="42">
        <f t="shared" si="17"/>
        <v>81.160000000000011</v>
      </c>
      <c r="E55" s="42">
        <f t="shared" si="18"/>
        <v>99.72</v>
      </c>
      <c r="F55" s="42">
        <f t="shared" si="19"/>
        <v>176.59</v>
      </c>
      <c r="G55" s="42">
        <f t="shared" si="20"/>
        <v>16.97</v>
      </c>
      <c r="H55" s="42">
        <f t="shared" si="21"/>
        <v>16.97</v>
      </c>
      <c r="I55" s="42">
        <f t="shared" si="22"/>
        <v>15.42</v>
      </c>
      <c r="J55" s="42">
        <f t="shared" si="23"/>
        <v>15.42</v>
      </c>
      <c r="K55" s="42">
        <f t="shared" si="24"/>
        <v>11.56</v>
      </c>
      <c r="L55" s="42">
        <f t="shared" si="25"/>
        <v>11.56</v>
      </c>
      <c r="M55" s="42">
        <f t="shared" si="26"/>
        <v>19.97</v>
      </c>
      <c r="N55" s="42">
        <f t="shared" si="27"/>
        <v>19.97</v>
      </c>
      <c r="O55" s="42">
        <f t="shared" si="28"/>
        <v>19.97</v>
      </c>
      <c r="P55" s="42">
        <f t="shared" si="29"/>
        <v>19.97</v>
      </c>
      <c r="Q55" s="223"/>
      <c r="R55" s="226"/>
    </row>
    <row r="56" spans="1:18" x14ac:dyDescent="0.25">
      <c r="A56" s="219">
        <v>19</v>
      </c>
      <c r="B56" s="42">
        <f t="shared" si="15"/>
        <v>63.39</v>
      </c>
      <c r="C56" s="42">
        <f t="shared" si="16"/>
        <v>70.63000000000001</v>
      </c>
      <c r="D56" s="42">
        <f t="shared" si="17"/>
        <v>81.210000000000008</v>
      </c>
      <c r="E56" s="42">
        <f t="shared" si="18"/>
        <v>99.77</v>
      </c>
      <c r="F56" s="42">
        <f t="shared" si="19"/>
        <v>176.64</v>
      </c>
      <c r="G56" s="42">
        <f t="shared" si="20"/>
        <v>17.02</v>
      </c>
      <c r="H56" s="42">
        <f t="shared" si="21"/>
        <v>17.02</v>
      </c>
      <c r="I56" s="42">
        <f t="shared" si="22"/>
        <v>15.469999999999999</v>
      </c>
      <c r="J56" s="42">
        <f t="shared" si="23"/>
        <v>15.469999999999999</v>
      </c>
      <c r="K56" s="42">
        <f t="shared" si="24"/>
        <v>11.61</v>
      </c>
      <c r="L56" s="42">
        <f t="shared" si="25"/>
        <v>11.61</v>
      </c>
      <c r="M56" s="42">
        <f t="shared" si="26"/>
        <v>20.02</v>
      </c>
      <c r="N56" s="42">
        <f t="shared" si="27"/>
        <v>20.02</v>
      </c>
      <c r="O56" s="42">
        <f t="shared" si="28"/>
        <v>20.02</v>
      </c>
      <c r="P56" s="42">
        <f t="shared" si="29"/>
        <v>20.02</v>
      </c>
      <c r="Q56" s="223"/>
      <c r="R56" s="226"/>
    </row>
    <row r="57" spans="1:18" x14ac:dyDescent="0.25">
      <c r="A57" s="219">
        <v>20</v>
      </c>
      <c r="B57" s="42">
        <f t="shared" si="15"/>
        <v>63.44</v>
      </c>
      <c r="C57" s="42">
        <f t="shared" si="16"/>
        <v>70.680000000000007</v>
      </c>
      <c r="D57" s="42">
        <f t="shared" si="17"/>
        <v>81.260000000000005</v>
      </c>
      <c r="E57" s="42">
        <f t="shared" si="18"/>
        <v>99.82</v>
      </c>
      <c r="F57" s="42">
        <f t="shared" si="19"/>
        <v>176.69</v>
      </c>
      <c r="G57" s="42">
        <f t="shared" si="20"/>
        <v>17.07</v>
      </c>
      <c r="H57" s="42">
        <f t="shared" si="21"/>
        <v>17.07</v>
      </c>
      <c r="I57" s="42">
        <f t="shared" si="22"/>
        <v>15.52</v>
      </c>
      <c r="J57" s="42">
        <f t="shared" si="23"/>
        <v>15.52</v>
      </c>
      <c r="K57" s="42">
        <f t="shared" si="24"/>
        <v>11.66</v>
      </c>
      <c r="L57" s="42">
        <f t="shared" si="25"/>
        <v>11.66</v>
      </c>
      <c r="M57" s="42">
        <f t="shared" si="26"/>
        <v>20.07</v>
      </c>
      <c r="N57" s="42">
        <f t="shared" si="27"/>
        <v>20.07</v>
      </c>
      <c r="O57" s="42">
        <f t="shared" si="28"/>
        <v>20.07</v>
      </c>
      <c r="P57" s="42">
        <f t="shared" si="29"/>
        <v>20.07</v>
      </c>
      <c r="Q57" s="223"/>
      <c r="R57" s="226"/>
    </row>
    <row r="58" spans="1:18" x14ac:dyDescent="0.25">
      <c r="A58" s="219">
        <v>21</v>
      </c>
      <c r="B58" s="42">
        <f t="shared" si="15"/>
        <v>63.489999999999995</v>
      </c>
      <c r="C58" s="42">
        <f t="shared" si="16"/>
        <v>70.73</v>
      </c>
      <c r="D58" s="42">
        <f t="shared" si="17"/>
        <v>81.31</v>
      </c>
      <c r="E58" s="42">
        <f t="shared" si="18"/>
        <v>99.86999999999999</v>
      </c>
      <c r="F58" s="42">
        <f t="shared" si="19"/>
        <v>176.74</v>
      </c>
      <c r="G58" s="42">
        <f t="shared" si="20"/>
        <v>17.12</v>
      </c>
      <c r="H58" s="42">
        <f t="shared" si="21"/>
        <v>17.12</v>
      </c>
      <c r="I58" s="42">
        <f t="shared" si="22"/>
        <v>15.57</v>
      </c>
      <c r="J58" s="42">
        <f t="shared" si="23"/>
        <v>15.57</v>
      </c>
      <c r="K58" s="42">
        <f t="shared" si="24"/>
        <v>11.71</v>
      </c>
      <c r="L58" s="42">
        <f t="shared" si="25"/>
        <v>11.71</v>
      </c>
      <c r="M58" s="42">
        <f t="shared" si="26"/>
        <v>20.12</v>
      </c>
      <c r="N58" s="42">
        <f t="shared" si="27"/>
        <v>20.12</v>
      </c>
      <c r="O58" s="42">
        <f t="shared" si="28"/>
        <v>20.12</v>
      </c>
      <c r="P58" s="42">
        <f t="shared" si="29"/>
        <v>20.12</v>
      </c>
      <c r="Q58" s="223"/>
      <c r="R58" s="226"/>
    </row>
    <row r="59" spans="1:18" x14ac:dyDescent="0.25">
      <c r="A59" s="219">
        <v>22</v>
      </c>
      <c r="B59" s="42">
        <f t="shared" si="15"/>
        <v>63.54</v>
      </c>
      <c r="C59" s="42">
        <f t="shared" si="16"/>
        <v>70.78</v>
      </c>
      <c r="D59" s="42">
        <f t="shared" si="17"/>
        <v>81.36</v>
      </c>
      <c r="E59" s="42">
        <f t="shared" si="18"/>
        <v>99.919999999999987</v>
      </c>
      <c r="F59" s="42">
        <f t="shared" si="19"/>
        <v>176.79</v>
      </c>
      <c r="G59" s="42">
        <f t="shared" si="20"/>
        <v>17.170000000000002</v>
      </c>
      <c r="H59" s="42">
        <f t="shared" si="21"/>
        <v>17.170000000000002</v>
      </c>
      <c r="I59" s="42">
        <f t="shared" si="22"/>
        <v>15.62</v>
      </c>
      <c r="J59" s="42">
        <f t="shared" si="23"/>
        <v>15.62</v>
      </c>
      <c r="K59" s="42">
        <f t="shared" si="24"/>
        <v>11.76</v>
      </c>
      <c r="L59" s="42">
        <f t="shared" si="25"/>
        <v>11.76</v>
      </c>
      <c r="M59" s="42">
        <f t="shared" si="26"/>
        <v>20.170000000000002</v>
      </c>
      <c r="N59" s="42">
        <f t="shared" si="27"/>
        <v>20.170000000000002</v>
      </c>
      <c r="O59" s="42">
        <f t="shared" si="28"/>
        <v>20.170000000000002</v>
      </c>
      <c r="P59" s="42">
        <f t="shared" si="29"/>
        <v>20.170000000000002</v>
      </c>
      <c r="Q59" s="223"/>
      <c r="R59" s="226"/>
    </row>
    <row r="60" spans="1:18" x14ac:dyDescent="0.25">
      <c r="A60" s="219">
        <v>23</v>
      </c>
      <c r="B60" s="42">
        <f t="shared" si="15"/>
        <v>63.589999999999996</v>
      </c>
      <c r="C60" s="42">
        <f t="shared" si="16"/>
        <v>70.830000000000013</v>
      </c>
      <c r="D60" s="42">
        <f t="shared" si="17"/>
        <v>81.410000000000011</v>
      </c>
      <c r="E60" s="42">
        <f t="shared" si="18"/>
        <v>99.97</v>
      </c>
      <c r="F60" s="42">
        <f t="shared" si="19"/>
        <v>176.84</v>
      </c>
      <c r="G60" s="42">
        <f t="shared" si="20"/>
        <v>17.22</v>
      </c>
      <c r="H60" s="42">
        <f t="shared" si="21"/>
        <v>17.22</v>
      </c>
      <c r="I60" s="42">
        <f t="shared" si="22"/>
        <v>15.67</v>
      </c>
      <c r="J60" s="42">
        <f t="shared" si="23"/>
        <v>15.67</v>
      </c>
      <c r="K60" s="42">
        <f t="shared" si="24"/>
        <v>11.81</v>
      </c>
      <c r="L60" s="42">
        <f t="shared" si="25"/>
        <v>11.81</v>
      </c>
      <c r="M60" s="42">
        <f t="shared" si="26"/>
        <v>20.22</v>
      </c>
      <c r="N60" s="42">
        <f t="shared" si="27"/>
        <v>20.22</v>
      </c>
      <c r="O60" s="42">
        <f t="shared" si="28"/>
        <v>20.22</v>
      </c>
      <c r="P60" s="42">
        <f t="shared" si="29"/>
        <v>20.22</v>
      </c>
      <c r="Q60" s="223"/>
      <c r="R60" s="226"/>
    </row>
    <row r="61" spans="1:18" x14ac:dyDescent="0.25">
      <c r="A61" s="219">
        <v>24</v>
      </c>
      <c r="B61" s="42">
        <f t="shared" si="15"/>
        <v>63.64</v>
      </c>
      <c r="C61" s="42">
        <f t="shared" si="16"/>
        <v>70.88000000000001</v>
      </c>
      <c r="D61" s="42">
        <f t="shared" si="17"/>
        <v>81.460000000000008</v>
      </c>
      <c r="E61" s="42">
        <f t="shared" si="18"/>
        <v>100.02</v>
      </c>
      <c r="F61" s="42">
        <f t="shared" si="19"/>
        <v>176.89</v>
      </c>
      <c r="G61" s="42">
        <f t="shared" si="20"/>
        <v>17.27</v>
      </c>
      <c r="H61" s="42">
        <f t="shared" si="21"/>
        <v>17.27</v>
      </c>
      <c r="I61" s="42">
        <f t="shared" si="22"/>
        <v>15.719999999999999</v>
      </c>
      <c r="J61" s="42">
        <f t="shared" si="23"/>
        <v>15.719999999999999</v>
      </c>
      <c r="K61" s="42">
        <f t="shared" si="24"/>
        <v>11.86</v>
      </c>
      <c r="L61" s="42">
        <f t="shared" si="25"/>
        <v>11.86</v>
      </c>
      <c r="M61" s="42">
        <f t="shared" si="26"/>
        <v>20.27</v>
      </c>
      <c r="N61" s="42">
        <f t="shared" si="27"/>
        <v>20.27</v>
      </c>
      <c r="O61" s="42">
        <f t="shared" si="28"/>
        <v>20.27</v>
      </c>
      <c r="P61" s="42">
        <f t="shared" si="29"/>
        <v>20.27</v>
      </c>
      <c r="Q61" s="223"/>
      <c r="R61" s="226"/>
    </row>
    <row r="62" spans="1:18" x14ac:dyDescent="0.25">
      <c r="A62" s="219">
        <v>25</v>
      </c>
      <c r="B62" s="42">
        <f t="shared" si="15"/>
        <v>63.69</v>
      </c>
      <c r="C62" s="42">
        <f t="shared" si="16"/>
        <v>70.930000000000007</v>
      </c>
      <c r="D62" s="42">
        <f t="shared" si="17"/>
        <v>81.510000000000005</v>
      </c>
      <c r="E62" s="42">
        <f t="shared" si="18"/>
        <v>100.07</v>
      </c>
      <c r="F62" s="42">
        <f t="shared" si="19"/>
        <v>176.94</v>
      </c>
      <c r="G62" s="42">
        <f t="shared" si="20"/>
        <v>17.32</v>
      </c>
      <c r="H62" s="42">
        <f t="shared" si="21"/>
        <v>17.32</v>
      </c>
      <c r="I62" s="42">
        <f t="shared" si="22"/>
        <v>15.77</v>
      </c>
      <c r="J62" s="42">
        <f t="shared" si="23"/>
        <v>15.77</v>
      </c>
      <c r="K62" s="42">
        <f t="shared" si="24"/>
        <v>11.91</v>
      </c>
      <c r="L62" s="42">
        <f t="shared" si="25"/>
        <v>11.91</v>
      </c>
      <c r="M62" s="42">
        <f t="shared" si="26"/>
        <v>20.32</v>
      </c>
      <c r="N62" s="42">
        <f t="shared" si="27"/>
        <v>20.32</v>
      </c>
      <c r="O62" s="42">
        <f t="shared" si="28"/>
        <v>20.32</v>
      </c>
      <c r="P62" s="42">
        <f t="shared" si="29"/>
        <v>20.32</v>
      </c>
      <c r="Q62" s="223"/>
      <c r="R62" s="226"/>
    </row>
    <row r="63" spans="1:18" x14ac:dyDescent="0.25">
      <c r="A63" s="221"/>
      <c r="B63" s="102"/>
      <c r="C63" s="102"/>
      <c r="D63" s="102"/>
      <c r="E63" s="102"/>
      <c r="F63" s="102"/>
      <c r="G63" s="102"/>
      <c r="H63" s="102"/>
      <c r="I63" s="102"/>
      <c r="J63" s="102"/>
      <c r="K63" s="102"/>
      <c r="L63" s="102"/>
      <c r="M63" s="102"/>
      <c r="N63" s="102"/>
      <c r="O63" s="102"/>
      <c r="P63" s="102"/>
      <c r="Q63" s="102"/>
      <c r="R63" s="215"/>
    </row>
    <row r="64" spans="1:18" ht="52.5" customHeight="1" thickBot="1" x14ac:dyDescent="0.3">
      <c r="A64" s="508" t="s">
        <v>54</v>
      </c>
      <c r="B64" s="509"/>
      <c r="C64" s="509"/>
      <c r="D64" s="509"/>
      <c r="E64" s="509"/>
      <c r="F64" s="509"/>
      <c r="G64" s="509"/>
      <c r="H64" s="509"/>
      <c r="I64" s="509"/>
      <c r="J64" s="509"/>
      <c r="K64" s="509"/>
      <c r="L64" s="509"/>
      <c r="M64" s="509"/>
      <c r="N64" s="509"/>
      <c r="O64" s="509"/>
      <c r="P64" s="509"/>
      <c r="Q64" s="216"/>
      <c r="R64" s="217"/>
    </row>
  </sheetData>
  <mergeCells count="7">
    <mergeCell ref="A2:R2"/>
    <mergeCell ref="A1:R1"/>
    <mergeCell ref="A34:R34"/>
    <mergeCell ref="B35:P35"/>
    <mergeCell ref="A64:P64"/>
    <mergeCell ref="B3:P3"/>
    <mergeCell ref="A32:P32"/>
  </mergeCells>
  <pageMargins left="0.7" right="0.7" top="0.75" bottom="0.75" header="0.3" footer="0.3"/>
  <pageSetup scale="70" orientation="landscape" r:id="rId1"/>
  <headerFooter>
    <oddFooter>&amp;C&amp;A&amp;R&amp;N</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Y2PHC7Y2YW5Y-1871477060-80</_dlc_DocId>
    <_dlc_DocIdUrl xmlns="ea37a463-b99d-470c-8a85-4153a11441a9">
      <Url>https://txhhs.sharepoint.com/sites/hhsc/fs/ra/ltss/_layouts/15/DocIdRedir.aspx?ID=Y2PHC7Y2YW5Y-1871477060-80</Url>
      <Description>Y2PHC7Y2YW5Y-1871477060-80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980" ma:contentTypeDescription="Create a new document." ma:contentTypeScope="" ma:versionID="a2075716431672b2832b78ee56cb32b7">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3d8dd71826379d8517d831bc99ea289b"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4CB62B-D200-485C-AB9E-FCC2D27730FE}">
  <ds:schemaRefs>
    <ds:schemaRef ds:uri="http://schemas.microsoft.com/sharepoint/events"/>
  </ds:schemaRefs>
</ds:datastoreItem>
</file>

<file path=customXml/itemProps2.xml><?xml version="1.0" encoding="utf-8"?>
<ds:datastoreItem xmlns:ds="http://schemas.openxmlformats.org/officeDocument/2006/customXml" ds:itemID="{450885E7-C8F8-4631-9B4E-AF1812B02A12}">
  <ds:schemaRef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ea37a463-b99d-470c-8a85-4153a11441a9"/>
    <ds:schemaRef ds:uri="http://schemas.openxmlformats.org/package/2006/metadata/core-properties"/>
    <ds:schemaRef ds:uri="892c8f4f-e050-4044-8793-43ed188ab5b7"/>
    <ds:schemaRef ds:uri="http://purl.org/dc/dcmitype/"/>
    <ds:schemaRef ds:uri="http://purl.org/dc/terms/"/>
  </ds:schemaRefs>
</ds:datastoreItem>
</file>

<file path=customXml/itemProps3.xml><?xml version="1.0" encoding="utf-8"?>
<ds:datastoreItem xmlns:ds="http://schemas.openxmlformats.org/officeDocument/2006/customXml" ds:itemID="{F7C13FF0-C024-4B5E-8370-604BF49D7265}">
  <ds:schemaRefs>
    <ds:schemaRef ds:uri="http://schemas.microsoft.com/sharepoint/v3/contenttype/forms"/>
  </ds:schemaRefs>
</ds:datastoreItem>
</file>

<file path=customXml/itemProps4.xml><?xml version="1.0" encoding="utf-8"?>
<ds:datastoreItem xmlns:ds="http://schemas.openxmlformats.org/officeDocument/2006/customXml" ds:itemID="{E4F274C6-F039-49B9-90BD-5980B252BE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Wages, Taxes and Workers' Comp</vt:lpstr>
      <vt:lpstr>Day Hab Units of Service</vt:lpstr>
      <vt:lpstr>Day Hab Worksheet</vt:lpstr>
      <vt:lpstr>Non-Day Hab Units of Service</vt:lpstr>
      <vt:lpstr>Non-Day Hab Worksheet</vt:lpstr>
      <vt:lpstr>DH Rates</vt:lpstr>
      <vt:lpstr>NDH Rates</vt:lpstr>
      <vt:lpstr>'Non-Day Hab Units of Service'!Print_Area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2014-04-29T14:27:32Z</dcterms:created>
  <dcterms:modified xsi:type="dcterms:W3CDTF">2019-11-01T19:47:52Z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cd9a4bc9-0508-4526-8ccf-a33dca0b32b7</vt:lpwstr>
  </property>
  <property fmtid="{D5CDD505-2E9C-101B-9397-08002B2CF9AE}" pid="4" name="AuthorIds_UIVersion_2048">
    <vt:lpwstr>2206</vt:lpwstr>
  </property>
  <property fmtid="{D5CDD505-2E9C-101B-9397-08002B2CF9AE}" pid="5" name="AuthorIds_UIVersion_2560">
    <vt:lpwstr>2206</vt:lpwstr>
  </property>
</Properties>
</file>