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defaultThemeVersion="124226"/>
  <xr:revisionPtr revIDLastSave="0" documentId="13_ncr:1_{4AB08806-6EB0-4239-A477-194617801331}" xr6:coauthVersionLast="45" xr6:coauthVersionMax="45" xr10:uidLastSave="{00000000-0000-0000-0000-000000000000}"/>
  <workbookProtection workbookAlgorithmName="SHA-512" workbookHashValue="NhNF4SM/+AAh6xxyXzQqdsBMaq3rX7ipxbzXCREAsGE1aNF+IbW66Ke3cqeEpYToWMX19Q18iM8a0BqwzPUqog==" workbookSaltValue="LNebG0ITE9GM8qMI5z+PNg==" workbookSpinCount="100000" lockStructure="1"/>
  <bookViews>
    <workbookView xWindow="-28920" yWindow="-120" windowWidth="29040" windowHeight="15840" tabRatio="891" xr2:uid="{00000000-000D-0000-FFFF-FFFF00000000}"/>
  </bookViews>
  <sheets>
    <sheet name="Wages, Taxes and Workers' Comp" sheetId="24" r:id="rId1"/>
    <sheet name="Day Hab Worksheet" sheetId="63" r:id="rId2"/>
    <sheet name="SL RSS Worksheet" sheetId="64" r:id="rId3"/>
    <sheet name="Non-Day Hab Worksheet" sheetId="62" r:id="rId4"/>
    <sheet name="DH Rates" sheetId="60" r:id="rId5"/>
    <sheet name="SL RSS Rates" sheetId="66" r:id="rId6"/>
    <sheet name="NDH Rates" sheetId="61" r:id="rId7"/>
  </sheets>
  <definedNames>
    <definedName name="_xlnm.Print_Area" localSheetId="3">'Non-Day Hab Worksheet'!$A$1:$O$23</definedName>
    <definedName name="_xlnm.Print_Area" localSheetId="2">'SL RSS Worksheet'!$A$1:$O$20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53" i="64" l="1"/>
  <c r="M55" i="64"/>
  <c r="M57" i="64"/>
  <c r="M59" i="64"/>
  <c r="I80" i="62"/>
  <c r="E80" i="62"/>
  <c r="N30" i="60" l="1"/>
  <c r="M30" i="60"/>
  <c r="L30" i="60"/>
  <c r="K30" i="60"/>
  <c r="J30" i="60"/>
  <c r="N29" i="60"/>
  <c r="M29" i="60"/>
  <c r="L29" i="60"/>
  <c r="K29" i="60"/>
  <c r="J29" i="60"/>
  <c r="N28" i="60"/>
  <c r="M28" i="60"/>
  <c r="L28" i="60"/>
  <c r="K28" i="60"/>
  <c r="J28" i="60"/>
  <c r="N27" i="60"/>
  <c r="M27" i="60"/>
  <c r="L27" i="60"/>
  <c r="K27" i="60"/>
  <c r="J27" i="60"/>
  <c r="N26" i="60"/>
  <c r="M26" i="60"/>
  <c r="L26" i="60"/>
  <c r="K26" i="60"/>
  <c r="J26" i="60"/>
  <c r="N25" i="60"/>
  <c r="M25" i="60"/>
  <c r="L25" i="60"/>
  <c r="K25" i="60"/>
  <c r="J25" i="60"/>
  <c r="N24" i="60"/>
  <c r="M24" i="60"/>
  <c r="L24" i="60"/>
  <c r="K24" i="60"/>
  <c r="J24" i="60"/>
  <c r="N23" i="60"/>
  <c r="M23" i="60"/>
  <c r="L23" i="60"/>
  <c r="K23" i="60"/>
  <c r="J23" i="60"/>
  <c r="N22" i="60"/>
  <c r="M22" i="60"/>
  <c r="L22" i="60"/>
  <c r="K22" i="60"/>
  <c r="J22" i="60"/>
  <c r="N21" i="60"/>
  <c r="M21" i="60"/>
  <c r="L21" i="60"/>
  <c r="K21" i="60"/>
  <c r="J21" i="60"/>
  <c r="N20" i="60"/>
  <c r="M20" i="60"/>
  <c r="L20" i="60"/>
  <c r="K20" i="60"/>
  <c r="J20" i="60"/>
  <c r="N19" i="60"/>
  <c r="M19" i="60"/>
  <c r="L19" i="60"/>
  <c r="K19" i="60"/>
  <c r="J19" i="60"/>
  <c r="N18" i="60"/>
  <c r="M18" i="60"/>
  <c r="L18" i="60"/>
  <c r="K18" i="60"/>
  <c r="J18" i="60"/>
  <c r="N17" i="60"/>
  <c r="M17" i="60"/>
  <c r="L17" i="60"/>
  <c r="K17" i="60"/>
  <c r="J17" i="60"/>
  <c r="N16" i="60"/>
  <c r="M16" i="60"/>
  <c r="L16" i="60"/>
  <c r="K16" i="60"/>
  <c r="J16" i="60"/>
  <c r="N15" i="60"/>
  <c r="M15" i="60"/>
  <c r="L15" i="60"/>
  <c r="K15" i="60"/>
  <c r="J15" i="60"/>
  <c r="N14" i="60"/>
  <c r="M14" i="60"/>
  <c r="L14" i="60"/>
  <c r="K14" i="60"/>
  <c r="J14" i="60"/>
  <c r="N13" i="60"/>
  <c r="M13" i="60"/>
  <c r="L13" i="60"/>
  <c r="K13" i="60"/>
  <c r="J13" i="60"/>
  <c r="N12" i="60"/>
  <c r="M12" i="60"/>
  <c r="L12" i="60"/>
  <c r="K12" i="60"/>
  <c r="J12" i="60"/>
  <c r="N11" i="60"/>
  <c r="M11" i="60"/>
  <c r="L11" i="60"/>
  <c r="K11" i="60"/>
  <c r="J11" i="60"/>
  <c r="N10" i="60"/>
  <c r="M10" i="60"/>
  <c r="L10" i="60"/>
  <c r="K10" i="60"/>
  <c r="J10" i="60"/>
  <c r="N9" i="60"/>
  <c r="M9" i="60"/>
  <c r="L9" i="60"/>
  <c r="K9" i="60"/>
  <c r="J9" i="60"/>
  <c r="N8" i="60"/>
  <c r="M8" i="60"/>
  <c r="L8" i="60"/>
  <c r="K8" i="60"/>
  <c r="J8" i="60"/>
  <c r="N7" i="60"/>
  <c r="M7" i="60"/>
  <c r="L7" i="60"/>
  <c r="K7" i="60"/>
  <c r="J7" i="60"/>
  <c r="O6" i="60"/>
  <c r="O7" i="60" s="1"/>
  <c r="O8" i="60" s="1"/>
  <c r="O9" i="60" s="1"/>
  <c r="O10" i="60" s="1"/>
  <c r="O11" i="60" s="1"/>
  <c r="O12" i="60" s="1"/>
  <c r="O13" i="60" s="1"/>
  <c r="O14" i="60" s="1"/>
  <c r="O15" i="60" s="1"/>
  <c r="O16" i="60" s="1"/>
  <c r="O17" i="60" s="1"/>
  <c r="O18" i="60" s="1"/>
  <c r="O19" i="60" s="1"/>
  <c r="O20" i="60" s="1"/>
  <c r="O21" i="60" s="1"/>
  <c r="O22" i="60" s="1"/>
  <c r="O23" i="60" s="1"/>
  <c r="O24" i="60" s="1"/>
  <c r="O25" i="60" s="1"/>
  <c r="O26" i="60" s="1"/>
  <c r="O27" i="60" s="1"/>
  <c r="O28" i="60" s="1"/>
  <c r="O29" i="60" s="1"/>
  <c r="O30" i="60" s="1"/>
  <c r="N6" i="60"/>
  <c r="M6" i="60"/>
  <c r="L6" i="60"/>
  <c r="K6" i="60"/>
  <c r="J6" i="60"/>
  <c r="T30" i="66"/>
  <c r="S30" i="66"/>
  <c r="R30" i="66"/>
  <c r="Q30" i="66"/>
  <c r="P30" i="66"/>
  <c r="T29" i="66"/>
  <c r="S29" i="66"/>
  <c r="R29" i="66"/>
  <c r="Q29" i="66"/>
  <c r="P29" i="66"/>
  <c r="T28" i="66"/>
  <c r="S28" i="66"/>
  <c r="R28" i="66"/>
  <c r="Q28" i="66"/>
  <c r="P28" i="66"/>
  <c r="T27" i="66"/>
  <c r="S27" i="66"/>
  <c r="R27" i="66"/>
  <c r="Q27" i="66"/>
  <c r="P27" i="66"/>
  <c r="T26" i="66"/>
  <c r="S26" i="66"/>
  <c r="R26" i="66"/>
  <c r="Q26" i="66"/>
  <c r="P26" i="66"/>
  <c r="T25" i="66"/>
  <c r="S25" i="66"/>
  <c r="R25" i="66"/>
  <c r="Q25" i="66"/>
  <c r="P25" i="66"/>
  <c r="T24" i="66"/>
  <c r="S24" i="66"/>
  <c r="R24" i="66"/>
  <c r="Q24" i="66"/>
  <c r="P24" i="66"/>
  <c r="T23" i="66"/>
  <c r="S23" i="66"/>
  <c r="R23" i="66"/>
  <c r="Q23" i="66"/>
  <c r="P23" i="66"/>
  <c r="T22" i="66"/>
  <c r="S22" i="66"/>
  <c r="R22" i="66"/>
  <c r="Q22" i="66"/>
  <c r="P22" i="66"/>
  <c r="T21" i="66"/>
  <c r="S21" i="66"/>
  <c r="R21" i="66"/>
  <c r="Q21" i="66"/>
  <c r="P21" i="66"/>
  <c r="T20" i="66"/>
  <c r="S20" i="66"/>
  <c r="R20" i="66"/>
  <c r="Q20" i="66"/>
  <c r="P20" i="66"/>
  <c r="T19" i="66"/>
  <c r="S19" i="66"/>
  <c r="R19" i="66"/>
  <c r="Q19" i="66"/>
  <c r="P19" i="66"/>
  <c r="T18" i="66"/>
  <c r="S18" i="66"/>
  <c r="R18" i="66"/>
  <c r="Q18" i="66"/>
  <c r="P18" i="66"/>
  <c r="T17" i="66"/>
  <c r="S17" i="66"/>
  <c r="R17" i="66"/>
  <c r="Q17" i="66"/>
  <c r="P17" i="66"/>
  <c r="T16" i="66"/>
  <c r="S16" i="66"/>
  <c r="R16" i="66"/>
  <c r="Q16" i="66"/>
  <c r="P16" i="66"/>
  <c r="T15" i="66"/>
  <c r="S15" i="66"/>
  <c r="R15" i="66"/>
  <c r="Q15" i="66"/>
  <c r="P15" i="66"/>
  <c r="T14" i="66"/>
  <c r="S14" i="66"/>
  <c r="R14" i="66"/>
  <c r="Q14" i="66"/>
  <c r="P14" i="66"/>
  <c r="T13" i="66"/>
  <c r="S13" i="66"/>
  <c r="R13" i="66"/>
  <c r="Q13" i="66"/>
  <c r="P13" i="66"/>
  <c r="T12" i="66"/>
  <c r="S12" i="66"/>
  <c r="R12" i="66"/>
  <c r="Q12" i="66"/>
  <c r="P12" i="66"/>
  <c r="T11" i="66"/>
  <c r="S11" i="66"/>
  <c r="R11" i="66"/>
  <c r="Q11" i="66"/>
  <c r="P11" i="66"/>
  <c r="T10" i="66"/>
  <c r="S10" i="66"/>
  <c r="R10" i="66"/>
  <c r="Q10" i="66"/>
  <c r="P10" i="66"/>
  <c r="T9" i="66"/>
  <c r="S9" i="66"/>
  <c r="R9" i="66"/>
  <c r="Q9" i="66"/>
  <c r="P9" i="66"/>
  <c r="T8" i="66"/>
  <c r="S8" i="66"/>
  <c r="R8" i="66"/>
  <c r="Q8" i="66"/>
  <c r="P8" i="66"/>
  <c r="T7" i="66"/>
  <c r="S7" i="66"/>
  <c r="R7" i="66"/>
  <c r="Q7" i="66"/>
  <c r="P7" i="66"/>
  <c r="T6" i="66"/>
  <c r="S6" i="66"/>
  <c r="R6" i="66"/>
  <c r="Q6" i="66"/>
  <c r="P6" i="66"/>
  <c r="T5" i="66"/>
  <c r="S5" i="66"/>
  <c r="R5" i="66"/>
  <c r="Q5" i="66"/>
  <c r="P5" i="66"/>
  <c r="M30" i="66"/>
  <c r="L30" i="66"/>
  <c r="K30" i="66"/>
  <c r="J30" i="66"/>
  <c r="I30" i="66"/>
  <c r="M29" i="66"/>
  <c r="L29" i="66"/>
  <c r="K29" i="66"/>
  <c r="J29" i="66"/>
  <c r="I29" i="66"/>
  <c r="M28" i="66"/>
  <c r="L28" i="66"/>
  <c r="K28" i="66"/>
  <c r="J28" i="66"/>
  <c r="I28" i="66"/>
  <c r="M27" i="66"/>
  <c r="L27" i="66"/>
  <c r="K27" i="66"/>
  <c r="J27" i="66"/>
  <c r="I27" i="66"/>
  <c r="M26" i="66"/>
  <c r="L26" i="66"/>
  <c r="K26" i="66"/>
  <c r="J26" i="66"/>
  <c r="I26" i="66"/>
  <c r="M25" i="66"/>
  <c r="L25" i="66"/>
  <c r="K25" i="66"/>
  <c r="J25" i="66"/>
  <c r="I25" i="66"/>
  <c r="M24" i="66"/>
  <c r="L24" i="66"/>
  <c r="K24" i="66"/>
  <c r="J24" i="66"/>
  <c r="I24" i="66"/>
  <c r="M23" i="66"/>
  <c r="L23" i="66"/>
  <c r="K23" i="66"/>
  <c r="J23" i="66"/>
  <c r="I23" i="66"/>
  <c r="M22" i="66"/>
  <c r="L22" i="66"/>
  <c r="K22" i="66"/>
  <c r="J22" i="66"/>
  <c r="I22" i="66"/>
  <c r="M21" i="66"/>
  <c r="L21" i="66"/>
  <c r="K21" i="66"/>
  <c r="J21" i="66"/>
  <c r="I21" i="66"/>
  <c r="M20" i="66"/>
  <c r="L20" i="66"/>
  <c r="K20" i="66"/>
  <c r="J20" i="66"/>
  <c r="I20" i="66"/>
  <c r="M19" i="66"/>
  <c r="L19" i="66"/>
  <c r="K19" i="66"/>
  <c r="J19" i="66"/>
  <c r="I19" i="66"/>
  <c r="M18" i="66"/>
  <c r="L18" i="66"/>
  <c r="K18" i="66"/>
  <c r="J18" i="66"/>
  <c r="I18" i="66"/>
  <c r="M17" i="66"/>
  <c r="L17" i="66"/>
  <c r="K17" i="66"/>
  <c r="J17" i="66"/>
  <c r="I17" i="66"/>
  <c r="M16" i="66"/>
  <c r="L16" i="66"/>
  <c r="K16" i="66"/>
  <c r="J16" i="66"/>
  <c r="I16" i="66"/>
  <c r="M15" i="66"/>
  <c r="L15" i="66"/>
  <c r="K15" i="66"/>
  <c r="J15" i="66"/>
  <c r="I15" i="66"/>
  <c r="M14" i="66"/>
  <c r="L14" i="66"/>
  <c r="K14" i="66"/>
  <c r="J14" i="66"/>
  <c r="I14" i="66"/>
  <c r="M13" i="66"/>
  <c r="L13" i="66"/>
  <c r="K13" i="66"/>
  <c r="J13" i="66"/>
  <c r="I13" i="66"/>
  <c r="M12" i="66"/>
  <c r="L12" i="66"/>
  <c r="K12" i="66"/>
  <c r="J12" i="66"/>
  <c r="I12" i="66"/>
  <c r="M11" i="66"/>
  <c r="L11" i="66"/>
  <c r="K11" i="66"/>
  <c r="J11" i="66"/>
  <c r="I11" i="66"/>
  <c r="M10" i="66"/>
  <c r="L10" i="66"/>
  <c r="K10" i="66"/>
  <c r="J10" i="66"/>
  <c r="I10" i="66"/>
  <c r="M9" i="66"/>
  <c r="L9" i="66"/>
  <c r="K9" i="66"/>
  <c r="J9" i="66"/>
  <c r="I9" i="66"/>
  <c r="M8" i="66"/>
  <c r="L8" i="66"/>
  <c r="K8" i="66"/>
  <c r="J8" i="66"/>
  <c r="I8" i="66"/>
  <c r="M7" i="66"/>
  <c r="L7" i="66"/>
  <c r="K7" i="66"/>
  <c r="J7" i="66"/>
  <c r="I7" i="66"/>
  <c r="M6" i="66"/>
  <c r="L6" i="66"/>
  <c r="K6" i="66"/>
  <c r="J6" i="66"/>
  <c r="I6" i="66"/>
  <c r="M5" i="66"/>
  <c r="L5" i="66"/>
  <c r="K5" i="66"/>
  <c r="J5" i="66"/>
  <c r="I5" i="66"/>
  <c r="N30" i="62" l="1"/>
  <c r="K92" i="62" l="1"/>
  <c r="K90" i="62"/>
  <c r="K88" i="62"/>
  <c r="K86" i="62"/>
  <c r="K84" i="62"/>
  <c r="K82" i="62"/>
  <c r="K80" i="62"/>
  <c r="G92" i="62"/>
  <c r="G90" i="62"/>
  <c r="G88" i="62"/>
  <c r="G86" i="62"/>
  <c r="G84" i="62"/>
  <c r="G82" i="62"/>
  <c r="G80" i="62"/>
  <c r="C88" i="62"/>
  <c r="C92" i="62"/>
  <c r="C90" i="62"/>
  <c r="C86" i="62"/>
  <c r="C84" i="62"/>
  <c r="C82" i="62"/>
  <c r="C80" i="62"/>
  <c r="K78" i="62"/>
  <c r="G78" i="62"/>
  <c r="C78" i="62"/>
  <c r="N27" i="64"/>
  <c r="N54" i="62"/>
  <c r="N46" i="62"/>
  <c r="N38" i="62"/>
  <c r="N27" i="63"/>
  <c r="C94" i="62" l="1"/>
  <c r="N23" i="63"/>
  <c r="K59" i="64" l="1"/>
  <c r="K57" i="64"/>
  <c r="K55" i="64"/>
  <c r="K53" i="64"/>
  <c r="K51" i="64"/>
  <c r="G59" i="64"/>
  <c r="G57" i="64"/>
  <c r="G55" i="64"/>
  <c r="G53" i="64"/>
  <c r="G51" i="64"/>
  <c r="C51" i="64"/>
  <c r="C53" i="64"/>
  <c r="C55" i="64"/>
  <c r="C57" i="64"/>
  <c r="C59" i="64"/>
  <c r="K57" i="63"/>
  <c r="K55" i="63"/>
  <c r="K53" i="63"/>
  <c r="K51" i="63"/>
  <c r="K49" i="63"/>
  <c r="G57" i="63"/>
  <c r="G55" i="63"/>
  <c r="G53" i="63"/>
  <c r="C57" i="63"/>
  <c r="C55" i="63"/>
  <c r="C53" i="63"/>
  <c r="C51" i="63"/>
  <c r="G51" i="63"/>
  <c r="G49" i="63"/>
  <c r="C49" i="63"/>
  <c r="K47" i="63"/>
  <c r="G47" i="63"/>
  <c r="C47" i="63"/>
  <c r="M92" i="62"/>
  <c r="M90" i="62"/>
  <c r="M88" i="62"/>
  <c r="M86" i="62"/>
  <c r="M84" i="62"/>
  <c r="M82" i="62"/>
  <c r="M80" i="62"/>
  <c r="I92" i="62"/>
  <c r="I90" i="62"/>
  <c r="I88" i="62"/>
  <c r="I86" i="62"/>
  <c r="I84" i="62"/>
  <c r="I82" i="62"/>
  <c r="I78" i="62"/>
  <c r="M78" i="62"/>
  <c r="E92" i="62"/>
  <c r="E90" i="62"/>
  <c r="E88" i="62"/>
  <c r="E86" i="62"/>
  <c r="E84" i="62"/>
  <c r="E82" i="62"/>
  <c r="E78" i="62"/>
  <c r="M51" i="64"/>
  <c r="I59" i="64"/>
  <c r="I57" i="64"/>
  <c r="I55" i="64"/>
  <c r="I53" i="64"/>
  <c r="I51" i="64"/>
  <c r="E59" i="64"/>
  <c r="E57" i="64"/>
  <c r="E55" i="64"/>
  <c r="E53" i="64"/>
  <c r="E51" i="64"/>
  <c r="M57" i="63"/>
  <c r="M55" i="63"/>
  <c r="M53" i="63"/>
  <c r="M49" i="63"/>
  <c r="M51" i="63"/>
  <c r="M47" i="63"/>
  <c r="I57" i="63"/>
  <c r="I55" i="63"/>
  <c r="I53" i="63"/>
  <c r="I51" i="63"/>
  <c r="I49" i="63"/>
  <c r="I47" i="63"/>
  <c r="E57" i="63"/>
  <c r="E55" i="63"/>
  <c r="E53" i="63"/>
  <c r="E51" i="63"/>
  <c r="E49" i="63"/>
  <c r="C62" i="64" l="1"/>
  <c r="L62" i="64"/>
  <c r="C64" i="64" s="1"/>
  <c r="L94" i="62"/>
  <c r="E47" i="63"/>
  <c r="F59" i="63" s="1"/>
  <c r="F30" i="66"/>
  <c r="E30" i="66"/>
  <c r="D30" i="66"/>
  <c r="C30" i="66"/>
  <c r="B30" i="66"/>
  <c r="F29" i="66"/>
  <c r="E29" i="66"/>
  <c r="D29" i="66"/>
  <c r="C29" i="66"/>
  <c r="B29" i="66"/>
  <c r="F28" i="66"/>
  <c r="E28" i="66"/>
  <c r="D28" i="66"/>
  <c r="C28" i="66"/>
  <c r="B28" i="66"/>
  <c r="F27" i="66"/>
  <c r="E27" i="66"/>
  <c r="D27" i="66"/>
  <c r="C27" i="66"/>
  <c r="B27" i="66"/>
  <c r="F26" i="66"/>
  <c r="E26" i="66"/>
  <c r="D26" i="66"/>
  <c r="C26" i="66"/>
  <c r="B26" i="66"/>
  <c r="F25" i="66"/>
  <c r="E25" i="66"/>
  <c r="D25" i="66"/>
  <c r="C25" i="66"/>
  <c r="B25" i="66"/>
  <c r="F24" i="66"/>
  <c r="E24" i="66"/>
  <c r="D24" i="66"/>
  <c r="C24" i="66"/>
  <c r="B24" i="66"/>
  <c r="F23" i="66"/>
  <c r="E23" i="66"/>
  <c r="D23" i="66"/>
  <c r="C23" i="66"/>
  <c r="B23" i="66"/>
  <c r="F22" i="66"/>
  <c r="E22" i="66"/>
  <c r="D22" i="66"/>
  <c r="C22" i="66"/>
  <c r="B22" i="66"/>
  <c r="F21" i="66"/>
  <c r="E21" i="66"/>
  <c r="D21" i="66"/>
  <c r="C21" i="66"/>
  <c r="B21" i="66"/>
  <c r="F20" i="66"/>
  <c r="E20" i="66"/>
  <c r="D20" i="66"/>
  <c r="C20" i="66"/>
  <c r="B20" i="66"/>
  <c r="F19" i="66"/>
  <c r="E19" i="66"/>
  <c r="D19" i="66"/>
  <c r="C19" i="66"/>
  <c r="B19" i="66"/>
  <c r="F18" i="66"/>
  <c r="E18" i="66"/>
  <c r="D18" i="66"/>
  <c r="C18" i="66"/>
  <c r="B18" i="66"/>
  <c r="F17" i="66"/>
  <c r="E17" i="66"/>
  <c r="D17" i="66"/>
  <c r="C17" i="66"/>
  <c r="B17" i="66"/>
  <c r="F16" i="66"/>
  <c r="E16" i="66"/>
  <c r="D16" i="66"/>
  <c r="C16" i="66"/>
  <c r="B16" i="66"/>
  <c r="F15" i="66"/>
  <c r="E15" i="66"/>
  <c r="D15" i="66"/>
  <c r="C15" i="66"/>
  <c r="B15" i="66"/>
  <c r="F14" i="66"/>
  <c r="E14" i="66"/>
  <c r="D14" i="66"/>
  <c r="C14" i="66"/>
  <c r="B14" i="66"/>
  <c r="F13" i="66"/>
  <c r="E13" i="66"/>
  <c r="D13" i="66"/>
  <c r="C13" i="66"/>
  <c r="B13" i="66"/>
  <c r="F12" i="66"/>
  <c r="E12" i="66"/>
  <c r="D12" i="66"/>
  <c r="C12" i="66"/>
  <c r="B12" i="66"/>
  <c r="F11" i="66"/>
  <c r="E11" i="66"/>
  <c r="D11" i="66"/>
  <c r="C11" i="66"/>
  <c r="B11" i="66"/>
  <c r="F10" i="66"/>
  <c r="E10" i="66"/>
  <c r="D10" i="66"/>
  <c r="C10" i="66"/>
  <c r="B10" i="66"/>
  <c r="F9" i="66"/>
  <c r="E9" i="66"/>
  <c r="D9" i="66"/>
  <c r="C9" i="66"/>
  <c r="B9" i="66"/>
  <c r="F8" i="66"/>
  <c r="E8" i="66"/>
  <c r="D8" i="66"/>
  <c r="C8" i="66"/>
  <c r="B8" i="66"/>
  <c r="F7" i="66"/>
  <c r="E7" i="66"/>
  <c r="D7" i="66"/>
  <c r="C7" i="66"/>
  <c r="B7" i="66"/>
  <c r="F6" i="66"/>
  <c r="E6" i="66"/>
  <c r="D6" i="66"/>
  <c r="C6" i="66"/>
  <c r="B6" i="66"/>
  <c r="B6" i="60"/>
  <c r="C6" i="60"/>
  <c r="D6" i="60"/>
  <c r="E6" i="60"/>
  <c r="F6" i="60"/>
  <c r="G6" i="60"/>
  <c r="B7" i="60"/>
  <c r="C7" i="60"/>
  <c r="D7" i="60"/>
  <c r="E7" i="60"/>
  <c r="F7" i="60"/>
  <c r="G7" i="60"/>
  <c r="G8" i="60" s="1"/>
  <c r="G9" i="60" s="1"/>
  <c r="G10" i="60" s="1"/>
  <c r="G11" i="60" s="1"/>
  <c r="G12" i="60" s="1"/>
  <c r="G13" i="60" s="1"/>
  <c r="G14" i="60" s="1"/>
  <c r="G15" i="60" s="1"/>
  <c r="G16" i="60" s="1"/>
  <c r="G17" i="60" s="1"/>
  <c r="G18" i="60" s="1"/>
  <c r="G19" i="60" s="1"/>
  <c r="G20" i="60" s="1"/>
  <c r="G21" i="60" s="1"/>
  <c r="G22" i="60" s="1"/>
  <c r="G23" i="60" s="1"/>
  <c r="G24" i="60" s="1"/>
  <c r="G25" i="60" s="1"/>
  <c r="G26" i="60" s="1"/>
  <c r="G27" i="60" s="1"/>
  <c r="G28" i="60" s="1"/>
  <c r="G29" i="60" s="1"/>
  <c r="G30" i="60" s="1"/>
  <c r="B8" i="60"/>
  <c r="C8" i="60"/>
  <c r="D8" i="60"/>
  <c r="E8" i="60"/>
  <c r="F8" i="60"/>
  <c r="B9" i="60"/>
  <c r="C9" i="60"/>
  <c r="D9" i="60"/>
  <c r="E9" i="60"/>
  <c r="F9" i="60"/>
  <c r="B10" i="60"/>
  <c r="C10" i="60"/>
  <c r="D10" i="60"/>
  <c r="E10" i="60"/>
  <c r="F10" i="60"/>
  <c r="B11" i="60"/>
  <c r="C11" i="60"/>
  <c r="D11" i="60"/>
  <c r="E11" i="60"/>
  <c r="F11" i="60"/>
  <c r="B12" i="60"/>
  <c r="C12" i="60"/>
  <c r="D12" i="60"/>
  <c r="E12" i="60"/>
  <c r="F12" i="60"/>
  <c r="B13" i="60"/>
  <c r="C13" i="60"/>
  <c r="D13" i="60"/>
  <c r="E13" i="60"/>
  <c r="F13" i="60"/>
  <c r="B14" i="60"/>
  <c r="C14" i="60"/>
  <c r="D14" i="60"/>
  <c r="E14" i="60"/>
  <c r="F14" i="60"/>
  <c r="B15" i="60"/>
  <c r="C15" i="60"/>
  <c r="D15" i="60"/>
  <c r="E15" i="60"/>
  <c r="F15" i="60"/>
  <c r="B16" i="60"/>
  <c r="C16" i="60"/>
  <c r="D16" i="60"/>
  <c r="E16" i="60"/>
  <c r="F16" i="60"/>
  <c r="B17" i="60"/>
  <c r="C17" i="60"/>
  <c r="D17" i="60"/>
  <c r="E17" i="60"/>
  <c r="F17" i="60"/>
  <c r="B18" i="60"/>
  <c r="C18" i="60"/>
  <c r="D18" i="60"/>
  <c r="E18" i="60"/>
  <c r="F18" i="60"/>
  <c r="B19" i="60"/>
  <c r="C19" i="60"/>
  <c r="D19" i="60"/>
  <c r="E19" i="60"/>
  <c r="F19" i="60"/>
  <c r="B20" i="60"/>
  <c r="C20" i="60"/>
  <c r="D20" i="60"/>
  <c r="E20" i="60"/>
  <c r="F20" i="60"/>
  <c r="B21" i="60"/>
  <c r="C21" i="60"/>
  <c r="D21" i="60"/>
  <c r="E21" i="60"/>
  <c r="F21" i="60"/>
  <c r="B22" i="60"/>
  <c r="C22" i="60"/>
  <c r="D22" i="60"/>
  <c r="E22" i="60"/>
  <c r="F22" i="60"/>
  <c r="B23" i="60"/>
  <c r="C23" i="60"/>
  <c r="D23" i="60"/>
  <c r="E23" i="60"/>
  <c r="F23" i="60"/>
  <c r="B24" i="60"/>
  <c r="C24" i="60"/>
  <c r="D24" i="60"/>
  <c r="E24" i="60"/>
  <c r="F24" i="60"/>
  <c r="B25" i="60"/>
  <c r="C25" i="60"/>
  <c r="D25" i="60"/>
  <c r="E25" i="60"/>
  <c r="F25" i="60"/>
  <c r="B26" i="60"/>
  <c r="C26" i="60"/>
  <c r="D26" i="60"/>
  <c r="E26" i="60"/>
  <c r="F26" i="60"/>
  <c r="B27" i="60"/>
  <c r="C27" i="60"/>
  <c r="D27" i="60"/>
  <c r="E27" i="60"/>
  <c r="F27" i="60"/>
  <c r="B28" i="60"/>
  <c r="C28" i="60"/>
  <c r="D28" i="60"/>
  <c r="E28" i="60"/>
  <c r="F28" i="60"/>
  <c r="B29" i="60"/>
  <c r="C29" i="60"/>
  <c r="D29" i="60"/>
  <c r="E29" i="60"/>
  <c r="F29" i="60"/>
  <c r="B30" i="60"/>
  <c r="C30" i="60"/>
  <c r="D30" i="60"/>
  <c r="E30" i="60"/>
  <c r="F30" i="60"/>
  <c r="G115" i="62" l="1"/>
  <c r="G83" i="64"/>
  <c r="C96" i="62" l="1"/>
  <c r="G76" i="63"/>
  <c r="O7" i="61" l="1"/>
  <c r="O8" i="61"/>
  <c r="O9" i="61"/>
  <c r="O10" i="61"/>
  <c r="O11" i="61"/>
  <c r="O12" i="61"/>
  <c r="O13" i="61"/>
  <c r="O14" i="61"/>
  <c r="O15" i="61"/>
  <c r="O16" i="61"/>
  <c r="O17" i="61"/>
  <c r="O18" i="61"/>
  <c r="O19" i="61"/>
  <c r="O20" i="61"/>
  <c r="O21" i="61"/>
  <c r="O22" i="61"/>
  <c r="O23" i="61"/>
  <c r="O24" i="61"/>
  <c r="O25" i="61"/>
  <c r="O26" i="61"/>
  <c r="O27" i="61"/>
  <c r="O28" i="61"/>
  <c r="O29" i="61"/>
  <c r="O30" i="61"/>
  <c r="O6" i="61"/>
  <c r="N7" i="61"/>
  <c r="N8" i="61"/>
  <c r="N9" i="61"/>
  <c r="N10" i="61"/>
  <c r="N11" i="61"/>
  <c r="N12" i="61"/>
  <c r="N13" i="61"/>
  <c r="N14" i="61"/>
  <c r="N15" i="61"/>
  <c r="N16" i="61"/>
  <c r="N17" i="61"/>
  <c r="N18" i="61"/>
  <c r="N19" i="61"/>
  <c r="N20" i="61"/>
  <c r="N21" i="61"/>
  <c r="N22" i="61"/>
  <c r="N23" i="61"/>
  <c r="N24" i="61"/>
  <c r="N25" i="61"/>
  <c r="N26" i="61"/>
  <c r="N27" i="61"/>
  <c r="N28" i="61"/>
  <c r="N29" i="61"/>
  <c r="N30" i="61"/>
  <c r="N6" i="61"/>
  <c r="AA7" i="61"/>
  <c r="AA8" i="61"/>
  <c r="AA9" i="61"/>
  <c r="AA10" i="61"/>
  <c r="AA11" i="61"/>
  <c r="AA12" i="61"/>
  <c r="AA13" i="61"/>
  <c r="AA14" i="61"/>
  <c r="AA15" i="61"/>
  <c r="AA16" i="61"/>
  <c r="AA17" i="61"/>
  <c r="AA18" i="61"/>
  <c r="AA19" i="61"/>
  <c r="AA20" i="61"/>
  <c r="AA21" i="61"/>
  <c r="AA22" i="61"/>
  <c r="AA23" i="61"/>
  <c r="AA24" i="61"/>
  <c r="AA25" i="61"/>
  <c r="AA26" i="61"/>
  <c r="AA27" i="61"/>
  <c r="AA28" i="61"/>
  <c r="AA29" i="61"/>
  <c r="AA30" i="61"/>
  <c r="AA6" i="61"/>
  <c r="Z7" i="61"/>
  <c r="Z8" i="61"/>
  <c r="Z9" i="61"/>
  <c r="Z10" i="61"/>
  <c r="Z11" i="61"/>
  <c r="Z12" i="61"/>
  <c r="Z13" i="61"/>
  <c r="Z14" i="61"/>
  <c r="Z15" i="61"/>
  <c r="Z16" i="61"/>
  <c r="Z17" i="61"/>
  <c r="Z18" i="61"/>
  <c r="Z19" i="61"/>
  <c r="Z20" i="61"/>
  <c r="Z21" i="61"/>
  <c r="Z22" i="61"/>
  <c r="Z23" i="61"/>
  <c r="Z24" i="61"/>
  <c r="Z25" i="61"/>
  <c r="Z26" i="61"/>
  <c r="Z27" i="61"/>
  <c r="Z28" i="61"/>
  <c r="Z29" i="61"/>
  <c r="Z30" i="61"/>
  <c r="Z6" i="61"/>
  <c r="AI30" i="61"/>
  <c r="AH30" i="61"/>
  <c r="AG30" i="61"/>
  <c r="AF30" i="61"/>
  <c r="AE30" i="61"/>
  <c r="AD30" i="61"/>
  <c r="AC30" i="61"/>
  <c r="AB30" i="61"/>
  <c r="AI29" i="61"/>
  <c r="AH29" i="61"/>
  <c r="AG29" i="61"/>
  <c r="AF29" i="61"/>
  <c r="AE29" i="61"/>
  <c r="AD29" i="61"/>
  <c r="AC29" i="61"/>
  <c r="AB29" i="61"/>
  <c r="AI28" i="61"/>
  <c r="AH28" i="61"/>
  <c r="AG28" i="61"/>
  <c r="AF28" i="61"/>
  <c r="AE28" i="61"/>
  <c r="AD28" i="61"/>
  <c r="AC28" i="61"/>
  <c r="AB28" i="61"/>
  <c r="AI27" i="61"/>
  <c r="AH27" i="61"/>
  <c r="AG27" i="61"/>
  <c r="AF27" i="61"/>
  <c r="AE27" i="61"/>
  <c r="AD27" i="61"/>
  <c r="AC27" i="61"/>
  <c r="AB27" i="61"/>
  <c r="AI26" i="61"/>
  <c r="AH26" i="61"/>
  <c r="AG26" i="61"/>
  <c r="AF26" i="61"/>
  <c r="AE26" i="61"/>
  <c r="AD26" i="61"/>
  <c r="AC26" i="61"/>
  <c r="AB26" i="61"/>
  <c r="AI25" i="61"/>
  <c r="AH25" i="61"/>
  <c r="AG25" i="61"/>
  <c r="AF25" i="61"/>
  <c r="AE25" i="61"/>
  <c r="AD25" i="61"/>
  <c r="AC25" i="61"/>
  <c r="AB25" i="61"/>
  <c r="AI24" i="61"/>
  <c r="AH24" i="61"/>
  <c r="AG24" i="61"/>
  <c r="AF24" i="61"/>
  <c r="AE24" i="61"/>
  <c r="AD24" i="61"/>
  <c r="AC24" i="61"/>
  <c r="AB24" i="61"/>
  <c r="AI23" i="61"/>
  <c r="AH23" i="61"/>
  <c r="AG23" i="61"/>
  <c r="AF23" i="61"/>
  <c r="AE23" i="61"/>
  <c r="AD23" i="61"/>
  <c r="AC23" i="61"/>
  <c r="AB23" i="61"/>
  <c r="AI22" i="61"/>
  <c r="AH22" i="61"/>
  <c r="AG22" i="61"/>
  <c r="AF22" i="61"/>
  <c r="AE22" i="61"/>
  <c r="AD22" i="61"/>
  <c r="AC22" i="61"/>
  <c r="AB22" i="61"/>
  <c r="AI21" i="61"/>
  <c r="AH21" i="61"/>
  <c r="AG21" i="61"/>
  <c r="AF21" i="61"/>
  <c r="AE21" i="61"/>
  <c r="AD21" i="61"/>
  <c r="AC21" i="61"/>
  <c r="AB21" i="61"/>
  <c r="AI20" i="61"/>
  <c r="AH20" i="61"/>
  <c r="AG20" i="61"/>
  <c r="AF20" i="61"/>
  <c r="AE20" i="61"/>
  <c r="AD20" i="61"/>
  <c r="AC20" i="61"/>
  <c r="AB20" i="61"/>
  <c r="AI19" i="61"/>
  <c r="AH19" i="61"/>
  <c r="AG19" i="61"/>
  <c r="AF19" i="61"/>
  <c r="AE19" i="61"/>
  <c r="AD19" i="61"/>
  <c r="AC19" i="61"/>
  <c r="AB19" i="61"/>
  <c r="AI18" i="61"/>
  <c r="AH18" i="61"/>
  <c r="AG18" i="61"/>
  <c r="AF18" i="61"/>
  <c r="AE18" i="61"/>
  <c r="AD18" i="61"/>
  <c r="AC18" i="61"/>
  <c r="AB18" i="61"/>
  <c r="AI17" i="61"/>
  <c r="AH17" i="61"/>
  <c r="AG17" i="61"/>
  <c r="AF17" i="61"/>
  <c r="AE17" i="61"/>
  <c r="AD17" i="61"/>
  <c r="AC17" i="61"/>
  <c r="AB17" i="61"/>
  <c r="AI16" i="61"/>
  <c r="AH16" i="61"/>
  <c r="AG16" i="61"/>
  <c r="AF16" i="61"/>
  <c r="AE16" i="61"/>
  <c r="AD16" i="61"/>
  <c r="AC16" i="61"/>
  <c r="AB16" i="61"/>
  <c r="AI15" i="61"/>
  <c r="AH15" i="61"/>
  <c r="AG15" i="61"/>
  <c r="AF15" i="61"/>
  <c r="AE15" i="61"/>
  <c r="AD15" i="61"/>
  <c r="AC15" i="61"/>
  <c r="AB15" i="61"/>
  <c r="AI14" i="61"/>
  <c r="AH14" i="61"/>
  <c r="AG14" i="61"/>
  <c r="AF14" i="61"/>
  <c r="AE14" i="61"/>
  <c r="AD14" i="61"/>
  <c r="AC14" i="61"/>
  <c r="AB14" i="61"/>
  <c r="AI13" i="61"/>
  <c r="AH13" i="61"/>
  <c r="AG13" i="61"/>
  <c r="AF13" i="61"/>
  <c r="AE13" i="61"/>
  <c r="AD13" i="61"/>
  <c r="AC13" i="61"/>
  <c r="AB13" i="61"/>
  <c r="AI12" i="61"/>
  <c r="AH12" i="61"/>
  <c r="AG12" i="61"/>
  <c r="AF12" i="61"/>
  <c r="AE12" i="61"/>
  <c r="AD12" i="61"/>
  <c r="AC12" i="61"/>
  <c r="AB12" i="61"/>
  <c r="AI11" i="61"/>
  <c r="AH11" i="61"/>
  <c r="AG11" i="61"/>
  <c r="AF11" i="61"/>
  <c r="AE11" i="61"/>
  <c r="AD11" i="61"/>
  <c r="AC11" i="61"/>
  <c r="AB11" i="61"/>
  <c r="AI10" i="61"/>
  <c r="AH10" i="61"/>
  <c r="AG10" i="61"/>
  <c r="AF10" i="61"/>
  <c r="AE10" i="61"/>
  <c r="AD10" i="61"/>
  <c r="AC10" i="61"/>
  <c r="AB10" i="61"/>
  <c r="AI9" i="61"/>
  <c r="AH9" i="61"/>
  <c r="AG9" i="61"/>
  <c r="AF9" i="61"/>
  <c r="AE9" i="61"/>
  <c r="AD9" i="61"/>
  <c r="AC9" i="61"/>
  <c r="AB9" i="61"/>
  <c r="AI8" i="61"/>
  <c r="AH8" i="61"/>
  <c r="AG8" i="61"/>
  <c r="AF8" i="61"/>
  <c r="AE8" i="61"/>
  <c r="AD8" i="61"/>
  <c r="AC8" i="61"/>
  <c r="AB8" i="61"/>
  <c r="AI7" i="61"/>
  <c r="AH7" i="61"/>
  <c r="AG7" i="61"/>
  <c r="AF7" i="61"/>
  <c r="AE7" i="61"/>
  <c r="AD7" i="61"/>
  <c r="AC7" i="61"/>
  <c r="AB7" i="61"/>
  <c r="AI6" i="61"/>
  <c r="AH6" i="61"/>
  <c r="AG6" i="61"/>
  <c r="AF6" i="61"/>
  <c r="AE6" i="61"/>
  <c r="AD6" i="61"/>
  <c r="AC6" i="61"/>
  <c r="AB6" i="61"/>
  <c r="AC5" i="61"/>
  <c r="C7" i="61"/>
  <c r="C8" i="61"/>
  <c r="C9" i="61"/>
  <c r="C10" i="61"/>
  <c r="C11" i="61"/>
  <c r="C12" i="61"/>
  <c r="C13" i="61"/>
  <c r="C14" i="61"/>
  <c r="C15" i="61"/>
  <c r="C16" i="61"/>
  <c r="C17" i="61"/>
  <c r="C18" i="61"/>
  <c r="C19" i="61"/>
  <c r="C20" i="61"/>
  <c r="C21" i="61"/>
  <c r="C22" i="61"/>
  <c r="C23" i="61"/>
  <c r="C24" i="61"/>
  <c r="C25" i="61"/>
  <c r="C26" i="61"/>
  <c r="C27" i="61"/>
  <c r="C28" i="61"/>
  <c r="C29" i="61"/>
  <c r="C30" i="61"/>
  <c r="C6" i="61"/>
  <c r="D7" i="61"/>
  <c r="D8" i="61"/>
  <c r="D9" i="61"/>
  <c r="D10" i="61"/>
  <c r="D11" i="61"/>
  <c r="D12" i="61"/>
  <c r="D13" i="61"/>
  <c r="D14" i="61"/>
  <c r="D15" i="61"/>
  <c r="D16" i="61"/>
  <c r="D17" i="61"/>
  <c r="D18" i="61"/>
  <c r="D19" i="61"/>
  <c r="D20" i="61"/>
  <c r="D21" i="61"/>
  <c r="D22" i="61"/>
  <c r="D23" i="61"/>
  <c r="D24" i="61"/>
  <c r="D25" i="61"/>
  <c r="D26" i="61"/>
  <c r="D27" i="61"/>
  <c r="D28" i="61"/>
  <c r="D29" i="61"/>
  <c r="D30" i="61"/>
  <c r="K7" i="61"/>
  <c r="K8" i="61"/>
  <c r="K9" i="61"/>
  <c r="K10" i="61"/>
  <c r="K11" i="61"/>
  <c r="K12" i="61"/>
  <c r="K13" i="61"/>
  <c r="K14" i="61"/>
  <c r="K15" i="61"/>
  <c r="K16" i="61"/>
  <c r="K17" i="61"/>
  <c r="K18" i="61"/>
  <c r="K19" i="61"/>
  <c r="K20" i="61"/>
  <c r="K21" i="61"/>
  <c r="K22" i="61"/>
  <c r="K23" i="61"/>
  <c r="K24" i="61"/>
  <c r="K25" i="61"/>
  <c r="K26" i="61"/>
  <c r="K27" i="61"/>
  <c r="K28" i="61"/>
  <c r="K29" i="61"/>
  <c r="K30" i="61"/>
  <c r="I7" i="61"/>
  <c r="I8" i="61"/>
  <c r="I9" i="61"/>
  <c r="I10" i="61"/>
  <c r="I11" i="61"/>
  <c r="I12" i="61"/>
  <c r="I13" i="61"/>
  <c r="I14" i="61"/>
  <c r="I15" i="61"/>
  <c r="I16" i="61"/>
  <c r="I17" i="61"/>
  <c r="I18" i="61"/>
  <c r="I19" i="61"/>
  <c r="I20" i="61"/>
  <c r="I21" i="61"/>
  <c r="I22" i="61"/>
  <c r="I23" i="61"/>
  <c r="I24" i="61"/>
  <c r="I25" i="61"/>
  <c r="I26" i="61"/>
  <c r="I27" i="61"/>
  <c r="I28" i="61"/>
  <c r="I29" i="61"/>
  <c r="I30" i="61"/>
  <c r="G7" i="61"/>
  <c r="G8" i="61"/>
  <c r="G9" i="61"/>
  <c r="G10" i="61"/>
  <c r="G11" i="61"/>
  <c r="G12" i="61"/>
  <c r="G13" i="61"/>
  <c r="G14" i="61"/>
  <c r="G15" i="61"/>
  <c r="G16" i="61"/>
  <c r="G17" i="61"/>
  <c r="G18" i="61"/>
  <c r="G19" i="61"/>
  <c r="G20" i="61"/>
  <c r="G21" i="61"/>
  <c r="G22" i="61"/>
  <c r="G23" i="61"/>
  <c r="G24" i="61"/>
  <c r="G25" i="61"/>
  <c r="G26" i="61"/>
  <c r="G27" i="61"/>
  <c r="G28" i="61"/>
  <c r="G29" i="61"/>
  <c r="G30" i="61"/>
  <c r="E7" i="61"/>
  <c r="E8" i="61"/>
  <c r="E9" i="61"/>
  <c r="E10" i="61"/>
  <c r="E11" i="61"/>
  <c r="E12" i="61"/>
  <c r="E13" i="61"/>
  <c r="E14" i="61"/>
  <c r="E15" i="61"/>
  <c r="E16" i="61"/>
  <c r="E17" i="61"/>
  <c r="E18" i="61"/>
  <c r="E19" i="61"/>
  <c r="E20" i="61"/>
  <c r="E21" i="61"/>
  <c r="E22" i="61"/>
  <c r="E23" i="61"/>
  <c r="E24" i="61"/>
  <c r="E25" i="61"/>
  <c r="E26" i="61"/>
  <c r="E27" i="61"/>
  <c r="E28" i="61"/>
  <c r="E29" i="61"/>
  <c r="E30" i="61"/>
  <c r="J7" i="61"/>
  <c r="J8" i="61"/>
  <c r="J9" i="61"/>
  <c r="J10" i="61"/>
  <c r="J11" i="61"/>
  <c r="J12" i="61"/>
  <c r="J13" i="61"/>
  <c r="J14" i="61"/>
  <c r="J15" i="61"/>
  <c r="J16" i="61"/>
  <c r="J17" i="61"/>
  <c r="J18" i="61"/>
  <c r="J19" i="61"/>
  <c r="J20" i="61"/>
  <c r="J21" i="61"/>
  <c r="J22" i="61"/>
  <c r="J23" i="61"/>
  <c r="J24" i="61"/>
  <c r="J25" i="61"/>
  <c r="J26" i="61"/>
  <c r="J27" i="61"/>
  <c r="J28" i="61"/>
  <c r="J29" i="61"/>
  <c r="J30" i="61"/>
  <c r="H7" i="61"/>
  <c r="H8" i="61"/>
  <c r="H9" i="61"/>
  <c r="H10" i="61"/>
  <c r="H11" i="61"/>
  <c r="H12" i="61"/>
  <c r="H13" i="61"/>
  <c r="H14" i="61"/>
  <c r="H15" i="61"/>
  <c r="H16" i="61"/>
  <c r="H17" i="61"/>
  <c r="H18" i="61"/>
  <c r="H19" i="61"/>
  <c r="H20" i="61"/>
  <c r="H21" i="61"/>
  <c r="H22" i="61"/>
  <c r="H23" i="61"/>
  <c r="H24" i="61"/>
  <c r="H25" i="61"/>
  <c r="H26" i="61"/>
  <c r="H27" i="61"/>
  <c r="H28" i="61"/>
  <c r="H29" i="61"/>
  <c r="H30" i="61"/>
  <c r="F7" i="61"/>
  <c r="F8" i="61"/>
  <c r="F9" i="61"/>
  <c r="F10" i="61"/>
  <c r="F11" i="61"/>
  <c r="F12" i="61"/>
  <c r="F13" i="61"/>
  <c r="F14" i="61"/>
  <c r="F15" i="61"/>
  <c r="F16" i="61"/>
  <c r="F17" i="61"/>
  <c r="F18" i="61"/>
  <c r="F19" i="61"/>
  <c r="F20" i="61"/>
  <c r="F21" i="61"/>
  <c r="F22" i="61"/>
  <c r="F23" i="61"/>
  <c r="F24" i="61"/>
  <c r="F25" i="61"/>
  <c r="F26" i="61"/>
  <c r="F27" i="61"/>
  <c r="F28" i="61"/>
  <c r="F29" i="61"/>
  <c r="F30" i="61"/>
  <c r="B7" i="61"/>
  <c r="B8" i="61"/>
  <c r="B9" i="61"/>
  <c r="B10" i="61"/>
  <c r="B11" i="61"/>
  <c r="B12" i="61"/>
  <c r="B13" i="61"/>
  <c r="B14" i="61"/>
  <c r="B15" i="61"/>
  <c r="B16" i="61"/>
  <c r="B17" i="61"/>
  <c r="B18" i="61"/>
  <c r="B19" i="61"/>
  <c r="B20" i="61"/>
  <c r="B21" i="61"/>
  <c r="B22" i="61"/>
  <c r="B23" i="61"/>
  <c r="B24" i="61"/>
  <c r="B25" i="61"/>
  <c r="B26" i="61"/>
  <c r="B27" i="61"/>
  <c r="B28" i="61"/>
  <c r="B29" i="61"/>
  <c r="B30" i="61"/>
  <c r="B6" i="61"/>
  <c r="K6" i="61"/>
  <c r="J6" i="61"/>
  <c r="I6" i="61"/>
  <c r="H6" i="61"/>
  <c r="G6" i="61"/>
  <c r="F6" i="61"/>
  <c r="E6" i="61"/>
  <c r="D6" i="61"/>
  <c r="W30" i="61" l="1"/>
  <c r="V30" i="61"/>
  <c r="U30" i="61"/>
  <c r="T30" i="61"/>
  <c r="S30" i="61"/>
  <c r="R30" i="61"/>
  <c r="Q30" i="61"/>
  <c r="P30" i="61"/>
  <c r="W29" i="61"/>
  <c r="V29" i="61"/>
  <c r="U29" i="61"/>
  <c r="T29" i="61"/>
  <c r="S29" i="61"/>
  <c r="R29" i="61"/>
  <c r="Q29" i="61"/>
  <c r="P29" i="61"/>
  <c r="W28" i="61"/>
  <c r="V28" i="61"/>
  <c r="U28" i="61"/>
  <c r="T28" i="61"/>
  <c r="S28" i="61"/>
  <c r="R28" i="61"/>
  <c r="Q28" i="61"/>
  <c r="P28" i="61"/>
  <c r="W27" i="61"/>
  <c r="V27" i="61"/>
  <c r="U27" i="61"/>
  <c r="T27" i="61"/>
  <c r="S27" i="61"/>
  <c r="R27" i="61"/>
  <c r="Q27" i="61"/>
  <c r="P27" i="61"/>
  <c r="W26" i="61"/>
  <c r="V26" i="61"/>
  <c r="U26" i="61"/>
  <c r="T26" i="61"/>
  <c r="S26" i="61"/>
  <c r="R26" i="61"/>
  <c r="Q26" i="61"/>
  <c r="P26" i="61"/>
  <c r="W25" i="61"/>
  <c r="V25" i="61"/>
  <c r="U25" i="61"/>
  <c r="T25" i="61"/>
  <c r="S25" i="61"/>
  <c r="R25" i="61"/>
  <c r="Q25" i="61"/>
  <c r="P25" i="61"/>
  <c r="W24" i="61"/>
  <c r="V24" i="61"/>
  <c r="U24" i="61"/>
  <c r="T24" i="61"/>
  <c r="S24" i="61"/>
  <c r="R24" i="61"/>
  <c r="Q24" i="61"/>
  <c r="P24" i="61"/>
  <c r="W23" i="61"/>
  <c r="V23" i="61"/>
  <c r="U23" i="61"/>
  <c r="T23" i="61"/>
  <c r="S23" i="61"/>
  <c r="R23" i="61"/>
  <c r="Q23" i="61"/>
  <c r="P23" i="61"/>
  <c r="W22" i="61"/>
  <c r="V22" i="61"/>
  <c r="U22" i="61"/>
  <c r="T22" i="61"/>
  <c r="S22" i="61"/>
  <c r="R22" i="61"/>
  <c r="Q22" i="61"/>
  <c r="P22" i="61"/>
  <c r="W21" i="61"/>
  <c r="V21" i="61"/>
  <c r="U21" i="61"/>
  <c r="T21" i="61"/>
  <c r="S21" i="61"/>
  <c r="R21" i="61"/>
  <c r="Q21" i="61"/>
  <c r="P21" i="61"/>
  <c r="W20" i="61"/>
  <c r="V20" i="61"/>
  <c r="U20" i="61"/>
  <c r="T20" i="61"/>
  <c r="S20" i="61"/>
  <c r="R20" i="61"/>
  <c r="Q20" i="61"/>
  <c r="P20" i="61"/>
  <c r="W19" i="61"/>
  <c r="V19" i="61"/>
  <c r="U19" i="61"/>
  <c r="T19" i="61"/>
  <c r="S19" i="61"/>
  <c r="R19" i="61"/>
  <c r="Q19" i="61"/>
  <c r="P19" i="61"/>
  <c r="W18" i="61"/>
  <c r="V18" i="61"/>
  <c r="U18" i="61"/>
  <c r="T18" i="61"/>
  <c r="S18" i="61"/>
  <c r="R18" i="61"/>
  <c r="Q18" i="61"/>
  <c r="P18" i="61"/>
  <c r="W17" i="61"/>
  <c r="V17" i="61"/>
  <c r="U17" i="61"/>
  <c r="T17" i="61"/>
  <c r="S17" i="61"/>
  <c r="R17" i="61"/>
  <c r="Q17" i="61"/>
  <c r="P17" i="61"/>
  <c r="W16" i="61"/>
  <c r="V16" i="61"/>
  <c r="U16" i="61"/>
  <c r="T16" i="61"/>
  <c r="S16" i="61"/>
  <c r="R16" i="61"/>
  <c r="Q16" i="61"/>
  <c r="P16" i="61"/>
  <c r="W15" i="61"/>
  <c r="V15" i="61"/>
  <c r="U15" i="61"/>
  <c r="T15" i="61"/>
  <c r="S15" i="61"/>
  <c r="R15" i="61"/>
  <c r="Q15" i="61"/>
  <c r="P15" i="61"/>
  <c r="W14" i="61"/>
  <c r="V14" i="61"/>
  <c r="U14" i="61"/>
  <c r="T14" i="61"/>
  <c r="S14" i="61"/>
  <c r="R14" i="61"/>
  <c r="Q14" i="61"/>
  <c r="P14" i="61"/>
  <c r="W13" i="61"/>
  <c r="V13" i="61"/>
  <c r="U13" i="61"/>
  <c r="T13" i="61"/>
  <c r="S13" i="61"/>
  <c r="R13" i="61"/>
  <c r="Q13" i="61"/>
  <c r="P13" i="61"/>
  <c r="W12" i="61"/>
  <c r="V12" i="61"/>
  <c r="U12" i="61"/>
  <c r="T12" i="61"/>
  <c r="S12" i="61"/>
  <c r="R12" i="61"/>
  <c r="Q12" i="61"/>
  <c r="P12" i="61"/>
  <c r="W11" i="61"/>
  <c r="V11" i="61"/>
  <c r="U11" i="61"/>
  <c r="T11" i="61"/>
  <c r="S11" i="61"/>
  <c r="R11" i="61"/>
  <c r="Q11" i="61"/>
  <c r="P11" i="61"/>
  <c r="W10" i="61"/>
  <c r="V10" i="61"/>
  <c r="U10" i="61"/>
  <c r="T10" i="61"/>
  <c r="S10" i="61"/>
  <c r="R10" i="61"/>
  <c r="Q10" i="61"/>
  <c r="P10" i="61"/>
  <c r="W9" i="61"/>
  <c r="V9" i="61"/>
  <c r="U9" i="61"/>
  <c r="T9" i="61"/>
  <c r="S9" i="61"/>
  <c r="R9" i="61"/>
  <c r="Q9" i="61"/>
  <c r="P9" i="61"/>
  <c r="W8" i="61"/>
  <c r="V8" i="61"/>
  <c r="U8" i="61"/>
  <c r="T8" i="61"/>
  <c r="S8" i="61"/>
  <c r="R8" i="61"/>
  <c r="Q8" i="61"/>
  <c r="P8" i="61"/>
  <c r="W7" i="61"/>
  <c r="V7" i="61"/>
  <c r="U7" i="61"/>
  <c r="T7" i="61"/>
  <c r="S7" i="61"/>
  <c r="R7" i="61"/>
  <c r="Q7" i="61"/>
  <c r="P7" i="61"/>
  <c r="W6" i="61"/>
  <c r="V6" i="61"/>
  <c r="U6" i="61"/>
  <c r="T6" i="61"/>
  <c r="S6" i="61"/>
  <c r="R6" i="61"/>
  <c r="Q6" i="61"/>
  <c r="P6" i="61"/>
  <c r="Q5" i="61"/>
  <c r="V7" i="60" l="1"/>
  <c r="V8" i="60"/>
  <c r="V9" i="60"/>
  <c r="V10" i="60"/>
  <c r="V11" i="60"/>
  <c r="V12" i="60"/>
  <c r="V13" i="60"/>
  <c r="V14" i="60"/>
  <c r="V15" i="60"/>
  <c r="V16" i="60"/>
  <c r="V17" i="60"/>
  <c r="V18" i="60"/>
  <c r="V19" i="60"/>
  <c r="V20" i="60"/>
  <c r="V21" i="60"/>
  <c r="V22" i="60"/>
  <c r="V23" i="60"/>
  <c r="V24" i="60"/>
  <c r="V25" i="60"/>
  <c r="V26" i="60"/>
  <c r="V27" i="60"/>
  <c r="V28" i="60"/>
  <c r="V29" i="60"/>
  <c r="V30" i="60"/>
  <c r="V6" i="60"/>
  <c r="U7" i="60"/>
  <c r="U8" i="60"/>
  <c r="U9" i="60"/>
  <c r="U10" i="60"/>
  <c r="U11" i="60"/>
  <c r="U12" i="60"/>
  <c r="U13" i="60"/>
  <c r="U14" i="60"/>
  <c r="U15" i="60"/>
  <c r="U16" i="60"/>
  <c r="U17" i="60"/>
  <c r="U18" i="60"/>
  <c r="U19" i="60"/>
  <c r="U20" i="60"/>
  <c r="U21" i="60"/>
  <c r="U22" i="60"/>
  <c r="U23" i="60"/>
  <c r="U24" i="60"/>
  <c r="U25" i="60"/>
  <c r="U26" i="60"/>
  <c r="U27" i="60"/>
  <c r="U28" i="60"/>
  <c r="U29" i="60"/>
  <c r="U30" i="60"/>
  <c r="U6" i="60"/>
  <c r="T7" i="60"/>
  <c r="T8" i="60"/>
  <c r="T9" i="60"/>
  <c r="T10" i="60"/>
  <c r="T11" i="60"/>
  <c r="T12" i="60"/>
  <c r="T13" i="60"/>
  <c r="T14" i="60"/>
  <c r="T15" i="60"/>
  <c r="T16" i="60"/>
  <c r="T17" i="60"/>
  <c r="T18" i="60"/>
  <c r="T19" i="60"/>
  <c r="T20" i="60"/>
  <c r="T21" i="60"/>
  <c r="T22" i="60"/>
  <c r="T23" i="60"/>
  <c r="T24" i="60"/>
  <c r="T25" i="60"/>
  <c r="T26" i="60"/>
  <c r="T27" i="60"/>
  <c r="T28" i="60"/>
  <c r="T29" i="60"/>
  <c r="T30" i="60"/>
  <c r="T6" i="60"/>
  <c r="S7" i="60"/>
  <c r="S8" i="60"/>
  <c r="S9" i="60"/>
  <c r="S10" i="60"/>
  <c r="S11" i="60"/>
  <c r="S12" i="60"/>
  <c r="S13" i="60"/>
  <c r="S14" i="60"/>
  <c r="S15" i="60"/>
  <c r="S16" i="60"/>
  <c r="S17" i="60"/>
  <c r="S18" i="60"/>
  <c r="S19" i="60"/>
  <c r="S20" i="60"/>
  <c r="S21" i="60"/>
  <c r="S22" i="60"/>
  <c r="S23" i="60"/>
  <c r="S24" i="60"/>
  <c r="S25" i="60"/>
  <c r="S26" i="60"/>
  <c r="S27" i="60"/>
  <c r="S28" i="60"/>
  <c r="S29" i="60"/>
  <c r="S30" i="60"/>
  <c r="S6" i="60"/>
  <c r="R7" i="60"/>
  <c r="R8" i="60"/>
  <c r="R9" i="60"/>
  <c r="R10" i="60"/>
  <c r="R11" i="60"/>
  <c r="R12" i="60"/>
  <c r="R13" i="60"/>
  <c r="R14" i="60"/>
  <c r="R15" i="60"/>
  <c r="R16" i="60"/>
  <c r="R17" i="60"/>
  <c r="R18" i="60"/>
  <c r="R19" i="60"/>
  <c r="R20" i="60"/>
  <c r="R21" i="60"/>
  <c r="R22" i="60"/>
  <c r="R23" i="60"/>
  <c r="R24" i="60"/>
  <c r="R25" i="60"/>
  <c r="R26" i="60"/>
  <c r="R27" i="60"/>
  <c r="R28" i="60"/>
  <c r="R29" i="60"/>
  <c r="R30" i="60"/>
  <c r="R6" i="60"/>
  <c r="W6" i="60"/>
  <c r="W7" i="60" s="1"/>
  <c r="W8" i="60" s="1"/>
  <c r="W9" i="60" s="1"/>
  <c r="W10" i="60" s="1"/>
  <c r="W11" i="60" s="1"/>
  <c r="W12" i="60" s="1"/>
  <c r="W13" i="60" s="1"/>
  <c r="W14" i="60" s="1"/>
  <c r="W15" i="60" s="1"/>
  <c r="W16" i="60" s="1"/>
  <c r="W17" i="60" s="1"/>
  <c r="W18" i="60" s="1"/>
  <c r="W19" i="60" s="1"/>
  <c r="W20" i="60" s="1"/>
  <c r="W21" i="60" s="1"/>
  <c r="W22" i="60" s="1"/>
  <c r="W23" i="60" s="1"/>
  <c r="W24" i="60" s="1"/>
  <c r="W25" i="60" s="1"/>
  <c r="W26" i="60" s="1"/>
  <c r="W27" i="60" s="1"/>
  <c r="W28" i="60" s="1"/>
  <c r="W29" i="60" s="1"/>
  <c r="W30" i="60" s="1"/>
  <c r="M18" i="64"/>
  <c r="J18" i="64"/>
  <c r="G18" i="64"/>
  <c r="J20" i="64" l="1"/>
  <c r="G40" i="64" s="1"/>
  <c r="M20" i="64"/>
  <c r="E12" i="24"/>
  <c r="F64" i="64" l="1"/>
  <c r="I64" i="64" s="1"/>
  <c r="F69" i="64" s="1"/>
  <c r="M69" i="64" s="1"/>
  <c r="C75" i="64" s="1"/>
  <c r="I78" i="64"/>
  <c r="G14" i="63"/>
  <c r="E19" i="24"/>
  <c r="N28" i="63" s="1"/>
  <c r="N29" i="63" s="1"/>
  <c r="N31" i="63" s="1"/>
  <c r="F36" i="63" s="1"/>
  <c r="N31" i="64" l="1"/>
  <c r="N32" i="64" s="1"/>
  <c r="N35" i="64" s="1"/>
  <c r="D40" i="64" s="1"/>
  <c r="J40" i="64" s="1"/>
  <c r="F75" i="64" s="1"/>
  <c r="J75" i="64" s="1"/>
  <c r="F78" i="64" s="1"/>
  <c r="M78" i="64" s="1"/>
  <c r="D83" i="64" s="1"/>
  <c r="J83" i="64" s="1"/>
  <c r="N42" i="62"/>
  <c r="N43" i="62" s="1"/>
  <c r="N50" i="62"/>
  <c r="N51" i="62" s="1"/>
  <c r="N58" i="62"/>
  <c r="N59" i="62" s="1"/>
  <c r="N34" i="62"/>
  <c r="N35" i="62" s="1"/>
  <c r="M14" i="63"/>
  <c r="J14" i="63"/>
  <c r="N61" i="62" l="1"/>
  <c r="D66" i="62" s="1"/>
  <c r="M16" i="63"/>
  <c r="I59" i="63" s="1"/>
  <c r="C59" i="63" s="1"/>
  <c r="J16" i="63"/>
  <c r="I36" i="63" s="1"/>
  <c r="M36" i="63" s="1"/>
  <c r="I69" i="63" s="1"/>
  <c r="M59" i="63" l="1"/>
  <c r="F64" i="63" s="1"/>
  <c r="M64" i="63" s="1"/>
  <c r="F69" i="63" s="1"/>
  <c r="I71" i="63"/>
  <c r="M21" i="62"/>
  <c r="J21" i="62"/>
  <c r="G21" i="62"/>
  <c r="M69" i="63" l="1"/>
  <c r="F71" i="63" s="1"/>
  <c r="M71" i="63" s="1"/>
  <c r="D76" i="63" s="1"/>
  <c r="J76" i="63" s="1"/>
  <c r="M23" i="62"/>
  <c r="J23" i="62"/>
  <c r="G66" i="62" s="1"/>
  <c r="J66" i="62" s="1"/>
  <c r="F107" i="62" s="1"/>
  <c r="F96" i="62" l="1"/>
  <c r="I96" i="62" s="1"/>
  <c r="F101" i="62" s="1"/>
  <c r="M101" i="62" s="1"/>
  <c r="I110" i="62"/>
  <c r="C107" i="62" l="1"/>
  <c r="J107" i="62" s="1"/>
  <c r="F110" i="62" s="1"/>
  <c r="M110" i="62" s="1"/>
  <c r="D115" i="62" s="1"/>
  <c r="J115" i="62" s="1"/>
</calcChain>
</file>

<file path=xl/sharedStrings.xml><?xml version="1.0" encoding="utf-8"?>
<sst xmlns="http://schemas.openxmlformats.org/spreadsheetml/2006/main" count="522" uniqueCount="247">
  <si>
    <t>Box A</t>
  </si>
  <si>
    <t>Box B</t>
  </si>
  <si>
    <t>Box C</t>
  </si>
  <si>
    <t>Box D</t>
  </si>
  <si>
    <t>Box E</t>
  </si>
  <si>
    <t>Box F</t>
  </si>
  <si>
    <t>Box K</t>
  </si>
  <si>
    <t>Box L</t>
  </si>
  <si>
    <t>Box M</t>
  </si>
  <si>
    <t>Box N</t>
  </si>
  <si>
    <t>/</t>
  </si>
  <si>
    <t>=</t>
  </si>
  <si>
    <t>+</t>
  </si>
  <si>
    <t>Weighted Average Rate</t>
  </si>
  <si>
    <t xml:space="preserve">                                                 Enter all staff wages, taxes and workers' compensation from the cost report.</t>
  </si>
  <si>
    <t>Enter all Attendant Staff Wages from STAIRS Step 6c</t>
  </si>
  <si>
    <t>Total Taxes and Workers Compensation for Attendants</t>
  </si>
  <si>
    <t>Box O</t>
  </si>
  <si>
    <r>
      <rPr>
        <b/>
        <sz val="10"/>
        <rFont val="Arial"/>
        <family val="2"/>
      </rPr>
      <t>NOTE</t>
    </r>
    <r>
      <rPr>
        <sz val="10"/>
        <rFont val="Arial"/>
        <family val="2"/>
      </rPr>
      <t>:  The accuracy of all figures calculated on these worksheets is dependent upon the accuracy of the data entered.  If the data entered in the worksheet is not representative of attendant costs and units of service for this contract or if you have made mistakes in your mathematical calculations, the results calculated on the worksheet will not be representative of the possible impact of the Attendant Compensation Rate Enhancement on this contract.</t>
    </r>
  </si>
  <si>
    <t>Est. Total Recoupment</t>
  </si>
  <si>
    <t>X</t>
  </si>
  <si>
    <t>Potential Recoup per Unit</t>
  </si>
  <si>
    <t>-</t>
  </si>
  <si>
    <t>Calculate Estimated Recoupment Per Unit of Service</t>
  </si>
  <si>
    <t>Spending Requirement</t>
  </si>
  <si>
    <t>Calculate Spending Requirement</t>
  </si>
  <si>
    <t>Calculate Weighted Average Attendant Rate</t>
  </si>
  <si>
    <t>Cost Per Unit</t>
  </si>
  <si>
    <t>Total Attendant Costs</t>
  </si>
  <si>
    <t>Calculate Attendant Cost Per Unit</t>
  </si>
  <si>
    <r>
      <t xml:space="preserve">Step 6c, Total Mileage Reimbursement  </t>
    </r>
    <r>
      <rPr>
        <sz val="8"/>
        <rFont val="Arial"/>
        <family val="2"/>
      </rPr>
      <t>(Column L)</t>
    </r>
  </si>
  <si>
    <r>
      <t xml:space="preserve">Step 6c, Total Employee Benefits/Insurance </t>
    </r>
    <r>
      <rPr>
        <sz val="8"/>
        <rFont val="Arial"/>
        <family val="2"/>
      </rPr>
      <t>(Column J)</t>
    </r>
  </si>
  <si>
    <r>
      <t xml:space="preserve">Step 6c, Total Contracted Payments </t>
    </r>
    <r>
      <rPr>
        <sz val="8"/>
        <rFont val="Arial"/>
        <family val="2"/>
      </rPr>
      <t>(Columns E + I)</t>
    </r>
  </si>
  <si>
    <r>
      <t xml:space="preserve">Step 6c, Total Staff Wages </t>
    </r>
    <r>
      <rPr>
        <sz val="8"/>
        <rFont val="Arial"/>
        <family val="2"/>
      </rPr>
      <t>(Columns C + G)</t>
    </r>
  </si>
  <si>
    <t>Enter Total Units of Service</t>
  </si>
  <si>
    <t>Total Attendant Staff Wages</t>
  </si>
  <si>
    <t>Enter all Step 7 expenses for Attendants</t>
  </si>
  <si>
    <t xml:space="preserve">Step 7, Attendant FICA &amp; Medicare Payroll Taxes </t>
  </si>
  <si>
    <t>Step 7, Attendant State &amp; Federal Unemployment Taxes</t>
  </si>
  <si>
    <t>Step 7, Attendant Workers' Compensation Premiums</t>
  </si>
  <si>
    <t>Step 7, Attendant Workers' Compensation Paid Claims</t>
  </si>
  <si>
    <t>Enter Day Habilitation Attendant Expenses</t>
  </si>
  <si>
    <t>Total Units of Service</t>
  </si>
  <si>
    <t>Step 5b, HCS Respite Units of Service</t>
  </si>
  <si>
    <t>Step 5b, HCS SE Units of Service</t>
  </si>
  <si>
    <t>Step 5b, HCS EA Units of Service</t>
  </si>
  <si>
    <t>Enter Non-Day Habilitation Attendant Expenses</t>
  </si>
  <si>
    <t>HCS &amp; TxHmL SE Attendant Salaries and Wages, Benefits, and Mileage Reinbursement</t>
  </si>
  <si>
    <t>HCS &amp; TxHmL EA Attendant Salaries and Wages, Benefits, and Mileage Reinbursement</t>
  </si>
  <si>
    <t>Enhancement Level</t>
  </si>
  <si>
    <t>* The numbers presented above are limited to the Day Hab Attendant Compensation Rate Component of the total HCS &amp; TxHmL payment rates.  HCS total payment rates are available on the HHSC Rate Analysis website at https://rad.hhs.texas.gov/long-services-supports/contact-list. TxHmL total payment rates are available on the HHSC Rate Analysis website at https://rad.hhs.texas.gov/long-term-services-supports/contact-list.</t>
  </si>
  <si>
    <t>Program, Service and LON</t>
  </si>
  <si>
    <t>Non-Day Hab Attendant Compensation Payment Rate Component</t>
  </si>
  <si>
    <t>HCS RSS/SL LON5</t>
  </si>
  <si>
    <t xml:space="preserve">* The numbers presented above are limited to the Non-Day Hab Attendant Compensation Rate Component of the total HCS &amp; TxHmL payment rates.  HCS total payment rates are available on the HHSC Rate Analysis website at https://rad.hhs.texas.gov/long-term-services-supports/contact-list. TxHmL total payment rates are available on the HHSC Rate Analysis website at https://rad.hhs.texas.gov/long-term-services-supports/contact-list </t>
  </si>
  <si>
    <t>PERIOD 1</t>
  </si>
  <si>
    <t>Period 1 Rate</t>
  </si>
  <si>
    <t xml:space="preserve">HCS RSS/SL LON1 </t>
  </si>
  <si>
    <t>PERIOD 2</t>
  </si>
  <si>
    <t>PERIOD 3</t>
  </si>
  <si>
    <t>Period 2 Rate</t>
  </si>
  <si>
    <t>Period 3 Rate</t>
  </si>
  <si>
    <t>Units of Service</t>
  </si>
  <si>
    <t xml:space="preserve">HCS RSS/SL LON8 </t>
  </si>
  <si>
    <t xml:space="preserve">HCS RSS/SL LON6 </t>
  </si>
  <si>
    <t xml:space="preserve">HCS RSS/SL LON9 </t>
  </si>
  <si>
    <t xml:space="preserve">HCS Respite </t>
  </si>
  <si>
    <t xml:space="preserve">HCS SE </t>
  </si>
  <si>
    <t xml:space="preserve">HCS EA </t>
  </si>
  <si>
    <t xml:space="preserve">TxHmL Respite </t>
  </si>
  <si>
    <t xml:space="preserve">TxHmL SE </t>
  </si>
  <si>
    <t xml:space="preserve">TxHmL EA </t>
  </si>
  <si>
    <t>Enter Non Day Hab Participation levels</t>
  </si>
  <si>
    <t xml:space="preserve">Units of Service        </t>
  </si>
  <si>
    <t xml:space="preserve">Attendant Rate  </t>
  </si>
  <si>
    <t xml:space="preserve">Attendant Rate </t>
  </si>
  <si>
    <t xml:space="preserve">Attendant              Rate   </t>
  </si>
  <si>
    <t>Enter Day Hab Participation levels</t>
  </si>
  <si>
    <t>Medicaid Only Units</t>
  </si>
  <si>
    <r>
      <t xml:space="preserve">Contracted Day Hab - Non-related Party </t>
    </r>
    <r>
      <rPr>
        <sz val="8"/>
        <rFont val="Arial"/>
        <family val="2"/>
      </rPr>
      <t>(only 1/2 of the value entered on the Wages tab counts)</t>
    </r>
  </si>
  <si>
    <t>Step 5b, HCS SL LON 1 Units of Service</t>
  </si>
  <si>
    <t>Step 5b, HCS SL LON 5 Units of Service</t>
  </si>
  <si>
    <t>Step 5b, HCS SL LON 8 Units of Service</t>
  </si>
  <si>
    <t>Step 5b, HCS SL LON 6 Units of Service</t>
  </si>
  <si>
    <t>Step 5b, HCS SL LON 9 Units of Service</t>
  </si>
  <si>
    <t>Step 5b, HCS RSS LON 1 Units of Service</t>
  </si>
  <si>
    <t>Step 5b, HCS RSS LON 5 Units of Service</t>
  </si>
  <si>
    <t>Step 5b, HCS RSS LON 8 Units of Service</t>
  </si>
  <si>
    <t>Step 5b, HCS RSS LON 6 Units of Service</t>
  </si>
  <si>
    <t>Step 5b, HCS RSS LON 9 Units of Service</t>
  </si>
  <si>
    <t>Potential Recoup Per Unit</t>
  </si>
  <si>
    <t>Weighted Average Enhancement Add-on</t>
  </si>
  <si>
    <t>Total Revenue</t>
  </si>
  <si>
    <t>Step 5b, TxHmL SE Units of Service</t>
  </si>
  <si>
    <t>Step 5b, TxHmL EA Units of Service</t>
  </si>
  <si>
    <t>Step 5b, HCS Facility-Based DH LON 1 Units of Service</t>
  </si>
  <si>
    <t>Step 5b, HCS Facility-Based DH LON 5 Units of Service</t>
  </si>
  <si>
    <t>Step 5b, HCS Facility-Based DH LON 6 Units of Service</t>
  </si>
  <si>
    <t>Step 5b, TxHmL Faciltity-Based DH Units of Service</t>
  </si>
  <si>
    <t>Step 5b, HCS Facility-Based DH LON 9 Units of Service</t>
  </si>
  <si>
    <t>Step 5b, HCS Facility-Based DH LON 8 Units of Service</t>
  </si>
  <si>
    <t>HCS In-Home DH Attendant Salaries and Wages, Benefits, and Mileage Reinbursement</t>
  </si>
  <si>
    <t>Step 5b, TxHmL Respite Units of Service</t>
  </si>
  <si>
    <t>Enter from Step 8f (CR) or step 6a (AR)</t>
  </si>
  <si>
    <t xml:space="preserve">HCS DH LON1 </t>
  </si>
  <si>
    <t xml:space="preserve">HCS DH LON5 </t>
  </si>
  <si>
    <t>HCS DH LON8</t>
  </si>
  <si>
    <t>HCS DH LON6</t>
  </si>
  <si>
    <t>HCS DH LON9</t>
  </si>
  <si>
    <t xml:space="preserve">TxHmL DH </t>
  </si>
  <si>
    <t>HCS &amp; TxHmL Respite Attendant Salaries and Wages, Benefits, and Mileage Reinbursement</t>
  </si>
  <si>
    <t>From Box K</t>
  </si>
  <si>
    <t>Period 1</t>
  </si>
  <si>
    <t>Period 2</t>
  </si>
  <si>
    <t>Period 3</t>
  </si>
  <si>
    <t>From Box N</t>
  </si>
  <si>
    <t>From Box L</t>
  </si>
  <si>
    <t xml:space="preserve">Total Attendant Costs   </t>
  </si>
  <si>
    <t xml:space="preserve">Total Attendant Costs    </t>
  </si>
  <si>
    <t>Box I</t>
  </si>
  <si>
    <t>Total Resident Days</t>
  </si>
  <si>
    <t xml:space="preserve">                           Calculate Estimated Recoupment Percentage based on Revenue </t>
  </si>
  <si>
    <t>Recoupment Percentage</t>
  </si>
  <si>
    <t xml:space="preserve">Total HCS SL/RSS Attendant Cost  </t>
  </si>
  <si>
    <t xml:space="preserve">Total HCS &amp; TxHmL Respite Attendant Cost  </t>
  </si>
  <si>
    <t xml:space="preserve">Total HCS &amp; TxHmL SE Attendant Cost  </t>
  </si>
  <si>
    <t xml:space="preserve">Total HCS &amp; TxHmL EA Attendant Cost  </t>
  </si>
  <si>
    <t xml:space="preserve">Total HCS SHL/CSS/CFC &amp; TxHmL CSS/CFC Attendant Cost  </t>
  </si>
  <si>
    <t xml:space="preserve">Total HCS Facility-based DH Attendant Costs   </t>
  </si>
  <si>
    <t>Step 6c, Supported Home Living (HCS)  and Community Support Services (TxHmL) and Supported Home Living (HCS) Community Support Services (TxHmL) and Community First Choice (CFC)  Attendant Wages (Columns C + G)</t>
  </si>
  <si>
    <t>Step 6c, Day Habilitation (HCS &amp; TxHmL) Attendant Wages (Columns C + G)</t>
  </si>
  <si>
    <t>Step 6c, (SL/RSS) Supervised Living (3-Bed) &amp; Residential Support Services (4-Bed) (HCS ONLY) - Attendant Wages (Columns C + G)</t>
  </si>
  <si>
    <r>
      <t xml:space="preserve">TxHmL Effective 8/1/2017 - Current  </t>
    </r>
    <r>
      <rPr>
        <b/>
        <sz val="10"/>
        <rFont val="Arial"/>
        <family val="2"/>
      </rPr>
      <t>Rate</t>
    </r>
  </si>
  <si>
    <r>
      <t xml:space="preserve">TxHmL </t>
    </r>
    <r>
      <rPr>
        <u/>
        <sz val="10"/>
        <rFont val="Arial"/>
        <family val="2"/>
      </rPr>
      <t>EA</t>
    </r>
    <r>
      <rPr>
        <b/>
        <sz val="10"/>
        <rFont val="Arial"/>
        <family val="2"/>
      </rPr>
      <t xml:space="preserve"> </t>
    </r>
    <r>
      <rPr>
        <sz val="10"/>
        <rFont val="Arial"/>
        <family val="2"/>
      </rPr>
      <t xml:space="preserve">Effective 8/1/2017 - Current </t>
    </r>
    <r>
      <rPr>
        <b/>
        <sz val="10"/>
        <rFont val="Arial"/>
        <family val="2"/>
      </rPr>
      <t>Rate</t>
    </r>
  </si>
  <si>
    <r>
      <t xml:space="preserve">TxHmL </t>
    </r>
    <r>
      <rPr>
        <u/>
        <sz val="10"/>
        <rFont val="Arial"/>
        <family val="2"/>
      </rPr>
      <t>SE</t>
    </r>
    <r>
      <rPr>
        <b/>
        <sz val="10"/>
        <rFont val="Arial"/>
        <family val="2"/>
      </rPr>
      <t xml:space="preserve"> </t>
    </r>
    <r>
      <rPr>
        <sz val="10"/>
        <rFont val="Arial"/>
        <family val="2"/>
      </rPr>
      <t>Effective 8/1/2017 - Curren</t>
    </r>
    <r>
      <rPr>
        <b/>
        <sz val="10"/>
        <rFont val="Arial"/>
        <family val="2"/>
      </rPr>
      <t>t Rate</t>
    </r>
  </si>
  <si>
    <r>
      <t xml:space="preserve">TxHmL </t>
    </r>
    <r>
      <rPr>
        <u/>
        <sz val="10"/>
        <rFont val="Arial"/>
        <family val="2"/>
      </rPr>
      <t>Respite</t>
    </r>
    <r>
      <rPr>
        <sz val="10"/>
        <rFont val="Arial"/>
        <family val="2"/>
      </rPr>
      <t xml:space="preserve"> Effective 8/1/2017 - Current </t>
    </r>
    <r>
      <rPr>
        <b/>
        <sz val="10"/>
        <rFont val="Arial"/>
        <family val="2"/>
      </rPr>
      <t>Rate</t>
    </r>
  </si>
  <si>
    <r>
      <t xml:space="preserve">TxHmL </t>
    </r>
    <r>
      <rPr>
        <u/>
        <sz val="10"/>
        <rFont val="Arial"/>
        <family val="2"/>
      </rPr>
      <t>SHL/SHL-T</t>
    </r>
    <r>
      <rPr>
        <sz val="10"/>
        <rFont val="Arial"/>
        <family val="2"/>
      </rPr>
      <t xml:space="preserve"> Effective 8/1/2017 - Current </t>
    </r>
    <r>
      <rPr>
        <b/>
        <sz val="10"/>
        <rFont val="Arial"/>
        <family val="2"/>
      </rPr>
      <t>Rate</t>
    </r>
  </si>
  <si>
    <t>Rate Period 1</t>
  </si>
  <si>
    <t>Rate Period 2</t>
  </si>
  <si>
    <t>Rate Period 3</t>
  </si>
  <si>
    <t>HCS, TxHmL, CFC SHL/CSS &amp; TxHmL CSS/CFC Attendant Salaries and Wages, Benefits, and Mileage Reinbursement</t>
  </si>
  <si>
    <t>HCS Only SL/RSS Attendant Salaries and Wages, Benefits, and Mileage Reinbursement</t>
  </si>
  <si>
    <t xml:space="preserve">TxHmL/CFC CSS </t>
  </si>
  <si>
    <t>Box H</t>
  </si>
  <si>
    <t xml:space="preserve">Medicaid Units of Service </t>
  </si>
  <si>
    <t>Box J</t>
  </si>
  <si>
    <t>From Box M</t>
  </si>
  <si>
    <t>From Box J</t>
  </si>
  <si>
    <t>Step 5b, SHL Non-Medicaid Units of Service</t>
  </si>
  <si>
    <r>
      <t xml:space="preserve">Step 5b, </t>
    </r>
    <r>
      <rPr>
        <u/>
        <sz val="11"/>
        <rFont val="Arial"/>
        <family val="2"/>
      </rPr>
      <t>Respite Non-Medicaid Units of Service</t>
    </r>
  </si>
  <si>
    <r>
      <t xml:space="preserve">Step 5b, </t>
    </r>
    <r>
      <rPr>
        <u/>
        <sz val="11"/>
        <rFont val="Arial"/>
        <family val="2"/>
      </rPr>
      <t>SE Non-Medicaid Units of Service</t>
    </r>
  </si>
  <si>
    <r>
      <t xml:space="preserve">Step 5b, </t>
    </r>
    <r>
      <rPr>
        <u/>
        <sz val="11"/>
        <rFont val="Arial"/>
        <family val="2"/>
      </rPr>
      <t>EA Non-Medicaid Units of Service</t>
    </r>
  </si>
  <si>
    <r>
      <t xml:space="preserve">Step 5b, </t>
    </r>
    <r>
      <rPr>
        <u/>
        <sz val="11"/>
        <rFont val="Arial"/>
        <family val="2"/>
      </rPr>
      <t>SL Non-Medicaid Units of Service</t>
    </r>
  </si>
  <si>
    <r>
      <t xml:space="preserve">Step 5b, </t>
    </r>
    <r>
      <rPr>
        <u/>
        <sz val="11"/>
        <rFont val="Arial"/>
        <family val="2"/>
      </rPr>
      <t>RSS Non-Medicaid Units of Service</t>
    </r>
  </si>
  <si>
    <r>
      <t xml:space="preserve">Step 5b,  </t>
    </r>
    <r>
      <rPr>
        <u/>
        <sz val="11"/>
        <rFont val="Arial"/>
        <family val="2"/>
      </rPr>
      <t>CSS Non-Medicaid Units of Service</t>
    </r>
  </si>
  <si>
    <t>Step 5b, TxHmL CSS Units of Service</t>
  </si>
  <si>
    <t>Total HCS &amp; TxHml DH Units of Services</t>
  </si>
  <si>
    <t>Total HCS &amp; TxHml Non-Day Hab Units of Services</t>
  </si>
  <si>
    <t>Step 5b, HCS SHL Units of Service</t>
  </si>
  <si>
    <t>Step 5b, CFC SHL Units of Service</t>
  </si>
  <si>
    <t>Step 5b, CFC CSS Units of Service</t>
  </si>
  <si>
    <t>HCS/CFC  SHL</t>
  </si>
  <si>
    <r>
      <t>Step 5b,</t>
    </r>
    <r>
      <rPr>
        <u/>
        <sz val="11"/>
        <rFont val="Arial"/>
        <family val="2"/>
      </rPr>
      <t xml:space="preserve"> HCS Facility-Based DH Non Medicaid  Units of Service</t>
    </r>
  </si>
  <si>
    <r>
      <t xml:space="preserve">Step 5b, </t>
    </r>
    <r>
      <rPr>
        <u/>
        <sz val="11"/>
        <rFont val="Arial"/>
        <family val="2"/>
      </rPr>
      <t>TxHmL Faciltity-Based DH Non Medicaid Units of Service</t>
    </r>
  </si>
  <si>
    <t>Cost Per Unit (Actual Spending)</t>
  </si>
  <si>
    <t xml:space="preserve">Step 7, HCS DH Attendant Allocated Payroll Taxes &amp; Workers' Compensation </t>
  </si>
  <si>
    <t>Step 6c, (SE) Supported Employment (HCS &amp; TxHmL) - Attendant Only (Columns C + G)</t>
  </si>
  <si>
    <t>Step 6c, Respite (HCS &amp; TxHmL) - Attendant Only (Columns C + G)</t>
  </si>
  <si>
    <t>Step 6c, (EA) Employment Assistance (HCS &amp; TxHmL) - Attendant Only (Collumns C + G)</t>
  </si>
  <si>
    <t>Step 7, SL/RSS Attendant Allocated Payroll Taxes &amp; Workers' Compensation</t>
  </si>
  <si>
    <t>Step 7, Respite Attendant Allocated Payroll Taxes &amp; Workers' Compensation</t>
  </si>
  <si>
    <t>Step 7, SE Attendant Allocated Payroll Taxes &amp; Workers' Compensation</t>
  </si>
  <si>
    <t>Step 7, EA Attendant Allocated Payroll Taxes &amp; Workers' Compensation</t>
  </si>
  <si>
    <r>
      <t xml:space="preserve">Contracted Day Hab - </t>
    </r>
    <r>
      <rPr>
        <u/>
        <sz val="11"/>
        <rFont val="Arial"/>
        <family val="2"/>
      </rPr>
      <t>Non-related Party</t>
    </r>
    <r>
      <rPr>
        <sz val="11"/>
        <rFont val="Arial"/>
        <family val="2"/>
      </rPr>
      <t xml:space="preserve"> (</t>
    </r>
    <r>
      <rPr>
        <sz val="8"/>
        <rFont val="Arial"/>
        <family val="2"/>
      </rPr>
      <t xml:space="preserve">Per TAC §355.112(ff)(2) Allowed 1/2 of contracted Day Hab for Participants in Rate Enhancement) </t>
    </r>
  </si>
  <si>
    <t>Spending Requirment</t>
  </si>
  <si>
    <r>
      <t xml:space="preserve">HCS </t>
    </r>
    <r>
      <rPr>
        <u/>
        <sz val="10"/>
        <rFont val="Arial"/>
        <family val="2"/>
      </rPr>
      <t>LON1</t>
    </r>
    <r>
      <rPr>
        <sz val="10"/>
        <rFont val="Arial"/>
        <family val="2"/>
      </rPr>
      <t xml:space="preserve"> Effective 1/8/2020 - 8/31/2020 </t>
    </r>
    <r>
      <rPr>
        <b/>
        <sz val="10"/>
        <rFont val="Arial"/>
        <family val="2"/>
      </rPr>
      <t>Rate</t>
    </r>
  </si>
  <si>
    <r>
      <t xml:space="preserve">HCS </t>
    </r>
    <r>
      <rPr>
        <u/>
        <sz val="10"/>
        <rFont val="Arial"/>
        <family val="2"/>
      </rPr>
      <t>LON5</t>
    </r>
    <r>
      <rPr>
        <sz val="10"/>
        <rFont val="Arial"/>
        <family val="2"/>
      </rPr>
      <t xml:space="preserve"> Effective 1/8/2020 - 8/31/2020 </t>
    </r>
    <r>
      <rPr>
        <b/>
        <sz val="10"/>
        <rFont val="Arial"/>
        <family val="2"/>
      </rPr>
      <t>Rate</t>
    </r>
  </si>
  <si>
    <r>
      <t xml:space="preserve">HCS </t>
    </r>
    <r>
      <rPr>
        <u/>
        <sz val="10"/>
        <rFont val="Arial"/>
        <family val="2"/>
      </rPr>
      <t>LON8</t>
    </r>
    <r>
      <rPr>
        <sz val="10"/>
        <rFont val="Arial"/>
        <family val="2"/>
      </rPr>
      <t xml:space="preserve"> Effective 1/8/2020 - 8/31/2020 </t>
    </r>
    <r>
      <rPr>
        <b/>
        <sz val="10"/>
        <rFont val="Arial"/>
        <family val="2"/>
      </rPr>
      <t>Rate</t>
    </r>
  </si>
  <si>
    <r>
      <t xml:space="preserve">HCS </t>
    </r>
    <r>
      <rPr>
        <u/>
        <sz val="10"/>
        <rFont val="Arial"/>
        <family val="2"/>
      </rPr>
      <t>LON6</t>
    </r>
    <r>
      <rPr>
        <sz val="10"/>
        <rFont val="Arial"/>
        <family val="2"/>
      </rPr>
      <t xml:space="preserve"> Effective 1/8/2020 - 8/31/2020 </t>
    </r>
    <r>
      <rPr>
        <b/>
        <sz val="10"/>
        <rFont val="Arial"/>
        <family val="2"/>
      </rPr>
      <t>Rate</t>
    </r>
  </si>
  <si>
    <r>
      <t xml:space="preserve">HCS </t>
    </r>
    <r>
      <rPr>
        <u/>
        <sz val="10"/>
        <rFont val="Arial"/>
        <family val="2"/>
      </rPr>
      <t xml:space="preserve">LON9 </t>
    </r>
    <r>
      <rPr>
        <sz val="10"/>
        <rFont val="Arial"/>
        <family val="2"/>
      </rPr>
      <t xml:space="preserve">Effective 1/8/2020 - 8/31/2020 </t>
    </r>
    <r>
      <rPr>
        <b/>
        <sz val="10"/>
        <rFont val="Arial"/>
        <family val="2"/>
      </rPr>
      <t>Rate</t>
    </r>
  </si>
  <si>
    <r>
      <t xml:space="preserve">HCS </t>
    </r>
    <r>
      <rPr>
        <u/>
        <sz val="10"/>
        <rFont val="Arial"/>
        <family val="2"/>
      </rPr>
      <t>LON1</t>
    </r>
    <r>
      <rPr>
        <sz val="10"/>
        <rFont val="Arial"/>
        <family val="2"/>
      </rPr>
      <t xml:space="preserve"> Effective 9/1/2020 - Current </t>
    </r>
    <r>
      <rPr>
        <b/>
        <sz val="10"/>
        <rFont val="Arial"/>
        <family val="2"/>
      </rPr>
      <t>Rate</t>
    </r>
  </si>
  <si>
    <r>
      <t xml:space="preserve">HCS </t>
    </r>
    <r>
      <rPr>
        <u/>
        <sz val="10"/>
        <rFont val="Arial"/>
        <family val="2"/>
      </rPr>
      <t>LON5</t>
    </r>
    <r>
      <rPr>
        <sz val="10"/>
        <rFont val="Arial"/>
        <family val="2"/>
      </rPr>
      <t xml:space="preserve"> Effective 9/1/2020 - Current </t>
    </r>
    <r>
      <rPr>
        <b/>
        <sz val="10"/>
        <rFont val="Arial"/>
        <family val="2"/>
      </rPr>
      <t>Rate</t>
    </r>
  </si>
  <si>
    <r>
      <t xml:space="preserve">HCS </t>
    </r>
    <r>
      <rPr>
        <u/>
        <sz val="10"/>
        <rFont val="Arial"/>
        <family val="2"/>
      </rPr>
      <t>LON8</t>
    </r>
    <r>
      <rPr>
        <sz val="10"/>
        <rFont val="Arial"/>
        <family val="2"/>
      </rPr>
      <t xml:space="preserve"> Effective 9/1/2020 - Current </t>
    </r>
    <r>
      <rPr>
        <b/>
        <sz val="10"/>
        <rFont val="Arial"/>
        <family val="2"/>
      </rPr>
      <t>Rate</t>
    </r>
  </si>
  <si>
    <r>
      <t xml:space="preserve">HCS </t>
    </r>
    <r>
      <rPr>
        <u/>
        <sz val="10"/>
        <rFont val="Arial"/>
        <family val="2"/>
      </rPr>
      <t>LON6</t>
    </r>
    <r>
      <rPr>
        <sz val="10"/>
        <rFont val="Arial"/>
        <family val="2"/>
      </rPr>
      <t xml:space="preserve"> Effective 9/1/2020 - Current </t>
    </r>
    <r>
      <rPr>
        <b/>
        <sz val="10"/>
        <rFont val="Arial"/>
        <family val="2"/>
      </rPr>
      <t>Rate</t>
    </r>
  </si>
  <si>
    <r>
      <t xml:space="preserve">HCS </t>
    </r>
    <r>
      <rPr>
        <u/>
        <sz val="10"/>
        <rFont val="Arial"/>
        <family val="2"/>
      </rPr>
      <t xml:space="preserve">LON9 </t>
    </r>
    <r>
      <rPr>
        <sz val="10"/>
        <rFont val="Arial"/>
        <family val="2"/>
      </rPr>
      <t xml:space="preserve">Effective 9/1/2020 - Current </t>
    </r>
    <r>
      <rPr>
        <b/>
        <sz val="10"/>
        <rFont val="Arial"/>
        <family val="2"/>
      </rPr>
      <t>Rate</t>
    </r>
  </si>
  <si>
    <t>Total HCS SL/RSS Units of Services</t>
  </si>
  <si>
    <r>
      <t xml:space="preserve">CFC-HCS SHL Effective 9/1/2019 - 1/8/2020 </t>
    </r>
    <r>
      <rPr>
        <b/>
        <sz val="10"/>
        <rFont val="Arial"/>
        <family val="2"/>
      </rPr>
      <t>Rate</t>
    </r>
  </si>
  <si>
    <r>
      <t xml:space="preserve">HCS RSS/SL </t>
    </r>
    <r>
      <rPr>
        <u/>
        <sz val="10"/>
        <rFont val="Arial"/>
        <family val="2"/>
      </rPr>
      <t>LON1</t>
    </r>
    <r>
      <rPr>
        <sz val="10"/>
        <rFont val="Arial"/>
        <family val="2"/>
      </rPr>
      <t xml:space="preserve"> Effective 9/1/2020 - Current </t>
    </r>
    <r>
      <rPr>
        <b/>
        <sz val="10"/>
        <rFont val="Arial"/>
        <family val="2"/>
      </rPr>
      <t>Rate</t>
    </r>
  </si>
  <si>
    <r>
      <t xml:space="preserve">HCS RSS/SL </t>
    </r>
    <r>
      <rPr>
        <u/>
        <sz val="10"/>
        <rFont val="Arial"/>
        <family val="2"/>
      </rPr>
      <t xml:space="preserve">LON5 </t>
    </r>
    <r>
      <rPr>
        <sz val="10"/>
        <rFont val="Arial"/>
        <family val="2"/>
      </rPr>
      <t xml:space="preserve">Effective 9/1/2020 - Current </t>
    </r>
    <r>
      <rPr>
        <b/>
        <sz val="10"/>
        <rFont val="Arial"/>
        <family val="2"/>
      </rPr>
      <t>Rate</t>
    </r>
  </si>
  <si>
    <r>
      <t xml:space="preserve">HCS RSS/SL </t>
    </r>
    <r>
      <rPr>
        <u/>
        <sz val="10"/>
        <rFont val="Arial"/>
        <family val="2"/>
      </rPr>
      <t xml:space="preserve">LON8 </t>
    </r>
    <r>
      <rPr>
        <sz val="10"/>
        <rFont val="Arial"/>
        <family val="2"/>
      </rPr>
      <t xml:space="preserve">Effective 9/1/2020 - Current </t>
    </r>
    <r>
      <rPr>
        <b/>
        <sz val="10"/>
        <rFont val="Arial"/>
        <family val="2"/>
      </rPr>
      <t>Rate</t>
    </r>
  </si>
  <si>
    <r>
      <t xml:space="preserve">HCS RSS/SL </t>
    </r>
    <r>
      <rPr>
        <u/>
        <sz val="10"/>
        <rFont val="Arial"/>
        <family val="2"/>
      </rPr>
      <t xml:space="preserve">LON6 </t>
    </r>
    <r>
      <rPr>
        <sz val="10"/>
        <rFont val="Arial"/>
        <family val="2"/>
      </rPr>
      <t xml:space="preserve">Effective 9/1/2020 - Current </t>
    </r>
    <r>
      <rPr>
        <b/>
        <sz val="10"/>
        <rFont val="Arial"/>
        <family val="2"/>
      </rPr>
      <t>Rate</t>
    </r>
  </si>
  <si>
    <r>
      <t xml:space="preserve">HCS RSS/SL </t>
    </r>
    <r>
      <rPr>
        <u/>
        <sz val="10"/>
        <rFont val="Arial"/>
        <family val="2"/>
      </rPr>
      <t xml:space="preserve">LON9 </t>
    </r>
    <r>
      <rPr>
        <sz val="10"/>
        <rFont val="Arial"/>
        <family val="2"/>
      </rPr>
      <t xml:space="preserve">Effective 9/1/2020 - Current </t>
    </r>
    <r>
      <rPr>
        <b/>
        <sz val="10"/>
        <rFont val="Arial"/>
        <family val="2"/>
      </rPr>
      <t>Rate</t>
    </r>
  </si>
  <si>
    <r>
      <t xml:space="preserve">HCS RSS/SL </t>
    </r>
    <r>
      <rPr>
        <u/>
        <sz val="10"/>
        <rFont val="Arial"/>
        <family val="2"/>
      </rPr>
      <t>LON1</t>
    </r>
    <r>
      <rPr>
        <sz val="10"/>
        <rFont val="Arial"/>
        <family val="2"/>
      </rPr>
      <t xml:space="preserve"> Effective 9/1/2019 - 1/7/2020 </t>
    </r>
    <r>
      <rPr>
        <b/>
        <sz val="10"/>
        <rFont val="Arial"/>
        <family val="2"/>
      </rPr>
      <t>Rate</t>
    </r>
  </si>
  <si>
    <r>
      <t xml:space="preserve">HCS RSS/SL </t>
    </r>
    <r>
      <rPr>
        <u/>
        <sz val="10"/>
        <rFont val="Arial"/>
        <family val="2"/>
      </rPr>
      <t xml:space="preserve">LON5 </t>
    </r>
    <r>
      <rPr>
        <sz val="10"/>
        <rFont val="Arial"/>
        <family val="2"/>
      </rPr>
      <t xml:space="preserve">Effective 9/1/2019 - 1/7/2020 </t>
    </r>
    <r>
      <rPr>
        <b/>
        <sz val="10"/>
        <rFont val="Arial"/>
        <family val="2"/>
      </rPr>
      <t>Rate</t>
    </r>
  </si>
  <si>
    <r>
      <t xml:space="preserve">HCS RSS/SL </t>
    </r>
    <r>
      <rPr>
        <u/>
        <sz val="10"/>
        <rFont val="Arial"/>
        <family val="2"/>
      </rPr>
      <t xml:space="preserve">LON8 </t>
    </r>
    <r>
      <rPr>
        <sz val="10"/>
        <rFont val="Arial"/>
        <family val="2"/>
      </rPr>
      <t xml:space="preserve">Effective 9/1/2019 - 1/7/2020 </t>
    </r>
    <r>
      <rPr>
        <b/>
        <sz val="10"/>
        <rFont val="Arial"/>
        <family val="2"/>
      </rPr>
      <t>Rate</t>
    </r>
  </si>
  <si>
    <r>
      <t xml:space="preserve">HCS RSS/SL </t>
    </r>
    <r>
      <rPr>
        <u/>
        <sz val="10"/>
        <rFont val="Arial"/>
        <family val="2"/>
      </rPr>
      <t xml:space="preserve">LON6 </t>
    </r>
    <r>
      <rPr>
        <sz val="10"/>
        <rFont val="Arial"/>
        <family val="2"/>
      </rPr>
      <t xml:space="preserve">Effective 9/1/2019 - 1/7/2020 </t>
    </r>
    <r>
      <rPr>
        <b/>
        <sz val="10"/>
        <rFont val="Arial"/>
        <family val="2"/>
      </rPr>
      <t>Rate</t>
    </r>
  </si>
  <si>
    <r>
      <t xml:space="preserve">HCS RSS/SL </t>
    </r>
    <r>
      <rPr>
        <u/>
        <sz val="10"/>
        <rFont val="Arial"/>
        <family val="2"/>
      </rPr>
      <t xml:space="preserve">LON9 </t>
    </r>
    <r>
      <rPr>
        <sz val="10"/>
        <rFont val="Arial"/>
        <family val="2"/>
      </rPr>
      <t xml:space="preserve">Effective 9/1/2019 - 1/7/2020 </t>
    </r>
    <r>
      <rPr>
        <b/>
        <sz val="10"/>
        <rFont val="Arial"/>
        <family val="2"/>
      </rPr>
      <t>Rate</t>
    </r>
  </si>
  <si>
    <r>
      <t xml:space="preserve">HCS </t>
    </r>
    <r>
      <rPr>
        <u/>
        <sz val="10"/>
        <rFont val="Arial"/>
        <family val="2"/>
      </rPr>
      <t>SHL/SHL-T</t>
    </r>
    <r>
      <rPr>
        <sz val="10"/>
        <rFont val="Arial"/>
        <family val="2"/>
      </rPr>
      <t xml:space="preserve"> Effective 9/1/2019 - 1/7/2020 </t>
    </r>
    <r>
      <rPr>
        <b/>
        <sz val="10"/>
        <rFont val="Arial"/>
        <family val="2"/>
      </rPr>
      <t>Rate</t>
    </r>
  </si>
  <si>
    <r>
      <t xml:space="preserve">CFC-TxHmL CSS  Effective 8/1/2017 - Current </t>
    </r>
    <r>
      <rPr>
        <b/>
        <sz val="10"/>
        <rFont val="Arial"/>
        <family val="2"/>
      </rPr>
      <t>Rate</t>
    </r>
  </si>
  <si>
    <r>
      <t xml:space="preserve">HCS </t>
    </r>
    <r>
      <rPr>
        <u/>
        <sz val="10"/>
        <rFont val="Arial"/>
        <family val="2"/>
      </rPr>
      <t>Respite</t>
    </r>
    <r>
      <rPr>
        <sz val="10"/>
        <rFont val="Arial"/>
        <family val="2"/>
      </rPr>
      <t xml:space="preserve"> Effective 9/1/2019 - 1/7/2020 </t>
    </r>
    <r>
      <rPr>
        <b/>
        <sz val="10"/>
        <rFont val="Arial"/>
        <family val="2"/>
      </rPr>
      <t>Rate</t>
    </r>
  </si>
  <si>
    <r>
      <t xml:space="preserve">HCS </t>
    </r>
    <r>
      <rPr>
        <u/>
        <sz val="10"/>
        <rFont val="Arial"/>
        <family val="2"/>
      </rPr>
      <t>SE</t>
    </r>
    <r>
      <rPr>
        <sz val="10"/>
        <rFont val="Arial"/>
        <family val="2"/>
      </rPr>
      <t xml:space="preserve"> Effective 9/1/2019 - 1/7/2020 </t>
    </r>
    <r>
      <rPr>
        <b/>
        <sz val="10"/>
        <rFont val="Arial"/>
        <family val="2"/>
      </rPr>
      <t>Rate</t>
    </r>
  </si>
  <si>
    <r>
      <t xml:space="preserve">HCS </t>
    </r>
    <r>
      <rPr>
        <u/>
        <sz val="10"/>
        <rFont val="Arial"/>
        <family val="2"/>
      </rPr>
      <t>EA</t>
    </r>
    <r>
      <rPr>
        <sz val="10"/>
        <rFont val="Arial"/>
        <family val="2"/>
      </rPr>
      <t xml:space="preserve"> Effective 9/1/2019 - 1/7/2020 </t>
    </r>
    <r>
      <rPr>
        <b/>
        <sz val="10"/>
        <rFont val="Arial"/>
        <family val="2"/>
      </rPr>
      <t>Rate</t>
    </r>
  </si>
  <si>
    <r>
      <t xml:space="preserve">HCS </t>
    </r>
    <r>
      <rPr>
        <u/>
        <sz val="10"/>
        <rFont val="Arial"/>
        <family val="2"/>
      </rPr>
      <t>SHL/SHL-T</t>
    </r>
    <r>
      <rPr>
        <sz val="10"/>
        <rFont val="Arial"/>
        <family val="2"/>
      </rPr>
      <t xml:space="preserve"> Effective 1/8/2020 - 8/31/2020 </t>
    </r>
    <r>
      <rPr>
        <b/>
        <sz val="10"/>
        <rFont val="Arial"/>
        <family val="2"/>
      </rPr>
      <t>Rate</t>
    </r>
  </si>
  <si>
    <r>
      <t xml:space="preserve">CFC-HCS SHL Effective 1/8/2020 - 8/31/2020 </t>
    </r>
    <r>
      <rPr>
        <b/>
        <sz val="10"/>
        <rFont val="Arial"/>
        <family val="2"/>
      </rPr>
      <t>Rate</t>
    </r>
  </si>
  <si>
    <r>
      <t xml:space="preserve">HCS </t>
    </r>
    <r>
      <rPr>
        <u/>
        <sz val="10"/>
        <rFont val="Arial"/>
        <family val="2"/>
      </rPr>
      <t>LON1</t>
    </r>
    <r>
      <rPr>
        <sz val="10"/>
        <rFont val="Arial"/>
        <family val="2"/>
      </rPr>
      <t xml:space="preserve"> Effective 9/1/2019 - 1/7/2020 </t>
    </r>
    <r>
      <rPr>
        <b/>
        <sz val="10"/>
        <rFont val="Arial"/>
        <family val="2"/>
      </rPr>
      <t>Rate</t>
    </r>
  </si>
  <si>
    <r>
      <t xml:space="preserve">HCS </t>
    </r>
    <r>
      <rPr>
        <u/>
        <sz val="10"/>
        <rFont val="Arial"/>
        <family val="2"/>
      </rPr>
      <t>LON5</t>
    </r>
    <r>
      <rPr>
        <sz val="10"/>
        <rFont val="Arial"/>
        <family val="2"/>
      </rPr>
      <t xml:space="preserve"> Effective 9/1/2019 - 1/7/2020 </t>
    </r>
    <r>
      <rPr>
        <b/>
        <sz val="10"/>
        <rFont val="Arial"/>
        <family val="2"/>
      </rPr>
      <t>Rate</t>
    </r>
  </si>
  <si>
    <r>
      <t xml:space="preserve">HCS </t>
    </r>
    <r>
      <rPr>
        <u/>
        <sz val="10"/>
        <rFont val="Arial"/>
        <family val="2"/>
      </rPr>
      <t>LON8</t>
    </r>
    <r>
      <rPr>
        <sz val="10"/>
        <rFont val="Arial"/>
        <family val="2"/>
      </rPr>
      <t xml:space="preserve"> Effective 9/1/2019 - 1/7/2020 </t>
    </r>
    <r>
      <rPr>
        <b/>
        <sz val="10"/>
        <rFont val="Arial"/>
        <family val="2"/>
      </rPr>
      <t>Rate</t>
    </r>
  </si>
  <si>
    <r>
      <t xml:space="preserve">HCS </t>
    </r>
    <r>
      <rPr>
        <u/>
        <sz val="10"/>
        <rFont val="Arial"/>
        <family val="2"/>
      </rPr>
      <t>LON6</t>
    </r>
    <r>
      <rPr>
        <sz val="10"/>
        <rFont val="Arial"/>
        <family val="2"/>
      </rPr>
      <t xml:space="preserve"> Effective 9/1/2019 - 1/7/2020 </t>
    </r>
    <r>
      <rPr>
        <b/>
        <sz val="10"/>
        <rFont val="Arial"/>
        <family val="2"/>
      </rPr>
      <t>Rate</t>
    </r>
  </si>
  <si>
    <r>
      <t xml:space="preserve">HCS </t>
    </r>
    <r>
      <rPr>
        <u/>
        <sz val="10"/>
        <rFont val="Arial"/>
        <family val="2"/>
      </rPr>
      <t xml:space="preserve">LON9 </t>
    </r>
    <r>
      <rPr>
        <sz val="10"/>
        <rFont val="Arial"/>
        <family val="2"/>
      </rPr>
      <t xml:space="preserve">Effective 9/1/2019 - 1/7/2020 </t>
    </r>
    <r>
      <rPr>
        <b/>
        <sz val="10"/>
        <rFont val="Arial"/>
        <family val="2"/>
      </rPr>
      <t>Rate</t>
    </r>
  </si>
  <si>
    <r>
      <t xml:space="preserve">CFC-HCS SHL Effective 9/1/2020 - Current </t>
    </r>
    <r>
      <rPr>
        <b/>
        <sz val="10"/>
        <rFont val="Arial"/>
        <family val="2"/>
      </rPr>
      <t>Rate</t>
    </r>
  </si>
  <si>
    <r>
      <t xml:space="preserve">HCS </t>
    </r>
    <r>
      <rPr>
        <u/>
        <sz val="10"/>
        <rFont val="Arial"/>
        <family val="2"/>
      </rPr>
      <t>Respite</t>
    </r>
    <r>
      <rPr>
        <sz val="10"/>
        <rFont val="Arial"/>
        <family val="2"/>
      </rPr>
      <t xml:space="preserve"> Effective 9/1/2020 - Current </t>
    </r>
    <r>
      <rPr>
        <b/>
        <sz val="10"/>
        <rFont val="Arial"/>
        <family val="2"/>
      </rPr>
      <t>Rate</t>
    </r>
  </si>
  <si>
    <r>
      <t xml:space="preserve">HCS </t>
    </r>
    <r>
      <rPr>
        <u/>
        <sz val="10"/>
        <rFont val="Arial"/>
        <family val="2"/>
      </rPr>
      <t>SE</t>
    </r>
    <r>
      <rPr>
        <sz val="10"/>
        <rFont val="Arial"/>
        <family val="2"/>
      </rPr>
      <t xml:space="preserve"> Effective 9/1/2020 - Current </t>
    </r>
    <r>
      <rPr>
        <b/>
        <sz val="10"/>
        <rFont val="Arial"/>
        <family val="2"/>
      </rPr>
      <t>Rate</t>
    </r>
  </si>
  <si>
    <r>
      <t xml:space="preserve">HCS </t>
    </r>
    <r>
      <rPr>
        <u/>
        <sz val="10"/>
        <rFont val="Arial"/>
        <family val="2"/>
      </rPr>
      <t>EA</t>
    </r>
    <r>
      <rPr>
        <sz val="10"/>
        <rFont val="Arial"/>
        <family val="2"/>
      </rPr>
      <t xml:space="preserve"> Effective 9/1/2020 - Current </t>
    </r>
    <r>
      <rPr>
        <b/>
        <sz val="10"/>
        <rFont val="Arial"/>
        <family val="2"/>
      </rPr>
      <t>Rate</t>
    </r>
  </si>
  <si>
    <r>
      <t xml:space="preserve">HCS </t>
    </r>
    <r>
      <rPr>
        <u/>
        <sz val="10"/>
        <rFont val="Arial"/>
        <family val="2"/>
      </rPr>
      <t>SHL/SHL-T</t>
    </r>
    <r>
      <rPr>
        <sz val="10"/>
        <rFont val="Arial"/>
        <family val="2"/>
      </rPr>
      <t xml:space="preserve"> Effective 9/1/2020 - Current </t>
    </r>
    <r>
      <rPr>
        <b/>
        <sz val="10"/>
        <rFont val="Arial"/>
        <family val="2"/>
      </rPr>
      <t>Rate</t>
    </r>
  </si>
  <si>
    <r>
      <t xml:space="preserve">HCS </t>
    </r>
    <r>
      <rPr>
        <u/>
        <sz val="10"/>
        <rFont val="Arial"/>
        <family val="2"/>
      </rPr>
      <t>SE</t>
    </r>
    <r>
      <rPr>
        <sz val="10"/>
        <rFont val="Arial"/>
        <family val="2"/>
      </rPr>
      <t xml:space="preserve"> Effective 9/1/2019 - 8/31/2020 </t>
    </r>
    <r>
      <rPr>
        <b/>
        <sz val="10"/>
        <rFont val="Arial"/>
        <family val="2"/>
      </rPr>
      <t>Rate</t>
    </r>
  </si>
  <si>
    <r>
      <t xml:space="preserve">HCS </t>
    </r>
    <r>
      <rPr>
        <u/>
        <sz val="10"/>
        <rFont val="Arial"/>
        <family val="2"/>
      </rPr>
      <t>Respite</t>
    </r>
    <r>
      <rPr>
        <sz val="10"/>
        <rFont val="Arial"/>
        <family val="2"/>
      </rPr>
      <t xml:space="preserve"> Effective 9/1/2019 - 8/31/2020 </t>
    </r>
    <r>
      <rPr>
        <b/>
        <sz val="10"/>
        <rFont val="Arial"/>
        <family val="2"/>
      </rPr>
      <t>Rate</t>
    </r>
  </si>
  <si>
    <r>
      <t xml:space="preserve">HCS </t>
    </r>
    <r>
      <rPr>
        <u/>
        <sz val="10"/>
        <rFont val="Arial"/>
        <family val="2"/>
      </rPr>
      <t>EA</t>
    </r>
    <r>
      <rPr>
        <sz val="10"/>
        <rFont val="Arial"/>
        <family val="2"/>
      </rPr>
      <t xml:space="preserve"> Effective 9/1/2019 - 8/31/2020 </t>
    </r>
    <r>
      <rPr>
        <b/>
        <sz val="10"/>
        <rFont val="Arial"/>
        <family val="2"/>
      </rPr>
      <t>Rate</t>
    </r>
  </si>
  <si>
    <t>SL/RSS Attendant Compensation Payment Rate Component</t>
  </si>
  <si>
    <t xml:space="preserve"> Box J</t>
  </si>
  <si>
    <t>Total Units from Box H</t>
  </si>
  <si>
    <t>Medicaid Units from Box I</t>
  </si>
  <si>
    <t>Box M (Weighted Average Rate)</t>
  </si>
  <si>
    <t>Box P</t>
  </si>
  <si>
    <t>Revenue From Box L</t>
  </si>
  <si>
    <t xml:space="preserve">If Cost Per Unit Box K is greater than Box L, then you have met the spending requirment. If Box O is a positive number, then you have not met the spending requirement from Step 5 and could potentially face recoupment. </t>
  </si>
  <si>
    <t>Step 7, HCS SHL/CSS/CFC &amp; TxHmL CSS/CFC Attendant Allocated Payroll Taxes &amp; Workers' Compensation</t>
  </si>
  <si>
    <t>Box L (Total Medicaid Revenue)</t>
  </si>
  <si>
    <t>Medicaid Units From Box I</t>
  </si>
  <si>
    <t>From Box O</t>
  </si>
  <si>
    <t>Medicaid Only Units from Box I</t>
  </si>
  <si>
    <t>Total Recoupment From Box P</t>
  </si>
  <si>
    <t xml:space="preserve">If Cost Per Unit Box K is greater than Box N, then you have met the spending requirement. If Box O is a positive number then you have not met the spending requirement from Step 5 and could potentially face recoupment. </t>
  </si>
  <si>
    <t xml:space="preserve">If Cost Per Unit Box K is greater than Box N, then you have met the spending requirment. If Box O is a positive number, then you have not met the spending requirement from Step 5 and could potentially face recoupment. </t>
  </si>
  <si>
    <t>Medicaid Only Units
SL RSS Units of Service Box I</t>
  </si>
  <si>
    <t xml:space="preserve">HCS Supervised Living/ Residential Support Services
2021 Cost Report &amp; 2022 Cost Accountabilty Optional Worksheet to
Estimate Potential Recoupment </t>
  </si>
  <si>
    <t xml:space="preserve">HCS &amp; TxHmL Day Habilitation Services
2021 Cost Report &amp; 2022 Accountability Report Optional Worksheet to
Estimate Potential Recoupment </t>
  </si>
  <si>
    <t xml:space="preserve">HCS &amp; TxHmL 
2021 Cost Report &amp; 2022 Accountability Report Optional Worksheet to
Estimate Potential Recoupment </t>
  </si>
  <si>
    <t xml:space="preserve">Home Community Base Services (HCS) 2021 Cost Report &amp; 2022 Accountability Report for Supervised Living &amp; Residential Support Services Attendant Compensation Payment Rate Component* </t>
  </si>
  <si>
    <t xml:space="preserve">HCS &amp; TxHmL Non-Day Habilitation Services
2021 Cost Report &amp; 2022 Accountability Report Optional Worksheet to
Estimate Potential Recoupment </t>
  </si>
  <si>
    <t xml:space="preserve">Home Community Base Services (HCS) &amp; Texas Home Living (TxHmL) &amp; Community First Choice (CFC)  2021 Cost Report &amp; 2022 Accountability Report for Non-Day Hab Services Attendant Compensation Payment Rate Component* </t>
  </si>
  <si>
    <t>Home and Community - Based Services (HCS) &amp; Texas Home Living (TxHmL) Waiver Programs 2021 Cost Report &amp; 2022 Accountability Report for Day Habilitation (Day Hab) Services -  Payment Rates Attendant Component</t>
  </si>
  <si>
    <r>
      <t xml:space="preserve">HCS RSS/SL </t>
    </r>
    <r>
      <rPr>
        <u/>
        <sz val="10"/>
        <rFont val="Arial"/>
        <family val="2"/>
      </rPr>
      <t xml:space="preserve">LON5 </t>
    </r>
    <r>
      <rPr>
        <sz val="10"/>
        <rFont val="Arial"/>
        <family val="2"/>
      </rPr>
      <t xml:space="preserve">Effective 1/08/2020- 8/31/2020 </t>
    </r>
    <r>
      <rPr>
        <b/>
        <sz val="10"/>
        <rFont val="Arial"/>
        <family val="2"/>
      </rPr>
      <t>Rate</t>
    </r>
  </si>
  <si>
    <r>
      <t xml:space="preserve">HCS RSS/SL </t>
    </r>
    <r>
      <rPr>
        <u/>
        <sz val="10"/>
        <rFont val="Arial"/>
        <family val="2"/>
      </rPr>
      <t>LON1</t>
    </r>
    <r>
      <rPr>
        <sz val="10"/>
        <rFont val="Arial"/>
        <family val="2"/>
      </rPr>
      <t xml:space="preserve"> Effective 1/08/2020 - 8/31/2020 </t>
    </r>
    <r>
      <rPr>
        <b/>
        <sz val="10"/>
        <rFont val="Arial"/>
        <family val="2"/>
      </rPr>
      <t>Rate</t>
    </r>
  </si>
  <si>
    <r>
      <t xml:space="preserve">HCS RSS/SL </t>
    </r>
    <r>
      <rPr>
        <u/>
        <sz val="10"/>
        <rFont val="Arial"/>
        <family val="2"/>
      </rPr>
      <t xml:space="preserve">LON8 </t>
    </r>
    <r>
      <rPr>
        <sz val="10"/>
        <rFont val="Arial"/>
        <family val="2"/>
      </rPr>
      <t xml:space="preserve">Effective 1/08/2020- 8/31/2020 Rate </t>
    </r>
    <r>
      <rPr>
        <b/>
        <sz val="10"/>
        <rFont val="Arial"/>
        <family val="2"/>
      </rPr>
      <t>Rate</t>
    </r>
  </si>
  <si>
    <r>
      <t xml:space="preserve">HCS RSS/SL </t>
    </r>
    <r>
      <rPr>
        <u/>
        <sz val="10"/>
        <rFont val="Arial"/>
        <family val="2"/>
      </rPr>
      <t xml:space="preserve">LON6 </t>
    </r>
    <r>
      <rPr>
        <sz val="10"/>
        <rFont val="Arial"/>
        <family val="2"/>
      </rPr>
      <t xml:space="preserve">Effective 1/08/2020- 8/31/2020 Rate </t>
    </r>
  </si>
  <si>
    <r>
      <t xml:space="preserve">HCS RSS/SL </t>
    </r>
    <r>
      <rPr>
        <u/>
        <sz val="10"/>
        <rFont val="Arial"/>
        <family val="2"/>
      </rPr>
      <t xml:space="preserve">LON9 </t>
    </r>
    <r>
      <rPr>
        <sz val="10"/>
        <rFont val="Arial"/>
        <family val="2"/>
      </rPr>
      <t>Effective 1/08/2020- 8/31/2020 Rate</t>
    </r>
  </si>
  <si>
    <t>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</si>
</sst>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1" formatCode="_(* #,##0_);_(* \(#,##0\);_(* &quot;-&quot;_);_(@_)"/>
    <numFmt numFmtId="44" formatCode="_(&quot;$&quot;* #,##0.00_);_(&quot;$&quot;* \(#,##0.00\);_(&quot;$&quot;* &quot;-&quot;??_);_(@_)"/>
    <numFmt numFmtId="43" formatCode="_(* #,##0.00_);_(* \(#,##0.00\);_(* &quot;-&quot;??_);_(@_)"/>
    <numFmt numFmtId="164" formatCode="0."/>
    <numFmt numFmtId="165" formatCode="&quot;$&quot;#,##0.00"/>
    <numFmt numFmtId="166" formatCode="0.00_)"/>
    <numFmt numFmtId="167" formatCode="&quot;$&quot;#,##0"/>
    <numFmt numFmtId="168" formatCode="_(* #,##0.00_);_(* \(#,##0.00\);_(* &quot;-&quot;_);_(@_)"/>
  </numFmts>
  <fonts count="31" x14ac:knownFonts="1">
    <font>
      <sz val="10"/>
      <name val="Arial"/>
    </font>
    <font>
      <sz val="10"/>
      <name val="Arial"/>
      <family val="2"/>
    </font>
    <font>
      <b/>
      <sz val="10"/>
      <name val="Tms Rmn"/>
    </font>
    <font>
      <sz val="10"/>
      <name val="Tms Rmn"/>
    </font>
    <font>
      <sz val="8"/>
      <name val="Arial"/>
      <family val="2"/>
    </font>
    <font>
      <sz val="7"/>
      <name val="Small Fonts"/>
      <family val="2"/>
    </font>
    <font>
      <b/>
      <i/>
      <sz val="16"/>
      <name val="Helv"/>
    </font>
    <font>
      <sz val="14"/>
      <name val="Arial"/>
      <family val="2"/>
    </font>
    <font>
      <sz val="12"/>
      <name val="Arial"/>
      <family val="2"/>
    </font>
    <font>
      <sz val="10"/>
      <name val="Arial"/>
      <family val="2"/>
    </font>
    <font>
      <sz val="11"/>
      <name val="Arial"/>
      <family val="2"/>
    </font>
    <font>
      <vertAlign val="superscript"/>
      <sz val="8"/>
      <name val="Arial"/>
      <family val="2"/>
    </font>
    <font>
      <b/>
      <sz val="11"/>
      <name val="Arial"/>
      <family val="2"/>
    </font>
    <font>
      <vertAlign val="superscript"/>
      <sz val="11"/>
      <name val="Arial"/>
      <family val="2"/>
    </font>
    <font>
      <sz val="7"/>
      <name val="Small Fonts"/>
      <family val="2"/>
    </font>
    <font>
      <sz val="11"/>
      <color theme="1"/>
      <name val="Calibri"/>
      <family val="2"/>
      <scheme val="minor"/>
    </font>
    <font>
      <b/>
      <sz val="10"/>
      <name val="Arial"/>
      <family val="2"/>
    </font>
    <font>
      <sz val="10"/>
      <name val="Arial"/>
      <family val="2"/>
    </font>
    <font>
      <sz val="16"/>
      <name val="Arial"/>
      <family val="2"/>
    </font>
    <font>
      <vertAlign val="superscript"/>
      <sz val="10"/>
      <name val="Arial"/>
      <family val="2"/>
    </font>
    <font>
      <sz val="9"/>
      <name val="Arial"/>
      <family val="2"/>
    </font>
    <font>
      <b/>
      <sz val="7"/>
      <color rgb="FF474747"/>
      <name val="Arial"/>
      <family val="2"/>
    </font>
    <font>
      <sz val="7"/>
      <color rgb="FF474747"/>
      <name val="Arial"/>
      <family val="2"/>
    </font>
    <font>
      <sz val="9"/>
      <color rgb="FF474747"/>
      <name val="Calibri"/>
      <family val="2"/>
      <scheme val="minor"/>
    </font>
    <font>
      <sz val="9"/>
      <name val="Calibri"/>
      <family val="2"/>
      <scheme val="minor"/>
    </font>
    <font>
      <sz val="11"/>
      <color rgb="FFFF0000"/>
      <name val="Arial"/>
      <family val="2"/>
    </font>
    <font>
      <sz val="10"/>
      <color rgb="FFFF0000"/>
      <name val="Arial"/>
      <family val="2"/>
    </font>
    <font>
      <u/>
      <sz val="11"/>
      <name val="Arial"/>
      <family val="2"/>
    </font>
    <font>
      <b/>
      <sz val="12"/>
      <name val="Arial"/>
      <family val="2"/>
    </font>
    <font>
      <sz val="8"/>
      <color theme="1"/>
      <name val="Arial"/>
      <family val="2"/>
    </font>
    <font>
      <u/>
      <sz val="10"/>
      <name val="Arial"/>
      <family val="2"/>
    </font>
  </fonts>
  <fills count="12">
    <fill>
      <patternFill patternType="none"/>
    </fill>
    <fill>
      <patternFill patternType="gray125"/>
    </fill>
    <fill>
      <patternFill patternType="gray125">
        <bgColor indexed="22"/>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1"/>
        <bgColor indexed="64"/>
      </patternFill>
    </fill>
  </fills>
  <borders count="3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7">
    <xf numFmtId="0" fontId="0" fillId="0" borderId="0"/>
    <xf numFmtId="164" fontId="2" fillId="2" borderId="1"/>
    <xf numFmtId="0" fontId="3" fillId="0" borderId="0" applyFont="0" applyFill="0"/>
    <xf numFmtId="38" fontId="4" fillId="3" borderId="0" applyNumberFormat="0" applyBorder="0" applyAlignment="0" applyProtection="0"/>
    <xf numFmtId="10" fontId="4" fillId="4" borderId="2" applyNumberFormat="0" applyBorder="0" applyAlignment="0" applyProtection="0"/>
    <xf numFmtId="37" fontId="5" fillId="0" borderId="0"/>
    <xf numFmtId="37" fontId="14" fillId="0" borderId="0"/>
    <xf numFmtId="166" fontId="6" fillId="0" borderId="0"/>
    <xf numFmtId="0" fontId="9" fillId="0" borderId="0"/>
    <xf numFmtId="0" fontId="9" fillId="0" borderId="0"/>
    <xf numFmtId="0" fontId="9" fillId="0" borderId="0"/>
    <xf numFmtId="0" fontId="9" fillId="0" borderId="0"/>
    <xf numFmtId="0" fontId="9" fillId="0" borderId="0"/>
    <xf numFmtId="0" fontId="1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0" fontId="1" fillId="0" borderId="0" applyFont="0" applyFill="0" applyBorder="0" applyAlignment="0" applyProtection="0"/>
    <xf numFmtId="10" fontId="9"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 fillId="0" borderId="0"/>
  </cellStyleXfs>
  <cellXfs count="584">
    <xf numFmtId="0" fontId="0" fillId="0" borderId="0" xfId="0"/>
    <xf numFmtId="0" fontId="7" fillId="0" borderId="0" xfId="14" applyFont="1" applyBorder="1" applyAlignment="1">
      <alignment horizontal="center" vertical="center" wrapText="1"/>
    </xf>
    <xf numFmtId="0" fontId="9" fillId="0" borderId="0" xfId="14" applyFont="1" applyBorder="1"/>
    <xf numFmtId="0" fontId="9" fillId="0" borderId="0" xfId="14" applyFont="1" applyBorder="1" applyAlignment="1">
      <alignment horizontal="center"/>
    </xf>
    <xf numFmtId="0" fontId="10" fillId="0" borderId="0" xfId="14" applyFont="1" applyFill="1" applyBorder="1" applyAlignment="1">
      <alignment vertical="center"/>
    </xf>
    <xf numFmtId="0" fontId="10" fillId="0" borderId="0" xfId="14" quotePrefix="1" applyFont="1" applyFill="1" applyBorder="1" applyAlignment="1">
      <alignment horizontal="right" vertical="center"/>
    </xf>
    <xf numFmtId="0" fontId="13" fillId="0" borderId="0" xfId="14" quotePrefix="1" applyFont="1" applyFill="1" applyBorder="1" applyAlignment="1">
      <alignment horizontal="left" vertical="center" wrapText="1"/>
    </xf>
    <xf numFmtId="0" fontId="10" fillId="0" borderId="0" xfId="14" applyFont="1" applyBorder="1" applyAlignment="1">
      <alignment vertical="center"/>
    </xf>
    <xf numFmtId="0" fontId="7" fillId="0" borderId="0" xfId="14" applyFont="1" applyBorder="1" applyAlignment="1">
      <alignment vertical="center"/>
    </xf>
    <xf numFmtId="0" fontId="9" fillId="0" borderId="0" xfId="14" applyFont="1" applyBorder="1" applyAlignment="1">
      <alignment vertical="center"/>
    </xf>
    <xf numFmtId="0" fontId="9" fillId="0" borderId="0" xfId="14" applyBorder="1"/>
    <xf numFmtId="0" fontId="1" fillId="0" borderId="0" xfId="0" applyFont="1"/>
    <xf numFmtId="0" fontId="1" fillId="0" borderId="0" xfId="26"/>
    <xf numFmtId="0" fontId="1" fillId="0" borderId="7" xfId="0" applyFont="1" applyBorder="1"/>
    <xf numFmtId="0" fontId="1" fillId="0" borderId="0" xfId="0" applyFont="1" applyBorder="1"/>
    <xf numFmtId="0" fontId="1" fillId="0" borderId="6" xfId="0" applyFont="1" applyBorder="1"/>
    <xf numFmtId="0" fontId="0" fillId="0" borderId="0" xfId="0" applyFill="1"/>
    <xf numFmtId="165" fontId="4" fillId="0" borderId="1" xfId="0" applyNumberFormat="1" applyFont="1" applyFill="1" applyBorder="1" applyAlignment="1" applyProtection="1">
      <protection locked="0"/>
    </xf>
    <xf numFmtId="0" fontId="10" fillId="0" borderId="0" xfId="0" quotePrefix="1" applyFont="1" applyBorder="1" applyAlignment="1">
      <alignment horizontal="center" vertical="center"/>
    </xf>
    <xf numFmtId="165" fontId="4" fillId="0" borderId="2" xfId="0" applyNumberFormat="1" applyFont="1" applyFill="1" applyBorder="1" applyAlignment="1" applyProtection="1">
      <protection locked="0"/>
    </xf>
    <xf numFmtId="0" fontId="0" fillId="0" borderId="7" xfId="0" applyBorder="1"/>
    <xf numFmtId="0" fontId="0" fillId="0" borderId="0" xfId="0" applyBorder="1"/>
    <xf numFmtId="0" fontId="10" fillId="0" borderId="0" xfId="0" applyFont="1" applyFill="1" applyAlignment="1">
      <alignment vertical="center"/>
    </xf>
    <xf numFmtId="167" fontId="12" fillId="0" borderId="2" xfId="0" applyNumberFormat="1" applyFont="1" applyBorder="1" applyAlignment="1" applyProtection="1">
      <alignment horizontal="right"/>
    </xf>
    <xf numFmtId="0" fontId="10" fillId="0" borderId="0" xfId="0" applyFont="1" applyAlignment="1">
      <alignment vertical="center"/>
    </xf>
    <xf numFmtId="167" fontId="10" fillId="5" borderId="2" xfId="0" applyNumberFormat="1" applyFont="1" applyFill="1" applyBorder="1" applyAlignment="1" applyProtection="1">
      <alignment horizontal="right" vertical="center"/>
      <protection locked="0"/>
    </xf>
    <xf numFmtId="0" fontId="10" fillId="0" borderId="0" xfId="0" applyFont="1" applyFill="1" applyBorder="1" applyAlignment="1">
      <alignment vertical="center"/>
    </xf>
    <xf numFmtId="0" fontId="10" fillId="0" borderId="0" xfId="0" applyFont="1"/>
    <xf numFmtId="167" fontId="10" fillId="5" borderId="2" xfId="0" applyNumberFormat="1" applyFont="1" applyFill="1" applyBorder="1" applyAlignment="1" applyProtection="1">
      <alignment vertical="center"/>
      <protection locked="0"/>
    </xf>
    <xf numFmtId="0" fontId="11" fillId="0" borderId="2" xfId="0" applyFont="1" applyBorder="1" applyAlignment="1" applyProtection="1">
      <alignment horizontal="left" vertical="center"/>
      <protection locked="0"/>
    </xf>
    <xf numFmtId="0" fontId="1" fillId="0" borderId="0" xfId="14" applyFont="1" applyFill="1" applyBorder="1" applyAlignment="1">
      <alignment vertical="center"/>
    </xf>
    <xf numFmtId="0" fontId="19" fillId="0" borderId="2" xfId="14" applyFont="1" applyBorder="1" applyAlignment="1">
      <alignment horizontal="left" vertical="top" wrapText="1"/>
    </xf>
    <xf numFmtId="167" fontId="1" fillId="0" borderId="2" xfId="14" applyNumberFormat="1" applyFont="1" applyFill="1" applyBorder="1" applyAlignment="1" applyProtection="1">
      <alignment vertical="center"/>
    </xf>
    <xf numFmtId="0" fontId="1" fillId="0" borderId="6" xfId="0" applyFont="1" applyBorder="1" applyAlignment="1">
      <alignment horizontal="center" vertical="center" wrapText="1"/>
    </xf>
    <xf numFmtId="165" fontId="1" fillId="0" borderId="2" xfId="26" applyNumberFormat="1" applyBorder="1" applyAlignment="1">
      <alignment horizontal="right"/>
    </xf>
    <xf numFmtId="165" fontId="1" fillId="0" borderId="2" xfId="26" applyNumberFormat="1" applyBorder="1"/>
    <xf numFmtId="165" fontId="0" fillId="0" borderId="2" xfId="0" applyNumberFormat="1" applyBorder="1" applyAlignment="1">
      <alignment horizontal="right"/>
    </xf>
    <xf numFmtId="165" fontId="1" fillId="0" borderId="2" xfId="0" applyNumberFormat="1" applyFont="1" applyFill="1" applyBorder="1" applyAlignment="1">
      <alignment horizontal="right"/>
    </xf>
    <xf numFmtId="165" fontId="0" fillId="0" borderId="2" xfId="0" applyNumberFormat="1" applyBorder="1"/>
    <xf numFmtId="0" fontId="8" fillId="0" borderId="0" xfId="0" applyFont="1" applyBorder="1" applyAlignment="1">
      <alignment wrapText="1"/>
    </xf>
    <xf numFmtId="0" fontId="0" fillId="0" borderId="0" xfId="0" applyFill="1" applyBorder="1"/>
    <xf numFmtId="0" fontId="10" fillId="0" borderId="0" xfId="0" applyFont="1" applyBorder="1" applyAlignment="1">
      <alignment vertical="center" wrapText="1"/>
    </xf>
    <xf numFmtId="43" fontId="10" fillId="0" borderId="2" xfId="24" applyFont="1" applyFill="1" applyBorder="1" applyAlignment="1" applyProtection="1"/>
    <xf numFmtId="0" fontId="1" fillId="0" borderId="0" xfId="26" applyBorder="1"/>
    <xf numFmtId="0" fontId="4" fillId="0" borderId="2" xfId="0" applyFont="1" applyBorder="1" applyAlignment="1">
      <alignment horizontal="center" wrapText="1"/>
    </xf>
    <xf numFmtId="0" fontId="18" fillId="0" borderId="0" xfId="0" applyFont="1" applyFill="1" applyBorder="1" applyAlignment="1" applyProtection="1">
      <alignment vertical="center" wrapText="1"/>
    </xf>
    <xf numFmtId="165" fontId="4" fillId="0" borderId="14" xfId="0" applyNumberFormat="1" applyFont="1" applyFill="1" applyBorder="1" applyAlignment="1" applyProtection="1">
      <protection locked="0"/>
    </xf>
    <xf numFmtId="165" fontId="4" fillId="0" borderId="14" xfId="0" applyNumberFormat="1" applyFont="1" applyFill="1" applyBorder="1" applyAlignment="1" applyProtection="1">
      <alignment vertical="center"/>
      <protection locked="0"/>
    </xf>
    <xf numFmtId="165" fontId="4" fillId="0" borderId="10" xfId="0" applyNumberFormat="1" applyFont="1" applyFill="1" applyBorder="1" applyAlignment="1" applyProtection="1">
      <protection locked="0"/>
    </xf>
    <xf numFmtId="0" fontId="1" fillId="0" borderId="0" xfId="0" applyFont="1" applyFill="1"/>
    <xf numFmtId="167" fontId="25" fillId="0" borderId="0" xfId="0" applyNumberFormat="1" applyFont="1" applyFill="1" applyAlignment="1">
      <alignment vertical="center"/>
    </xf>
    <xf numFmtId="0" fontId="19" fillId="0" borderId="2" xfId="14" applyFont="1" applyBorder="1" applyAlignment="1">
      <alignment horizontal="left" vertical="center" wrapText="1"/>
    </xf>
    <xf numFmtId="43" fontId="0" fillId="0" borderId="0" xfId="0" applyNumberFormat="1" applyFill="1"/>
    <xf numFmtId="43" fontId="10" fillId="0" borderId="2" xfId="0" applyNumberFormat="1" applyFont="1" applyBorder="1" applyAlignment="1">
      <alignment vertical="center" wrapText="1"/>
    </xf>
    <xf numFmtId="0" fontId="1" fillId="0" borderId="0" xfId="0" applyFont="1" applyFill="1" applyBorder="1"/>
    <xf numFmtId="1" fontId="23" fillId="0" borderId="0" xfId="0" applyNumberFormat="1" applyFont="1" applyFill="1" applyBorder="1" applyAlignment="1">
      <alignment horizontal="right" vertical="center" wrapText="1"/>
    </xf>
    <xf numFmtId="1" fontId="24" fillId="0" borderId="0" xfId="0" applyNumberFormat="1" applyFont="1" applyFill="1" applyBorder="1" applyAlignment="1">
      <alignment horizontal="right"/>
    </xf>
    <xf numFmtId="0" fontId="22" fillId="0" borderId="0" xfId="0" applyFont="1" applyFill="1" applyBorder="1" applyAlignment="1">
      <alignment vertical="center" wrapText="1"/>
    </xf>
    <xf numFmtId="0" fontId="23" fillId="0" borderId="0" xfId="0" applyFont="1" applyFill="1" applyBorder="1" applyAlignment="1">
      <alignment horizontal="right" vertical="center" wrapText="1"/>
    </xf>
    <xf numFmtId="0" fontId="24" fillId="0" borderId="0" xfId="0" applyFont="1" applyFill="1" applyBorder="1" applyAlignment="1">
      <alignment horizontal="right"/>
    </xf>
    <xf numFmtId="167" fontId="9" fillId="6" borderId="14" xfId="14" applyNumberFormat="1" applyFont="1" applyFill="1" applyBorder="1" applyAlignment="1" applyProtection="1">
      <alignment vertical="center"/>
      <protection locked="0"/>
    </xf>
    <xf numFmtId="167" fontId="10" fillId="0" borderId="2" xfId="0" applyNumberFormat="1" applyFont="1" applyFill="1" applyBorder="1" applyAlignment="1" applyProtection="1">
      <alignment horizontal="right" vertical="center"/>
    </xf>
    <xf numFmtId="167" fontId="10" fillId="0" borderId="9" xfId="0" applyNumberFormat="1" applyFont="1" applyFill="1" applyBorder="1" applyAlignment="1" applyProtection="1">
      <alignment vertical="center"/>
    </xf>
    <xf numFmtId="0" fontId="11" fillId="0" borderId="2" xfId="0" applyFont="1" applyBorder="1" applyAlignment="1" applyProtection="1">
      <alignment horizontal="left" vertical="top" wrapText="1"/>
    </xf>
    <xf numFmtId="0" fontId="10" fillId="0" borderId="0" xfId="0" quotePrefix="1" applyFont="1" applyBorder="1" applyAlignment="1" applyProtection="1">
      <alignment horizontal="center"/>
    </xf>
    <xf numFmtId="0" fontId="4" fillId="0" borderId="0" xfId="0" applyFont="1" applyFill="1" applyBorder="1" applyAlignment="1" applyProtection="1">
      <alignment horizontal="center"/>
    </xf>
    <xf numFmtId="0" fontId="10" fillId="0" borderId="0" xfId="0" applyFont="1" applyFill="1" applyBorder="1" applyAlignment="1" applyProtection="1">
      <alignment horizontal="center" vertical="center" wrapText="1"/>
    </xf>
    <xf numFmtId="0" fontId="0" fillId="0" borderId="0" xfId="0" applyFill="1" applyBorder="1" applyAlignment="1" applyProtection="1">
      <alignment horizontal="center"/>
    </xf>
    <xf numFmtId="165" fontId="4" fillId="0" borderId="0" xfId="0" applyNumberFormat="1" applyFont="1" applyFill="1" applyBorder="1" applyAlignment="1" applyProtection="1">
      <alignment horizontal="center"/>
    </xf>
    <xf numFmtId="167" fontId="1" fillId="0" borderId="2" xfId="14" applyNumberFormat="1" applyFont="1" applyBorder="1" applyAlignment="1" applyProtection="1">
      <alignment horizontal="right"/>
    </xf>
    <xf numFmtId="0" fontId="11" fillId="10" borderId="13" xfId="0" applyFont="1" applyFill="1" applyBorder="1" applyAlignment="1" applyProtection="1">
      <alignment horizontal="left" vertical="center"/>
      <protection locked="0"/>
    </xf>
    <xf numFmtId="0" fontId="8" fillId="10" borderId="0" xfId="0" applyFont="1" applyFill="1" applyBorder="1"/>
    <xf numFmtId="43" fontId="10" fillId="10" borderId="0" xfId="24" quotePrefix="1" applyFont="1" applyFill="1" applyBorder="1" applyAlignment="1">
      <alignment horizontal="center"/>
    </xf>
    <xf numFmtId="43" fontId="10" fillId="10" borderId="6" xfId="24" quotePrefix="1" applyFont="1" applyFill="1" applyBorder="1" applyAlignment="1">
      <alignment horizontal="center"/>
    </xf>
    <xf numFmtId="43" fontId="10" fillId="10" borderId="13" xfId="24" quotePrefix="1" applyFont="1" applyFill="1" applyBorder="1" applyAlignment="1">
      <alignment horizontal="center"/>
    </xf>
    <xf numFmtId="0" fontId="1" fillId="10" borderId="14" xfId="0" applyFont="1" applyFill="1" applyBorder="1"/>
    <xf numFmtId="0" fontId="1" fillId="10" borderId="13" xfId="0" applyFont="1" applyFill="1" applyBorder="1"/>
    <xf numFmtId="0" fontId="1" fillId="10" borderId="0" xfId="0" applyFont="1" applyFill="1"/>
    <xf numFmtId="0" fontId="11" fillId="10" borderId="8" xfId="0" applyFont="1" applyFill="1" applyBorder="1" applyAlignment="1" applyProtection="1">
      <alignment horizontal="left" vertical="center"/>
      <protection locked="0"/>
    </xf>
    <xf numFmtId="41" fontId="1" fillId="10" borderId="8" xfId="0" applyNumberFormat="1" applyFont="1" applyFill="1" applyBorder="1"/>
    <xf numFmtId="0" fontId="1" fillId="10" borderId="0" xfId="0" applyFont="1" applyFill="1" applyBorder="1"/>
    <xf numFmtId="0" fontId="8" fillId="10" borderId="0" xfId="0" applyFont="1" applyFill="1" applyBorder="1" applyAlignment="1">
      <alignment wrapText="1"/>
    </xf>
    <xf numFmtId="0" fontId="0" fillId="10" borderId="0" xfId="0" applyFill="1" applyBorder="1"/>
    <xf numFmtId="0" fontId="1" fillId="10" borderId="6" xfId="0" applyFont="1" applyFill="1" applyBorder="1"/>
    <xf numFmtId="0" fontId="11" fillId="10" borderId="9" xfId="0" applyFont="1" applyFill="1" applyBorder="1" applyAlignment="1">
      <alignment horizontal="left" vertical="top"/>
    </xf>
    <xf numFmtId="0" fontId="11" fillId="10" borderId="9" xfId="0" applyFont="1" applyFill="1" applyBorder="1" applyAlignment="1" applyProtection="1">
      <alignment horizontal="left" vertical="top"/>
    </xf>
    <xf numFmtId="0" fontId="11" fillId="10" borderId="9" xfId="0" applyFont="1" applyFill="1" applyBorder="1" applyAlignment="1" applyProtection="1">
      <alignment horizontal="left" vertical="top" wrapText="1"/>
    </xf>
    <xf numFmtId="0" fontId="1" fillId="10" borderId="6"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0" fillId="10" borderId="7" xfId="0" applyFill="1" applyBorder="1"/>
    <xf numFmtId="0" fontId="1" fillId="10" borderId="0" xfId="26" applyFont="1" applyFill="1" applyBorder="1" applyAlignment="1">
      <alignment wrapText="1"/>
    </xf>
    <xf numFmtId="0" fontId="10" fillId="10" borderId="0" xfId="0" quotePrefix="1" applyFont="1" applyFill="1" applyBorder="1" applyAlignment="1" applyProtection="1">
      <alignment horizontal="center"/>
    </xf>
    <xf numFmtId="165" fontId="4" fillId="10" borderId="0" xfId="0" applyNumberFormat="1" applyFont="1" applyFill="1" applyBorder="1" applyAlignment="1" applyProtection="1"/>
    <xf numFmtId="0" fontId="10" fillId="10" borderId="0" xfId="0" applyFont="1" applyFill="1" applyBorder="1" applyAlignment="1">
      <alignment vertical="center" wrapText="1"/>
    </xf>
    <xf numFmtId="0" fontId="1" fillId="10" borderId="7" xfId="0" applyFont="1" applyFill="1" applyBorder="1"/>
    <xf numFmtId="0" fontId="10" fillId="10" borderId="7" xfId="0" quotePrefix="1" applyFont="1" applyFill="1" applyBorder="1" applyAlignment="1">
      <alignment horizontal="center"/>
    </xf>
    <xf numFmtId="0" fontId="10" fillId="10" borderId="0" xfId="0" applyFont="1" applyFill="1" applyBorder="1" applyAlignment="1" applyProtection="1">
      <alignment vertical="center" wrapText="1"/>
    </xf>
    <xf numFmtId="0" fontId="10" fillId="10" borderId="12" xfId="0" applyFont="1" applyFill="1" applyBorder="1" applyAlignment="1">
      <alignment vertical="center" wrapText="1"/>
    </xf>
    <xf numFmtId="0" fontId="4" fillId="10" borderId="0" xfId="0" applyFont="1" applyFill="1" applyBorder="1" applyAlignment="1" applyProtection="1"/>
    <xf numFmtId="0" fontId="10" fillId="10" borderId="6" xfId="0" applyFont="1" applyFill="1" applyBorder="1" applyAlignment="1">
      <alignment vertical="center" wrapText="1"/>
    </xf>
    <xf numFmtId="0" fontId="10" fillId="10" borderId="0" xfId="0" applyFont="1" applyFill="1" applyBorder="1" applyAlignment="1" applyProtection="1"/>
    <xf numFmtId="165" fontId="10" fillId="10" borderId="0" xfId="0" applyNumberFormat="1" applyFont="1" applyFill="1" applyBorder="1" applyAlignment="1" applyProtection="1">
      <alignment horizontal="center"/>
    </xf>
    <xf numFmtId="0" fontId="0" fillId="10" borderId="0" xfId="0" applyFill="1" applyBorder="1" applyProtection="1"/>
    <xf numFmtId="0" fontId="4" fillId="10" borderId="0" xfId="0" applyFont="1" applyFill="1" applyBorder="1" applyAlignment="1">
      <alignment horizontal="center" wrapText="1"/>
    </xf>
    <xf numFmtId="0" fontId="10" fillId="10" borderId="10" xfId="0" applyFont="1" applyFill="1" applyBorder="1" applyAlignment="1">
      <alignment vertical="center" wrapText="1"/>
    </xf>
    <xf numFmtId="0" fontId="10" fillId="10" borderId="12" xfId="0" quotePrefix="1" applyFont="1" applyFill="1" applyBorder="1" applyAlignment="1">
      <alignment horizontal="center"/>
    </xf>
    <xf numFmtId="0" fontId="10" fillId="10" borderId="0" xfId="0" quotePrefix="1" applyFont="1" applyFill="1" applyBorder="1" applyAlignment="1">
      <alignment horizontal="center"/>
    </xf>
    <xf numFmtId="0" fontId="10" fillId="10" borderId="6" xfId="0" applyFont="1" applyFill="1" applyBorder="1" applyAlignment="1">
      <alignment horizontal="center" vertical="center" wrapText="1"/>
    </xf>
    <xf numFmtId="0" fontId="11" fillId="10" borderId="9" xfId="0" applyFont="1" applyFill="1" applyBorder="1" applyAlignment="1">
      <alignment horizontal="left" vertical="top" wrapText="1"/>
    </xf>
    <xf numFmtId="0" fontId="4" fillId="10" borderId="4" xfId="0" applyFont="1" applyFill="1" applyBorder="1" applyAlignment="1" applyProtection="1">
      <alignment horizontal="center"/>
      <protection locked="0"/>
    </xf>
    <xf numFmtId="165" fontId="4" fillId="10" borderId="4" xfId="0" applyNumberFormat="1" applyFont="1" applyFill="1" applyBorder="1" applyAlignment="1" applyProtection="1">
      <alignment horizontal="center"/>
      <protection locked="0"/>
    </xf>
    <xf numFmtId="165" fontId="12" fillId="0" borderId="2" xfId="0" applyNumberFormat="1" applyFont="1" applyFill="1" applyBorder="1" applyAlignment="1" applyProtection="1">
      <alignment horizontal="right"/>
    </xf>
    <xf numFmtId="0" fontId="10" fillId="10" borderId="0" xfId="0" applyFont="1" applyFill="1" applyBorder="1" applyAlignment="1">
      <alignment vertical="center"/>
    </xf>
    <xf numFmtId="0" fontId="10" fillId="10" borderId="0" xfId="0" applyFont="1" applyFill="1" applyBorder="1"/>
    <xf numFmtId="0" fontId="10" fillId="0" borderId="2" xfId="0" applyFont="1" applyBorder="1" applyAlignment="1">
      <alignment horizontal="center" vertical="center" wrapText="1"/>
    </xf>
    <xf numFmtId="0" fontId="20" fillId="10" borderId="6" xfId="26" applyFont="1" applyFill="1" applyBorder="1" applyAlignment="1">
      <alignment horizontal="right" wrapText="1"/>
    </xf>
    <xf numFmtId="0" fontId="11" fillId="10" borderId="2" xfId="0" applyFont="1" applyFill="1" applyBorder="1" applyAlignment="1" applyProtection="1">
      <alignment horizontal="left" vertical="center"/>
      <protection locked="0"/>
    </xf>
    <xf numFmtId="0" fontId="1" fillId="10" borderId="12" xfId="0" applyFont="1" applyFill="1" applyBorder="1" applyAlignment="1">
      <alignment horizontal="center" vertical="center" wrapText="1"/>
    </xf>
    <xf numFmtId="0" fontId="10" fillId="10" borderId="0" xfId="0" applyFont="1" applyFill="1" applyBorder="1" applyAlignment="1">
      <alignment horizontal="left" vertical="center" wrapText="1"/>
    </xf>
    <xf numFmtId="0" fontId="0" fillId="10" borderId="12" xfId="0" applyFill="1" applyBorder="1"/>
    <xf numFmtId="0" fontId="4" fillId="10" borderId="0" xfId="0" applyFont="1" applyFill="1" applyBorder="1" applyAlignment="1" applyProtection="1">
      <protection locked="0"/>
    </xf>
    <xf numFmtId="165" fontId="4" fillId="10" borderId="0" xfId="0" applyNumberFormat="1" applyFont="1" applyFill="1" applyBorder="1" applyAlignment="1" applyProtection="1">
      <protection locked="0"/>
    </xf>
    <xf numFmtId="0" fontId="8" fillId="10" borderId="0" xfId="0" applyFont="1" applyFill="1" applyBorder="1" applyAlignment="1" applyProtection="1">
      <alignment horizontal="center"/>
    </xf>
    <xf numFmtId="0" fontId="8" fillId="10" borderId="0" xfId="0" applyFont="1" applyFill="1" applyBorder="1" applyAlignment="1">
      <alignment horizontal="left" wrapText="1"/>
    </xf>
    <xf numFmtId="165" fontId="4" fillId="10" borderId="0" xfId="0" applyNumberFormat="1" applyFont="1" applyFill="1" applyBorder="1" applyAlignment="1" applyProtection="1">
      <alignment horizontal="center"/>
    </xf>
    <xf numFmtId="0" fontId="10" fillId="10" borderId="0" xfId="0" applyFont="1" applyFill="1" applyBorder="1" applyAlignment="1" applyProtection="1">
      <alignment horizontal="center" vertical="center" wrapText="1"/>
    </xf>
    <xf numFmtId="43" fontId="10" fillId="10" borderId="0" xfId="24" applyFont="1" applyFill="1" applyBorder="1" applyAlignment="1" applyProtection="1"/>
    <xf numFmtId="0" fontId="10" fillId="10" borderId="13" xfId="0" applyFont="1" applyFill="1" applyBorder="1" applyAlignment="1">
      <alignment horizontal="center" vertical="center" wrapText="1"/>
    </xf>
    <xf numFmtId="0" fontId="10" fillId="10" borderId="7" xfId="0" applyFont="1" applyFill="1" applyBorder="1" applyAlignment="1">
      <alignment vertical="center"/>
    </xf>
    <xf numFmtId="0" fontId="26" fillId="10" borderId="0" xfId="0" applyFont="1" applyFill="1" applyBorder="1"/>
    <xf numFmtId="0" fontId="0" fillId="10" borderId="6" xfId="0" applyFill="1" applyBorder="1"/>
    <xf numFmtId="0" fontId="10" fillId="10" borderId="11" xfId="0" applyFont="1" applyFill="1" applyBorder="1" applyAlignment="1">
      <alignment vertical="center" wrapText="1"/>
    </xf>
    <xf numFmtId="0" fontId="1" fillId="10" borderId="0" xfId="0" applyFont="1" applyFill="1" applyBorder="1" applyAlignment="1">
      <alignment vertical="center" wrapText="1"/>
    </xf>
    <xf numFmtId="0" fontId="1" fillId="10" borderId="4" xfId="0" applyFont="1" applyFill="1" applyBorder="1" applyAlignment="1">
      <alignment vertical="center" wrapText="1"/>
    </xf>
    <xf numFmtId="0" fontId="1" fillId="10" borderId="0" xfId="26" applyFill="1"/>
    <xf numFmtId="0" fontId="15" fillId="0" borderId="7" xfId="13" applyBorder="1"/>
    <xf numFmtId="0" fontId="0" fillId="10" borderId="10" xfId="0" applyFill="1" applyBorder="1"/>
    <xf numFmtId="0" fontId="0" fillId="10" borderId="11" xfId="0" applyFill="1" applyBorder="1"/>
    <xf numFmtId="0" fontId="7" fillId="10" borderId="5" xfId="26" applyFont="1" applyFill="1" applyBorder="1" applyAlignment="1">
      <alignment horizontal="center" vertical="center" wrapText="1"/>
    </xf>
    <xf numFmtId="0" fontId="15" fillId="10" borderId="7" xfId="13" applyFill="1" applyBorder="1"/>
    <xf numFmtId="0" fontId="7" fillId="10" borderId="3" xfId="26" applyFont="1" applyFill="1" applyBorder="1" applyAlignment="1">
      <alignment horizontal="center" vertical="center" wrapText="1"/>
    </xf>
    <xf numFmtId="0" fontId="10" fillId="0" borderId="2" xfId="0" applyNumberFormat="1" applyFont="1" applyBorder="1" applyAlignment="1">
      <alignment horizontal="center" vertical="center" wrapText="1"/>
    </xf>
    <xf numFmtId="0" fontId="11" fillId="10" borderId="2" xfId="0" applyFont="1" applyFill="1" applyBorder="1" applyAlignment="1" applyProtection="1">
      <alignment horizontal="left" wrapText="1"/>
    </xf>
    <xf numFmtId="0" fontId="28" fillId="10" borderId="0" xfId="0" applyFont="1" applyFill="1" applyBorder="1" applyAlignment="1" applyProtection="1">
      <alignment horizontal="right"/>
    </xf>
    <xf numFmtId="0" fontId="8" fillId="10" borderId="0" xfId="0" applyFont="1" applyFill="1" applyBorder="1" applyProtection="1"/>
    <xf numFmtId="0" fontId="10" fillId="10" borderId="0" xfId="0" quotePrefix="1" applyFont="1" applyFill="1" applyBorder="1" applyAlignment="1" applyProtection="1">
      <alignment horizontal="center" vertical="center"/>
    </xf>
    <xf numFmtId="0" fontId="10" fillId="10" borderId="12" xfId="0" quotePrefix="1" applyFont="1" applyFill="1" applyBorder="1" applyAlignment="1" applyProtection="1">
      <alignment horizontal="center"/>
    </xf>
    <xf numFmtId="0" fontId="10" fillId="10" borderId="0" xfId="0" applyFont="1" applyFill="1" applyBorder="1" applyAlignment="1">
      <alignment horizontal="center" vertical="center" wrapText="1"/>
    </xf>
    <xf numFmtId="0" fontId="10" fillId="10" borderId="7" xfId="0" applyFont="1" applyFill="1" applyBorder="1" applyAlignment="1">
      <alignment horizontal="center" vertical="center" wrapText="1"/>
    </xf>
    <xf numFmtId="0" fontId="10" fillId="10" borderId="11" xfId="0" applyFont="1" applyFill="1" applyBorder="1" applyAlignment="1">
      <alignment horizontal="center" vertical="center" wrapText="1"/>
    </xf>
    <xf numFmtId="0" fontId="10" fillId="10" borderId="12" xfId="0" applyFont="1" applyFill="1" applyBorder="1" applyAlignment="1">
      <alignment horizontal="center" vertical="center" wrapText="1"/>
    </xf>
    <xf numFmtId="0" fontId="10" fillId="10" borderId="3" xfId="0" applyFont="1" applyFill="1" applyBorder="1" applyAlignment="1">
      <alignment vertical="center" wrapText="1"/>
    </xf>
    <xf numFmtId="0" fontId="4" fillId="10" borderId="7" xfId="0" applyFont="1" applyFill="1" applyBorder="1" applyAlignment="1">
      <alignment vertical="center" wrapText="1"/>
    </xf>
    <xf numFmtId="0" fontId="10" fillId="10" borderId="7" xfId="0" quotePrefix="1" applyFont="1" applyFill="1" applyBorder="1" applyAlignment="1">
      <alignment horizontal="center" vertical="center" wrapText="1"/>
    </xf>
    <xf numFmtId="165" fontId="4" fillId="10" borderId="12" xfId="0" applyNumberFormat="1" applyFont="1" applyFill="1" applyBorder="1" applyAlignment="1" applyProtection="1">
      <protection locked="0"/>
    </xf>
    <xf numFmtId="0" fontId="1" fillId="10" borderId="6" xfId="26" applyFont="1" applyFill="1" applyBorder="1" applyAlignment="1">
      <alignment horizontal="center" wrapText="1"/>
    </xf>
    <xf numFmtId="0" fontId="11" fillId="10" borderId="8" xfId="0" applyFont="1" applyFill="1" applyBorder="1" applyAlignment="1">
      <alignment horizontal="left" vertical="top"/>
    </xf>
    <xf numFmtId="0" fontId="11" fillId="10" borderId="8" xfId="0" applyFont="1" applyFill="1" applyBorder="1" applyAlignment="1" applyProtection="1">
      <alignment horizontal="left" vertical="top" wrapText="1"/>
    </xf>
    <xf numFmtId="167" fontId="10" fillId="0" borderId="2" xfId="0" applyNumberFormat="1" applyFont="1" applyFill="1" applyBorder="1" applyAlignment="1" applyProtection="1">
      <alignment vertical="center"/>
      <protection locked="0"/>
    </xf>
    <xf numFmtId="167" fontId="10" fillId="0" borderId="9" xfId="0" applyNumberFormat="1" applyFont="1" applyFill="1" applyBorder="1" applyAlignment="1" applyProtection="1">
      <alignment vertical="center"/>
      <protection locked="0"/>
    </xf>
    <xf numFmtId="167" fontId="10" fillId="0" borderId="8" xfId="0" applyNumberFormat="1" applyFont="1" applyFill="1" applyBorder="1" applyAlignment="1" applyProtection="1">
      <alignment vertical="center"/>
      <protection locked="0"/>
    </xf>
    <xf numFmtId="167" fontId="10" fillId="0" borderId="2" xfId="0" applyNumberFormat="1" applyFont="1" applyFill="1" applyBorder="1" applyAlignment="1" applyProtection="1">
      <alignment vertical="center"/>
    </xf>
    <xf numFmtId="0" fontId="10" fillId="10" borderId="12" xfId="0" applyFont="1" applyFill="1" applyBorder="1" applyAlignment="1">
      <alignment horizontal="left" vertical="center"/>
    </xf>
    <xf numFmtId="0" fontId="11" fillId="10" borderId="12" xfId="0" applyFont="1" applyFill="1" applyBorder="1" applyAlignment="1">
      <alignment horizontal="left" vertical="top" wrapText="1"/>
    </xf>
    <xf numFmtId="167" fontId="10" fillId="0" borderId="12" xfId="0" applyNumberFormat="1" applyFont="1" applyFill="1" applyBorder="1" applyAlignment="1" applyProtection="1">
      <alignment vertical="center"/>
    </xf>
    <xf numFmtId="165" fontId="4" fillId="0" borderId="1" xfId="0" applyNumberFormat="1" applyFont="1" applyFill="1" applyBorder="1" applyAlignment="1" applyProtection="1">
      <alignment vertical="top"/>
      <protection locked="0"/>
    </xf>
    <xf numFmtId="0" fontId="4" fillId="10" borderId="4" xfId="0" applyFont="1" applyFill="1" applyBorder="1" applyAlignment="1" applyProtection="1">
      <alignment horizontal="center" vertical="center"/>
      <protection locked="0"/>
    </xf>
    <xf numFmtId="165" fontId="4" fillId="10" borderId="4" xfId="0" applyNumberFormat="1" applyFont="1" applyFill="1" applyBorder="1" applyAlignment="1" applyProtection="1">
      <alignment horizontal="center" vertical="center"/>
      <protection locked="0"/>
    </xf>
    <xf numFmtId="0" fontId="7" fillId="10" borderId="0" xfId="14" applyFont="1" applyFill="1" applyBorder="1" applyAlignment="1">
      <alignment vertical="center"/>
    </xf>
    <xf numFmtId="0" fontId="7" fillId="10" borderId="0" xfId="14" applyFont="1" applyFill="1" applyBorder="1" applyAlignment="1">
      <alignment vertical="center" wrapText="1"/>
    </xf>
    <xf numFmtId="0" fontId="9" fillId="10" borderId="0" xfId="14" applyFont="1" applyFill="1" applyBorder="1"/>
    <xf numFmtId="0" fontId="9" fillId="10" borderId="3" xfId="14" applyFont="1" applyFill="1" applyBorder="1"/>
    <xf numFmtId="0" fontId="8" fillId="10" borderId="10" xfId="14" applyFont="1" applyFill="1" applyBorder="1" applyAlignment="1">
      <alignment vertical="center"/>
    </xf>
    <xf numFmtId="0" fontId="9" fillId="10" borderId="12" xfId="14" applyFont="1" applyFill="1" applyBorder="1"/>
    <xf numFmtId="0" fontId="9" fillId="10" borderId="11" xfId="14" applyFont="1" applyFill="1" applyBorder="1" applyAlignment="1">
      <alignment horizontal="center"/>
    </xf>
    <xf numFmtId="0" fontId="10" fillId="10" borderId="0" xfId="14" applyFont="1" applyFill="1" applyBorder="1" applyAlignment="1">
      <alignment vertical="center"/>
    </xf>
    <xf numFmtId="0" fontId="10" fillId="10" borderId="0" xfId="14" applyFont="1" applyFill="1" applyBorder="1"/>
    <xf numFmtId="0" fontId="1" fillId="10" borderId="0" xfId="14" applyFont="1" applyFill="1" applyBorder="1"/>
    <xf numFmtId="0" fontId="0" fillId="11" borderId="0" xfId="0" applyFill="1"/>
    <xf numFmtId="0" fontId="0" fillId="10" borderId="28" xfId="0" applyFill="1" applyBorder="1"/>
    <xf numFmtId="44" fontId="0" fillId="0" borderId="0" xfId="0" applyNumberFormat="1" applyFill="1" applyBorder="1" applyAlignment="1">
      <alignment horizontal="center"/>
    </xf>
    <xf numFmtId="1" fontId="0" fillId="0" borderId="26" xfId="0" applyNumberFormat="1" applyBorder="1" applyAlignment="1">
      <alignment horizontal="right" wrapText="1"/>
    </xf>
    <xf numFmtId="1" fontId="0" fillId="0" borderId="26" xfId="0" applyNumberFormat="1" applyFill="1" applyBorder="1" applyAlignment="1">
      <alignment horizontal="right" wrapText="1"/>
    </xf>
    <xf numFmtId="0" fontId="0" fillId="10" borderId="27" xfId="0" applyFill="1" applyBorder="1"/>
    <xf numFmtId="0" fontId="1" fillId="7" borderId="2" xfId="0" applyFont="1" applyFill="1" applyBorder="1" applyAlignment="1">
      <alignment horizontal="center" vertical="center" wrapText="1"/>
    </xf>
    <xf numFmtId="0" fontId="1" fillId="8" borderId="2" xfId="0" applyFont="1" applyFill="1" applyBorder="1" applyAlignment="1">
      <alignment horizontal="center" vertical="center" wrapText="1"/>
    </xf>
    <xf numFmtId="165" fontId="1" fillId="0" borderId="9" xfId="26" applyNumberFormat="1" applyBorder="1" applyAlignment="1">
      <alignment horizontal="right"/>
    </xf>
    <xf numFmtId="165" fontId="1" fillId="0" borderId="9" xfId="26" applyNumberFormat="1" applyBorder="1"/>
    <xf numFmtId="1" fontId="15" fillId="10" borderId="2" xfId="13" applyNumberFormat="1" applyFill="1" applyBorder="1"/>
    <xf numFmtId="0" fontId="15" fillId="10" borderId="14" xfId="13" applyFill="1" applyBorder="1" applyAlignment="1">
      <alignment horizontal="center" wrapText="1"/>
    </xf>
    <xf numFmtId="0" fontId="15" fillId="10" borderId="10" xfId="13" applyFill="1" applyBorder="1" applyAlignment="1">
      <alignment horizontal="center" wrapText="1"/>
    </xf>
    <xf numFmtId="0" fontId="7" fillId="10" borderId="15" xfId="26" applyFont="1" applyFill="1" applyBorder="1" applyAlignment="1">
      <alignment horizontal="center" vertical="center" wrapText="1"/>
    </xf>
    <xf numFmtId="0" fontId="1" fillId="0" borderId="25" xfId="0" applyFont="1" applyBorder="1" applyAlignment="1">
      <alignment wrapText="1"/>
    </xf>
    <xf numFmtId="0" fontId="10" fillId="0" borderId="6" xfId="0" applyFont="1" applyFill="1" applyBorder="1" applyAlignment="1">
      <alignment horizontal="center" vertical="center" wrapText="1"/>
    </xf>
    <xf numFmtId="0" fontId="28" fillId="10" borderId="6" xfId="0" applyFont="1" applyFill="1" applyBorder="1" applyAlignment="1">
      <alignment horizontal="center" vertical="center" wrapText="1"/>
    </xf>
    <xf numFmtId="0" fontId="28" fillId="10" borderId="0" xfId="0" applyFont="1" applyFill="1" applyBorder="1" applyAlignment="1">
      <alignment horizontal="center" vertical="center" wrapText="1"/>
    </xf>
    <xf numFmtId="41" fontId="1" fillId="10" borderId="4" xfId="0" applyNumberFormat="1" applyFont="1" applyFill="1" applyBorder="1"/>
    <xf numFmtId="0" fontId="11" fillId="10" borderId="4" xfId="0" applyFont="1" applyFill="1" applyBorder="1" applyAlignment="1" applyProtection="1">
      <alignment horizontal="left" vertical="center"/>
      <protection locked="0"/>
    </xf>
    <xf numFmtId="165" fontId="4" fillId="0" borderId="2" xfId="0" applyNumberFormat="1" applyFont="1" applyFill="1" applyBorder="1" applyAlignment="1" applyProtection="1">
      <alignment horizontal="center" wrapText="1"/>
      <protection locked="0"/>
    </xf>
    <xf numFmtId="0" fontId="8" fillId="10" borderId="0" xfId="0" quotePrefix="1" applyFont="1" applyFill="1" applyAlignment="1">
      <alignment horizontal="center" vertical="center"/>
    </xf>
    <xf numFmtId="0" fontId="10" fillId="0" borderId="7" xfId="0" quotePrefix="1" applyFont="1" applyFill="1" applyBorder="1" applyAlignment="1">
      <alignment horizontal="center"/>
    </xf>
    <xf numFmtId="0" fontId="10" fillId="10" borderId="8" xfId="26" applyFont="1" applyFill="1" applyBorder="1" applyAlignment="1">
      <alignment vertical="center" wrapText="1"/>
    </xf>
    <xf numFmtId="0" fontId="9" fillId="10" borderId="9" xfId="14" applyFont="1" applyFill="1" applyBorder="1"/>
    <xf numFmtId="0" fontId="1" fillId="10" borderId="0" xfId="14" applyFont="1" applyFill="1" applyBorder="1" applyAlignment="1">
      <alignment vertical="center"/>
    </xf>
    <xf numFmtId="0" fontId="19" fillId="10" borderId="0" xfId="14" quotePrefix="1" applyFont="1" applyFill="1" applyBorder="1" applyAlignment="1" applyProtection="1">
      <alignment horizontal="left" vertical="top" wrapText="1"/>
    </xf>
    <xf numFmtId="167" fontId="1" fillId="10" borderId="0" xfId="14" applyNumberFormat="1" applyFont="1" applyFill="1" applyBorder="1" applyAlignment="1" applyProtection="1">
      <alignment vertical="center"/>
    </xf>
    <xf numFmtId="0" fontId="4" fillId="10" borderId="0" xfId="0" applyFont="1" applyFill="1" applyBorder="1" applyAlignment="1" applyProtection="1">
      <alignment horizontal="center"/>
      <protection locked="0"/>
    </xf>
    <xf numFmtId="165" fontId="26" fillId="10" borderId="0" xfId="0" applyNumberFormat="1" applyFont="1" applyFill="1" applyBorder="1"/>
    <xf numFmtId="0" fontId="1" fillId="10" borderId="10" xfId="0" applyFont="1" applyFill="1" applyBorder="1"/>
    <xf numFmtId="0" fontId="1" fillId="10" borderId="11" xfId="0" applyFont="1" applyFill="1" applyBorder="1"/>
    <xf numFmtId="0" fontId="1" fillId="10" borderId="12" xfId="0" applyFont="1" applyFill="1" applyBorder="1"/>
    <xf numFmtId="0" fontId="4" fillId="10" borderId="8" xfId="0" applyFont="1" applyFill="1" applyBorder="1" applyAlignment="1">
      <alignment horizontal="center" vertical="center"/>
    </xf>
    <xf numFmtId="0" fontId="1" fillId="10" borderId="8" xfId="0" applyFont="1" applyFill="1" applyBorder="1"/>
    <xf numFmtId="0" fontId="4" fillId="10" borderId="12" xfId="0" applyFont="1" applyFill="1" applyBorder="1" applyAlignment="1">
      <alignment horizontal="center" vertical="center"/>
    </xf>
    <xf numFmtId="0" fontId="10" fillId="10" borderId="8" xfId="0" applyFont="1" applyFill="1" applyBorder="1" applyAlignment="1">
      <alignment horizontal="center" vertical="center"/>
    </xf>
    <xf numFmtId="0" fontId="10" fillId="10" borderId="12" xfId="0" applyFont="1" applyFill="1" applyBorder="1" applyAlignment="1">
      <alignment horizontal="center" vertical="center"/>
    </xf>
    <xf numFmtId="0" fontId="4" fillId="10" borderId="2" xfId="0" applyFont="1" applyFill="1" applyBorder="1" applyAlignment="1">
      <alignment horizontal="center" vertical="center" wrapText="1"/>
    </xf>
    <xf numFmtId="165" fontId="4" fillId="10" borderId="8" xfId="0" applyNumberFormat="1" applyFont="1" applyFill="1" applyBorder="1" applyAlignment="1" applyProtection="1">
      <alignment horizontal="center"/>
      <protection locked="0"/>
    </xf>
    <xf numFmtId="0" fontId="10" fillId="10" borderId="0" xfId="0" applyFont="1" applyFill="1" applyAlignment="1">
      <alignment vertical="center"/>
    </xf>
    <xf numFmtId="0" fontId="0" fillId="10" borderId="0" xfId="0" applyFill="1"/>
    <xf numFmtId="0" fontId="22" fillId="10" borderId="0" xfId="0" applyFont="1" applyFill="1" applyBorder="1" applyAlignment="1">
      <alignment vertical="center" wrapText="1"/>
    </xf>
    <xf numFmtId="167" fontId="25" fillId="10" borderId="0" xfId="0" applyNumberFormat="1" applyFont="1" applyFill="1" applyAlignment="1">
      <alignment vertical="center"/>
    </xf>
    <xf numFmtId="1" fontId="15" fillId="0" borderId="15" xfId="13" applyNumberFormat="1" applyBorder="1"/>
    <xf numFmtId="165" fontId="1" fillId="0" borderId="15" xfId="26" applyNumberFormat="1" applyBorder="1"/>
    <xf numFmtId="0" fontId="1" fillId="10" borderId="4" xfId="0" applyFont="1" applyFill="1" applyBorder="1"/>
    <xf numFmtId="0" fontId="1" fillId="0" borderId="12" xfId="0" applyFont="1" applyBorder="1"/>
    <xf numFmtId="0" fontId="1" fillId="0" borderId="2" xfId="0" applyFont="1" applyBorder="1" applyAlignment="1">
      <alignment horizontal="center" vertical="center" wrapText="1"/>
    </xf>
    <xf numFmtId="0" fontId="1" fillId="0" borderId="29" xfId="0" applyFont="1" applyBorder="1" applyAlignment="1">
      <alignment wrapText="1"/>
    </xf>
    <xf numFmtId="168" fontId="10" fillId="10" borderId="2" xfId="0" applyNumberFormat="1" applyFont="1" applyFill="1" applyBorder="1" applyAlignment="1" applyProtection="1"/>
    <xf numFmtId="168" fontId="10" fillId="10" borderId="2" xfId="24" applyNumberFormat="1" applyFont="1" applyFill="1" applyBorder="1" applyAlignment="1" applyProtection="1">
      <alignment horizontal="center" vertical="center"/>
    </xf>
    <xf numFmtId="168" fontId="10" fillId="5" borderId="2" xfId="24" applyNumberFormat="1" applyFont="1" applyFill="1" applyBorder="1" applyAlignment="1" applyProtection="1">
      <alignment vertical="center"/>
      <protection locked="0"/>
    </xf>
    <xf numFmtId="168" fontId="10" fillId="5" borderId="9" xfId="24" applyNumberFormat="1" applyFont="1" applyFill="1" applyBorder="1" applyAlignment="1" applyProtection="1">
      <alignment vertical="center"/>
      <protection locked="0"/>
    </xf>
    <xf numFmtId="168" fontId="10" fillId="10" borderId="9" xfId="24" applyNumberFormat="1" applyFont="1" applyFill="1" applyBorder="1" applyAlignment="1" applyProtection="1"/>
    <xf numFmtId="168" fontId="1" fillId="10" borderId="2" xfId="0" applyNumberFormat="1" applyFont="1" applyFill="1" applyBorder="1"/>
    <xf numFmtId="168" fontId="1" fillId="0" borderId="9" xfId="0" applyNumberFormat="1" applyFont="1" applyBorder="1"/>
    <xf numFmtId="168" fontId="1" fillId="0" borderId="2" xfId="0" applyNumberFormat="1" applyFont="1" applyBorder="1" applyAlignment="1">
      <alignment horizontal="right"/>
    </xf>
    <xf numFmtId="168" fontId="10" fillId="0" borderId="2" xfId="24" applyNumberFormat="1" applyFont="1" applyFill="1" applyBorder="1" applyAlignment="1" applyProtection="1">
      <alignment vertical="center"/>
    </xf>
    <xf numFmtId="168" fontId="1" fillId="0" borderId="9" xfId="0" applyNumberFormat="1" applyFont="1" applyBorder="1" applyProtection="1"/>
    <xf numFmtId="168" fontId="0" fillId="5" borderId="2" xfId="24" applyNumberFormat="1" applyFont="1" applyFill="1" applyBorder="1" applyAlignment="1" applyProtection="1">
      <alignment vertical="center"/>
      <protection locked="0"/>
    </xf>
    <xf numFmtId="168" fontId="10" fillId="5" borderId="15" xfId="24" applyNumberFormat="1" applyFont="1" applyFill="1" applyBorder="1" applyAlignment="1" applyProtection="1">
      <alignment vertical="center"/>
      <protection locked="0"/>
    </xf>
    <xf numFmtId="0" fontId="28" fillId="0" borderId="0" xfId="0" applyFont="1" applyBorder="1" applyAlignment="1">
      <alignment horizontal="center" vertical="center" wrapText="1"/>
    </xf>
    <xf numFmtId="0" fontId="8" fillId="0" borderId="2" xfId="0" applyFont="1" applyBorder="1" applyAlignment="1">
      <alignment horizontal="center" wrapText="1"/>
    </xf>
    <xf numFmtId="0" fontId="21" fillId="0" borderId="0" xfId="0" applyFont="1" applyFill="1" applyBorder="1" applyAlignment="1">
      <alignment horizontal="center" vertical="center" wrapText="1"/>
    </xf>
    <xf numFmtId="0" fontId="10" fillId="10" borderId="8" xfId="0" applyFont="1" applyFill="1" applyBorder="1" applyAlignment="1">
      <alignment horizontal="left" vertical="center"/>
    </xf>
    <xf numFmtId="165" fontId="4" fillId="0" borderId="9" xfId="0" applyNumberFormat="1" applyFont="1" applyFill="1" applyBorder="1" applyAlignment="1" applyProtection="1">
      <alignment horizontal="center" wrapText="1"/>
      <protection locked="0"/>
    </xf>
    <xf numFmtId="165" fontId="4" fillId="10" borderId="12" xfId="0" applyNumberFormat="1" applyFont="1" applyFill="1" applyBorder="1" applyAlignment="1" applyProtection="1">
      <alignment horizontal="center"/>
      <protection locked="0"/>
    </xf>
    <xf numFmtId="0" fontId="1" fillId="10" borderId="6" xfId="0" applyFont="1" applyFill="1" applyBorder="1" applyAlignment="1">
      <alignment horizontal="center"/>
    </xf>
    <xf numFmtId="165" fontId="4" fillId="0" borderId="9" xfId="0" applyNumberFormat="1" applyFont="1" applyFill="1" applyBorder="1" applyAlignment="1" applyProtection="1">
      <alignment horizontal="center" wrapText="1"/>
    </xf>
    <xf numFmtId="0" fontId="4" fillId="10" borderId="1" xfId="0" applyFont="1" applyFill="1" applyBorder="1" applyAlignment="1">
      <alignment horizontal="center" wrapText="1"/>
    </xf>
    <xf numFmtId="0" fontId="4" fillId="10" borderId="9" xfId="0" applyFont="1" applyFill="1" applyBorder="1" applyAlignment="1">
      <alignment horizontal="center" wrapText="1"/>
    </xf>
    <xf numFmtId="0" fontId="10" fillId="10" borderId="0" xfId="0" quotePrefix="1" applyFont="1" applyFill="1" applyBorder="1" applyAlignment="1">
      <alignment horizontal="center" vertical="center"/>
    </xf>
    <xf numFmtId="0" fontId="10" fillId="10" borderId="12" xfId="0" quotePrefix="1" applyFont="1" applyFill="1" applyBorder="1" applyAlignment="1">
      <alignment horizontal="center" vertical="center"/>
    </xf>
    <xf numFmtId="0" fontId="1" fillId="0" borderId="2" xfId="0" applyFont="1" applyBorder="1" applyAlignment="1">
      <alignment horizontal="center" vertical="center" wrapText="1"/>
    </xf>
    <xf numFmtId="165" fontId="4" fillId="10" borderId="11" xfId="0" applyNumberFormat="1" applyFont="1" applyFill="1" applyBorder="1" applyAlignment="1" applyProtection="1">
      <alignment wrapText="1"/>
      <protection locked="0"/>
    </xf>
    <xf numFmtId="43" fontId="10" fillId="0" borderId="2" xfId="24" applyFont="1" applyFill="1" applyBorder="1" applyAlignment="1" applyProtection="1">
      <alignment horizontal="center"/>
    </xf>
    <xf numFmtId="0" fontId="10" fillId="10" borderId="1" xfId="0" applyFont="1" applyFill="1" applyBorder="1" applyAlignment="1">
      <alignment horizontal="left" vertical="center"/>
    </xf>
    <xf numFmtId="0" fontId="10" fillId="10" borderId="8" xfId="0" applyFont="1" applyFill="1" applyBorder="1" applyAlignment="1">
      <alignment horizontal="left" vertical="center"/>
    </xf>
    <xf numFmtId="0" fontId="10" fillId="10" borderId="8" xfId="0" applyFont="1" applyFill="1" applyBorder="1" applyAlignment="1" applyProtection="1">
      <alignment horizontal="left" vertical="center" wrapText="1"/>
    </xf>
    <xf numFmtId="165" fontId="4" fillId="10" borderId="12" xfId="0" applyNumberFormat="1" applyFont="1" applyFill="1" applyBorder="1" applyAlignment="1" applyProtection="1">
      <alignment horizontal="center"/>
      <protection locked="0"/>
    </xf>
    <xf numFmtId="165" fontId="10" fillId="0" borderId="2" xfId="0" applyNumberFormat="1" applyFont="1" applyFill="1" applyBorder="1" applyAlignment="1" applyProtection="1">
      <alignment horizontal="center"/>
    </xf>
    <xf numFmtId="0" fontId="8" fillId="0" borderId="2" xfId="0" applyFont="1" applyBorder="1" applyAlignment="1">
      <alignment horizontal="center" wrapText="1"/>
    </xf>
    <xf numFmtId="165" fontId="4" fillId="10" borderId="0" xfId="0" applyNumberFormat="1" applyFont="1" applyFill="1" applyBorder="1" applyAlignment="1" applyProtection="1">
      <alignment horizontal="center"/>
      <protection locked="0"/>
    </xf>
    <xf numFmtId="165" fontId="4" fillId="0" borderId="9" xfId="0" applyNumberFormat="1" applyFont="1" applyFill="1" applyBorder="1" applyAlignment="1" applyProtection="1">
      <alignment horizontal="center" wrapText="1"/>
    </xf>
    <xf numFmtId="0" fontId="1" fillId="10" borderId="6" xfId="0" applyFont="1" applyFill="1" applyBorder="1" applyAlignment="1">
      <alignment horizontal="center"/>
    </xf>
    <xf numFmtId="0" fontId="10" fillId="10" borderId="0" xfId="0" quotePrefix="1" applyFont="1" applyFill="1" applyBorder="1" applyAlignment="1">
      <alignment horizontal="center" vertical="center"/>
    </xf>
    <xf numFmtId="0" fontId="10" fillId="10" borderId="12" xfId="0" quotePrefix="1" applyFont="1" applyFill="1" applyBorder="1" applyAlignment="1">
      <alignment horizontal="center" vertical="center"/>
    </xf>
    <xf numFmtId="0" fontId="7" fillId="10" borderId="6" xfId="26" applyFont="1" applyFill="1" applyBorder="1" applyAlignment="1">
      <alignment horizontal="center" vertical="center" wrapText="1"/>
    </xf>
    <xf numFmtId="0" fontId="7" fillId="10" borderId="7" xfId="26" applyFont="1" applyFill="1" applyBorder="1" applyAlignment="1">
      <alignment horizontal="center" vertical="center" wrapText="1"/>
    </xf>
    <xf numFmtId="0" fontId="10" fillId="10" borderId="12" xfId="0" applyFont="1" applyFill="1" applyBorder="1" applyAlignment="1">
      <alignment horizontal="left" vertical="center" wrapText="1"/>
    </xf>
    <xf numFmtId="0" fontId="11" fillId="10" borderId="14" xfId="0" applyFont="1" applyFill="1" applyBorder="1" applyAlignment="1" applyProtection="1">
      <alignment horizontal="left" vertical="center"/>
      <protection locked="0"/>
    </xf>
    <xf numFmtId="0" fontId="0" fillId="0" borderId="11" xfId="0" applyBorder="1"/>
    <xf numFmtId="0" fontId="1" fillId="10" borderId="7" xfId="0" applyFont="1" applyFill="1" applyBorder="1" applyAlignment="1">
      <alignment horizontal="center" vertical="center" wrapText="1"/>
    </xf>
    <xf numFmtId="43" fontId="10" fillId="10" borderId="7" xfId="24" quotePrefix="1" applyFont="1" applyFill="1" applyBorder="1" applyAlignment="1">
      <alignment horizontal="center"/>
    </xf>
    <xf numFmtId="0" fontId="1" fillId="10" borderId="3" xfId="0" applyFont="1" applyFill="1" applyBorder="1"/>
    <xf numFmtId="0" fontId="0" fillId="0" borderId="6" xfId="0" applyBorder="1"/>
    <xf numFmtId="0" fontId="0" fillId="0" borderId="13" xfId="0" applyBorder="1"/>
    <xf numFmtId="0" fontId="10" fillId="10" borderId="13" xfId="0" applyFont="1" applyFill="1" applyBorder="1" applyAlignment="1">
      <alignment vertical="center"/>
    </xf>
    <xf numFmtId="0" fontId="10" fillId="10" borderId="13" xfId="0" applyFont="1" applyFill="1" applyBorder="1"/>
    <xf numFmtId="0" fontId="10" fillId="10" borderId="6" xfId="0" applyFont="1" applyFill="1" applyBorder="1" applyAlignment="1">
      <alignment vertical="center"/>
    </xf>
    <xf numFmtId="0" fontId="10" fillId="0" borderId="12" xfId="0" applyFont="1" applyFill="1" applyBorder="1" applyAlignment="1">
      <alignment vertical="center"/>
    </xf>
    <xf numFmtId="0" fontId="10" fillId="10" borderId="12" xfId="0" applyFont="1" applyFill="1" applyBorder="1" applyAlignment="1">
      <alignment vertical="center"/>
    </xf>
    <xf numFmtId="0" fontId="0" fillId="10" borderId="3" xfId="0" applyFill="1" applyBorder="1"/>
    <xf numFmtId="0" fontId="1" fillId="0" borderId="10" xfId="0" applyFont="1" applyBorder="1"/>
    <xf numFmtId="165" fontId="4" fillId="0" borderId="2" xfId="0" applyNumberFormat="1" applyFont="1" applyBorder="1" applyProtection="1">
      <protection locked="0"/>
    </xf>
    <xf numFmtId="0" fontId="18" fillId="10" borderId="7" xfId="0" applyFont="1" applyFill="1" applyBorder="1"/>
    <xf numFmtId="0" fontId="1" fillId="10" borderId="5" xfId="0" applyFont="1" applyFill="1" applyBorder="1"/>
    <xf numFmtId="0" fontId="28" fillId="10" borderId="6" xfId="0" applyFont="1" applyFill="1" applyBorder="1" applyAlignment="1" applyProtection="1">
      <alignment horizontal="right"/>
    </xf>
    <xf numFmtId="0" fontId="4" fillId="10" borderId="0" xfId="0" applyFont="1" applyFill="1" applyBorder="1" applyAlignment="1">
      <alignment horizontal="center"/>
    </xf>
    <xf numFmtId="0" fontId="4" fillId="0" borderId="0" xfId="0" applyFont="1" applyBorder="1" applyAlignment="1">
      <alignment horizontal="center"/>
    </xf>
    <xf numFmtId="43" fontId="29" fillId="10" borderId="0" xfId="24" applyFont="1" applyFill="1" applyBorder="1" applyAlignment="1" applyProtection="1">
      <alignment horizontal="center" vertical="center"/>
      <protection locked="0"/>
    </xf>
    <xf numFmtId="0" fontId="0" fillId="10" borderId="0" xfId="0" applyFill="1" applyBorder="1" applyAlignment="1">
      <alignment horizontal="center" vertical="center"/>
    </xf>
    <xf numFmtId="0" fontId="10" fillId="10" borderId="10" xfId="0" applyFont="1" applyFill="1" applyBorder="1" applyAlignment="1">
      <alignment vertical="center"/>
    </xf>
    <xf numFmtId="43" fontId="10" fillId="0" borderId="2" xfId="24" applyFont="1" applyFill="1" applyBorder="1" applyAlignment="1" applyProtection="1">
      <alignment horizontal="center"/>
    </xf>
    <xf numFmtId="0" fontId="8" fillId="0" borderId="2" xfId="0" applyFont="1" applyBorder="1" applyAlignment="1">
      <alignment horizontal="center" wrapText="1"/>
    </xf>
    <xf numFmtId="165" fontId="10" fillId="0" borderId="8" xfId="0" applyNumberFormat="1" applyFont="1" applyFill="1" applyBorder="1" applyAlignment="1" applyProtection="1">
      <alignment horizontal="center"/>
    </xf>
    <xf numFmtId="165" fontId="4" fillId="10" borderId="0" xfId="0" applyNumberFormat="1" applyFont="1" applyFill="1" applyBorder="1" applyAlignment="1" applyProtection="1">
      <alignment horizontal="center"/>
      <protection locked="0"/>
    </xf>
    <xf numFmtId="43" fontId="10" fillId="0" borderId="8" xfId="24" applyFont="1" applyFill="1" applyBorder="1" applyAlignment="1" applyProtection="1">
      <alignment horizontal="center"/>
    </xf>
    <xf numFmtId="165" fontId="10" fillId="0" borderId="2" xfId="0" applyNumberFormat="1" applyFont="1" applyFill="1" applyBorder="1" applyAlignment="1" applyProtection="1">
      <alignment horizontal="center"/>
    </xf>
    <xf numFmtId="0" fontId="1" fillId="0" borderId="2" xfId="0" applyFont="1" applyBorder="1" applyAlignment="1">
      <alignment horizontal="center" vertical="center" wrapText="1"/>
    </xf>
    <xf numFmtId="167" fontId="1" fillId="5" borderId="2" xfId="26" applyNumberFormat="1" applyFill="1" applyBorder="1" applyAlignment="1" applyProtection="1">
      <alignment horizontal="right" vertical="center"/>
      <protection locked="0"/>
    </xf>
    <xf numFmtId="167" fontId="1" fillId="5" borderId="2" xfId="26" applyNumberFormat="1" applyFill="1" applyBorder="1" applyAlignment="1" applyProtection="1">
      <alignment vertical="center"/>
      <protection locked="0"/>
    </xf>
    <xf numFmtId="43" fontId="10" fillId="10" borderId="12" xfId="24" quotePrefix="1" applyFont="1" applyFill="1" applyBorder="1" applyAlignment="1">
      <alignment horizontal="center"/>
    </xf>
    <xf numFmtId="0" fontId="28" fillId="10" borderId="1" xfId="0" applyFont="1" applyFill="1" applyBorder="1" applyAlignment="1"/>
    <xf numFmtId="0" fontId="28" fillId="10" borderId="8" xfId="0" applyFont="1" applyFill="1" applyBorder="1" applyAlignment="1"/>
    <xf numFmtId="43" fontId="10" fillId="10" borderId="11" xfId="24" quotePrefix="1" applyFont="1" applyFill="1" applyBorder="1" applyAlignment="1">
      <alignment horizontal="center"/>
    </xf>
    <xf numFmtId="0" fontId="21" fillId="10" borderId="0" xfId="0" applyFont="1" applyFill="1" applyBorder="1" applyAlignment="1">
      <alignment horizontal="center" vertical="center" wrapText="1"/>
    </xf>
    <xf numFmtId="165" fontId="10" fillId="0" borderId="1" xfId="0" applyNumberFormat="1" applyFont="1" applyFill="1" applyBorder="1" applyAlignment="1" applyProtection="1">
      <alignment horizontal="center"/>
    </xf>
    <xf numFmtId="43" fontId="10" fillId="0" borderId="2" xfId="24" applyFont="1" applyFill="1" applyBorder="1" applyAlignment="1" applyProtection="1">
      <alignment horizontal="center"/>
    </xf>
    <xf numFmtId="0" fontId="8" fillId="0" borderId="2" xfId="0" applyFont="1" applyBorder="1" applyAlignment="1">
      <alignment horizontal="center" wrapText="1"/>
    </xf>
    <xf numFmtId="165" fontId="10" fillId="0" borderId="2" xfId="0" applyNumberFormat="1" applyFont="1" applyBorder="1" applyAlignment="1" applyProtection="1">
      <alignment horizontal="center"/>
    </xf>
    <xf numFmtId="43" fontId="10" fillId="0" borderId="8" xfId="24" applyFont="1" applyFill="1" applyBorder="1" applyAlignment="1" applyProtection="1">
      <alignment horizontal="center"/>
    </xf>
    <xf numFmtId="0" fontId="28" fillId="10" borderId="6" xfId="0" applyFont="1" applyFill="1" applyBorder="1" applyAlignment="1">
      <alignment horizontal="center" vertical="center" wrapText="1"/>
    </xf>
    <xf numFmtId="165" fontId="10" fillId="0" borderId="2" xfId="0" applyNumberFormat="1" applyFont="1" applyFill="1" applyBorder="1" applyAlignment="1" applyProtection="1">
      <alignment horizontal="center"/>
    </xf>
    <xf numFmtId="0" fontId="1" fillId="0" borderId="1" xfId="14" applyFont="1" applyBorder="1" applyAlignment="1">
      <alignment wrapText="1"/>
    </xf>
    <xf numFmtId="0" fontId="0" fillId="0" borderId="9" xfId="0" applyBorder="1" applyAlignment="1">
      <alignment wrapText="1"/>
    </xf>
    <xf numFmtId="0" fontId="0" fillId="0" borderId="8" xfId="0" applyBorder="1" applyAlignment="1">
      <alignment wrapText="1"/>
    </xf>
    <xf numFmtId="0" fontId="0" fillId="0" borderId="9" xfId="0" applyBorder="1" applyAlignment="1"/>
    <xf numFmtId="0" fontId="1" fillId="0" borderId="1" xfId="14" applyFont="1" applyFill="1" applyBorder="1" applyAlignment="1">
      <alignment wrapText="1"/>
    </xf>
    <xf numFmtId="0" fontId="0" fillId="0" borderId="8" xfId="0" applyFill="1" applyBorder="1" applyAlignment="1">
      <alignment wrapText="1"/>
    </xf>
    <xf numFmtId="0" fontId="0" fillId="0" borderId="9" xfId="0" applyFill="1" applyBorder="1" applyAlignment="1"/>
    <xf numFmtId="0" fontId="16" fillId="10" borderId="1" xfId="14" applyFont="1" applyFill="1" applyBorder="1" applyAlignment="1">
      <alignment horizontal="left" vertical="center"/>
    </xf>
    <xf numFmtId="0" fontId="16" fillId="10" borderId="8" xfId="14" applyFont="1" applyFill="1" applyBorder="1" applyAlignment="1">
      <alignment horizontal="left" vertical="center"/>
    </xf>
    <xf numFmtId="0" fontId="18" fillId="10" borderId="1" xfId="0" applyFont="1" applyFill="1" applyBorder="1" applyAlignment="1" applyProtection="1">
      <alignment horizontal="center" vertical="center" wrapText="1"/>
    </xf>
    <xf numFmtId="0" fontId="18" fillId="10" borderId="8" xfId="0" applyFont="1" applyFill="1" applyBorder="1" applyAlignment="1" applyProtection="1">
      <alignment horizontal="center" vertical="center" wrapText="1"/>
    </xf>
    <xf numFmtId="0" fontId="18" fillId="10" borderId="9" xfId="0" applyFont="1" applyFill="1" applyBorder="1" applyAlignment="1" applyProtection="1">
      <alignment horizontal="center" vertical="center" wrapText="1"/>
    </xf>
    <xf numFmtId="0" fontId="1" fillId="10" borderId="9" xfId="14" applyFont="1" applyFill="1" applyBorder="1" applyAlignment="1">
      <alignment horizontal="center" vertical="center" wrapText="1"/>
    </xf>
    <xf numFmtId="0" fontId="1" fillId="10" borderId="2" xfId="14" applyFont="1" applyFill="1" applyBorder="1" applyAlignment="1">
      <alignment horizontal="center" vertical="center" wrapText="1"/>
    </xf>
    <xf numFmtId="0" fontId="1" fillId="10" borderId="2" xfId="14" applyFont="1" applyFill="1" applyBorder="1" applyAlignment="1">
      <alignment horizontal="center" vertical="center"/>
    </xf>
    <xf numFmtId="0" fontId="12" fillId="10" borderId="4" xfId="14" applyFont="1" applyFill="1" applyBorder="1" applyAlignment="1">
      <alignment horizontal="right" vertical="center"/>
    </xf>
    <xf numFmtId="0" fontId="12" fillId="10" borderId="5" xfId="14" applyFont="1" applyFill="1" applyBorder="1" applyAlignment="1">
      <alignment horizontal="right" vertical="center"/>
    </xf>
    <xf numFmtId="0" fontId="16" fillId="0" borderId="2" xfId="14" applyFont="1" applyBorder="1" applyAlignment="1">
      <alignment horizontal="left" vertical="center"/>
    </xf>
    <xf numFmtId="0" fontId="16" fillId="10" borderId="2" xfId="14" applyFont="1" applyFill="1" applyBorder="1" applyAlignment="1">
      <alignment horizontal="left" vertical="center"/>
    </xf>
    <xf numFmtId="0" fontId="1" fillId="0" borderId="1"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165" fontId="4" fillId="0" borderId="1" xfId="0" applyNumberFormat="1" applyFont="1" applyFill="1" applyBorder="1" applyAlignment="1" applyProtection="1">
      <alignment horizontal="center" vertical="center" wrapText="1"/>
      <protection locked="0"/>
    </xf>
    <xf numFmtId="165" fontId="4" fillId="0" borderId="9" xfId="0" applyNumberFormat="1" applyFont="1" applyFill="1" applyBorder="1" applyAlignment="1" applyProtection="1">
      <alignment horizontal="center" vertical="center" wrapText="1"/>
      <protection locked="0"/>
    </xf>
    <xf numFmtId="165" fontId="10" fillId="0" borderId="1" xfId="0" applyNumberFormat="1" applyFont="1" applyFill="1" applyBorder="1" applyAlignment="1" applyProtection="1">
      <alignment horizontal="center"/>
    </xf>
    <xf numFmtId="165" fontId="10" fillId="0" borderId="8" xfId="0" applyNumberFormat="1" applyFont="1" applyFill="1" applyBorder="1" applyAlignment="1" applyProtection="1">
      <alignment horizontal="center"/>
    </xf>
    <xf numFmtId="165" fontId="10" fillId="0" borderId="9" xfId="0" applyNumberFormat="1" applyFont="1" applyFill="1" applyBorder="1" applyAlignment="1" applyProtection="1">
      <alignment horizontal="center"/>
    </xf>
    <xf numFmtId="165" fontId="4" fillId="0" borderId="1" xfId="0" applyNumberFormat="1" applyFont="1" applyFill="1" applyBorder="1" applyAlignment="1" applyProtection="1">
      <alignment horizontal="left" vertical="center" wrapText="1"/>
      <protection locked="0"/>
    </xf>
    <xf numFmtId="165" fontId="4" fillId="0" borderId="9" xfId="0" applyNumberFormat="1"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165" fontId="4" fillId="0" borderId="1" xfId="0" applyNumberFormat="1" applyFont="1" applyFill="1" applyBorder="1" applyAlignment="1" applyProtection="1">
      <alignment horizontal="center" vertical="center"/>
      <protection locked="0"/>
    </xf>
    <xf numFmtId="165" fontId="4" fillId="0" borderId="8" xfId="0" applyNumberFormat="1" applyFont="1" applyFill="1" applyBorder="1" applyAlignment="1" applyProtection="1">
      <alignment horizontal="center" vertical="center"/>
      <protection locked="0"/>
    </xf>
    <xf numFmtId="165" fontId="4" fillId="0" borderId="9" xfId="0" applyNumberFormat="1" applyFont="1" applyFill="1" applyBorder="1" applyAlignment="1" applyProtection="1">
      <alignment horizontal="center" vertical="center"/>
      <protection locked="0"/>
    </xf>
    <xf numFmtId="0" fontId="28" fillId="0" borderId="3" xfId="0" applyFont="1" applyFill="1" applyBorder="1" applyAlignment="1"/>
    <xf numFmtId="0" fontId="28" fillId="0" borderId="4" xfId="0" applyFont="1" applyBorder="1" applyAlignment="1"/>
    <xf numFmtId="0" fontId="28" fillId="0" borderId="5" xfId="0" applyFont="1" applyBorder="1" applyAlignment="1"/>
    <xf numFmtId="165" fontId="10" fillId="0" borderId="1" xfId="0" applyNumberFormat="1" applyFont="1" applyFill="1" applyBorder="1" applyAlignment="1">
      <alignment horizontal="center" vertical="center" wrapText="1"/>
    </xf>
    <xf numFmtId="0" fontId="0" fillId="0" borderId="9" xfId="0" applyBorder="1" applyAlignment="1">
      <alignment horizontal="center" vertical="center" wrapText="1"/>
    </xf>
    <xf numFmtId="0" fontId="10" fillId="0" borderId="13" xfId="0" quotePrefix="1" applyFont="1" applyFill="1" applyBorder="1" applyAlignment="1">
      <alignment horizontal="center" vertical="center"/>
    </xf>
    <xf numFmtId="0" fontId="0" fillId="0" borderId="14" xfId="0" applyBorder="1" applyAlignment="1">
      <alignment horizontal="center" vertical="center"/>
    </xf>
    <xf numFmtId="165" fontId="10" fillId="0" borderId="1" xfId="0" applyNumberFormat="1" applyFont="1" applyFill="1" applyBorder="1" applyAlignment="1">
      <alignment horizontal="center" vertical="center"/>
    </xf>
    <xf numFmtId="0" fontId="0" fillId="0" borderId="9" xfId="0" applyBorder="1" applyAlignment="1">
      <alignment horizontal="center" vertical="center"/>
    </xf>
    <xf numFmtId="9" fontId="10" fillId="0" borderId="1" xfId="0" applyNumberFormat="1" applyFont="1" applyFill="1" applyBorder="1" applyAlignment="1">
      <alignment horizontal="center" vertical="center"/>
    </xf>
    <xf numFmtId="9" fontId="0" fillId="0" borderId="9" xfId="0" applyNumberFormat="1" applyBorder="1" applyAlignment="1">
      <alignment horizontal="center" vertical="center"/>
    </xf>
    <xf numFmtId="0" fontId="4" fillId="0" borderId="1"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Fill="1" applyBorder="1" applyAlignment="1">
      <alignment horizontal="center" vertical="center"/>
    </xf>
    <xf numFmtId="0" fontId="4" fillId="0" borderId="9" xfId="0" applyFont="1" applyBorder="1" applyAlignment="1">
      <alignment horizontal="center" vertical="center"/>
    </xf>
    <xf numFmtId="165" fontId="4" fillId="0" borderId="2" xfId="0" applyNumberFormat="1" applyFont="1" applyFill="1" applyBorder="1" applyAlignment="1" applyProtection="1">
      <alignment horizontal="center" vertical="center"/>
      <protection locked="0"/>
    </xf>
    <xf numFmtId="43" fontId="10" fillId="0" borderId="2" xfId="24" applyFont="1" applyFill="1" applyBorder="1" applyAlignment="1" applyProtection="1">
      <alignment horizontal="center"/>
    </xf>
    <xf numFmtId="0" fontId="4" fillId="0" borderId="1" xfId="0" applyFont="1" applyFill="1" applyBorder="1" applyAlignment="1" applyProtection="1">
      <alignment horizontal="center"/>
      <protection locked="0"/>
    </xf>
    <xf numFmtId="0" fontId="4" fillId="0" borderId="9" xfId="0" applyFont="1" applyFill="1" applyBorder="1" applyAlignment="1" applyProtection="1">
      <alignment horizontal="center"/>
      <protection locked="0"/>
    </xf>
    <xf numFmtId="165" fontId="4" fillId="10" borderId="12" xfId="0" applyNumberFormat="1" applyFont="1" applyFill="1" applyBorder="1" applyAlignment="1" applyProtection="1">
      <alignment horizontal="center"/>
      <protection locked="0"/>
    </xf>
    <xf numFmtId="165" fontId="4" fillId="0" borderId="1" xfId="0" applyNumberFormat="1" applyFont="1" applyFill="1" applyBorder="1" applyAlignment="1" applyProtection="1">
      <alignment horizontal="center" wrapText="1"/>
      <protection locked="0"/>
    </xf>
    <xf numFmtId="165" fontId="4" fillId="0" borderId="9" xfId="0" applyNumberFormat="1" applyFont="1" applyFill="1" applyBorder="1" applyAlignment="1" applyProtection="1">
      <alignment horizontal="center" wrapText="1"/>
      <protection locked="0"/>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165" fontId="10" fillId="0" borderId="2" xfId="25" applyNumberFormat="1" applyFont="1" applyFill="1" applyBorder="1" applyAlignment="1" applyProtection="1">
      <alignment horizontal="center"/>
    </xf>
    <xf numFmtId="165" fontId="4" fillId="0" borderId="1" xfId="0" applyNumberFormat="1" applyFont="1" applyFill="1" applyBorder="1" applyAlignment="1" applyProtection="1">
      <alignment horizontal="center"/>
      <protection locked="0"/>
    </xf>
    <xf numFmtId="165" fontId="4" fillId="0" borderId="8" xfId="0" applyNumberFormat="1" applyFont="1" applyFill="1" applyBorder="1" applyAlignment="1" applyProtection="1">
      <alignment horizontal="center"/>
      <protection locked="0"/>
    </xf>
    <xf numFmtId="165" fontId="4" fillId="0" borderId="9" xfId="0" applyNumberFormat="1" applyFont="1" applyFill="1" applyBorder="1" applyAlignment="1" applyProtection="1">
      <alignment horizontal="center"/>
      <protection locked="0"/>
    </xf>
    <xf numFmtId="0" fontId="1" fillId="10" borderId="0" xfId="0" applyFont="1" applyFill="1" applyBorder="1" applyAlignment="1">
      <alignment horizontal="left"/>
    </xf>
    <xf numFmtId="9" fontId="10" fillId="0" borderId="1" xfId="25" applyFont="1" applyFill="1" applyBorder="1" applyAlignment="1" applyProtection="1">
      <alignment horizontal="center"/>
    </xf>
    <xf numFmtId="9" fontId="10" fillId="0" borderId="8" xfId="25" applyFont="1" applyFill="1" applyBorder="1" applyAlignment="1" applyProtection="1">
      <alignment horizontal="center"/>
    </xf>
    <xf numFmtId="9" fontId="10" fillId="0" borderId="9" xfId="25" applyFont="1" applyFill="1" applyBorder="1" applyAlignment="1" applyProtection="1">
      <alignment horizontal="center"/>
    </xf>
    <xf numFmtId="8" fontId="10" fillId="0" borderId="1" xfId="0" applyNumberFormat="1" applyFont="1" applyFill="1" applyBorder="1" applyAlignment="1" applyProtection="1">
      <alignment horizontal="center"/>
    </xf>
    <xf numFmtId="8" fontId="10" fillId="0" borderId="8" xfId="0" applyNumberFormat="1" applyFont="1" applyFill="1" applyBorder="1" applyAlignment="1" applyProtection="1">
      <alignment horizontal="center"/>
    </xf>
    <xf numFmtId="8" fontId="10" fillId="0" borderId="9" xfId="0" applyNumberFormat="1" applyFont="1" applyFill="1" applyBorder="1" applyAlignment="1" applyProtection="1">
      <alignment horizontal="center"/>
    </xf>
    <xf numFmtId="0" fontId="16" fillId="9" borderId="27" xfId="0" applyFont="1" applyFill="1" applyBorder="1" applyAlignment="1">
      <alignment horizontal="center" vertical="center" wrapText="1"/>
    </xf>
    <xf numFmtId="0" fontId="16" fillId="9" borderId="0" xfId="0" applyFont="1" applyFill="1" applyBorder="1" applyAlignment="1">
      <alignment horizontal="center" vertical="center" wrapText="1"/>
    </xf>
    <xf numFmtId="0" fontId="16" fillId="9" borderId="28" xfId="0" applyFont="1" applyFill="1" applyBorder="1" applyAlignment="1">
      <alignment horizontal="center" vertical="center" wrapText="1"/>
    </xf>
    <xf numFmtId="1" fontId="8" fillId="6" borderId="22" xfId="26" applyNumberFormat="1" applyFont="1" applyFill="1" applyBorder="1" applyAlignment="1" applyProtection="1">
      <alignment horizontal="center"/>
      <protection locked="0"/>
    </xf>
    <xf numFmtId="1" fontId="8" fillId="6" borderId="23" xfId="26" applyNumberFormat="1" applyFont="1" applyFill="1" applyBorder="1" applyAlignment="1" applyProtection="1">
      <alignment horizontal="center"/>
      <protection locked="0"/>
    </xf>
    <xf numFmtId="1" fontId="8" fillId="6" borderId="24" xfId="26" applyNumberFormat="1" applyFont="1" applyFill="1" applyBorder="1" applyAlignment="1" applyProtection="1">
      <alignment horizontal="center"/>
      <protection locked="0"/>
    </xf>
    <xf numFmtId="165" fontId="4" fillId="0" borderId="2" xfId="0" applyNumberFormat="1" applyFont="1" applyFill="1" applyBorder="1" applyAlignment="1" applyProtection="1">
      <alignment horizontal="center"/>
      <protection locked="0"/>
    </xf>
    <xf numFmtId="0" fontId="16" fillId="9" borderId="17" xfId="0" applyFont="1" applyFill="1" applyBorder="1" applyAlignment="1">
      <alignment horizontal="center" wrapText="1"/>
    </xf>
    <xf numFmtId="0" fontId="16" fillId="9" borderId="16" xfId="0" applyFont="1" applyFill="1" applyBorder="1" applyAlignment="1">
      <alignment horizontal="center" wrapText="1"/>
    </xf>
    <xf numFmtId="0" fontId="16" fillId="9" borderId="18" xfId="0" applyFont="1" applyFill="1" applyBorder="1" applyAlignment="1">
      <alignment horizontal="center" wrapText="1"/>
    </xf>
    <xf numFmtId="0" fontId="28" fillId="10" borderId="3" xfId="0" applyFont="1" applyFill="1" applyBorder="1" applyAlignment="1">
      <alignment horizontal="center" vertical="center" wrapText="1"/>
    </xf>
    <xf numFmtId="0" fontId="28" fillId="10" borderId="4" xfId="0" applyFont="1" applyFill="1" applyBorder="1" applyAlignment="1">
      <alignment horizontal="center" vertical="center" wrapText="1"/>
    </xf>
    <xf numFmtId="0" fontId="28" fillId="10" borderId="5" xfId="0" applyFont="1" applyFill="1" applyBorder="1" applyAlignment="1">
      <alignment horizontal="center" vertical="center" wrapText="1"/>
    </xf>
    <xf numFmtId="0" fontId="8" fillId="10" borderId="12" xfId="0" applyFont="1" applyFill="1" applyBorder="1" applyAlignment="1">
      <alignment horizontal="center" wrapText="1"/>
    </xf>
    <xf numFmtId="0" fontId="8" fillId="10" borderId="0" xfId="0" applyFont="1" applyFill="1" applyBorder="1" applyAlignment="1">
      <alignment horizontal="center" vertical="center" wrapText="1"/>
    </xf>
    <xf numFmtId="0" fontId="0" fillId="10" borderId="0" xfId="0" applyFill="1" applyBorder="1" applyAlignment="1">
      <alignment horizontal="center"/>
    </xf>
    <xf numFmtId="0" fontId="0" fillId="10" borderId="7" xfId="0" applyFill="1" applyBorder="1" applyAlignment="1">
      <alignment horizontal="center"/>
    </xf>
    <xf numFmtId="0" fontId="10" fillId="10" borderId="1" xfId="0" applyFont="1" applyFill="1" applyBorder="1" applyAlignment="1">
      <alignment horizontal="left" vertical="center"/>
    </xf>
    <xf numFmtId="0" fontId="10" fillId="10" borderId="8" xfId="0" applyFont="1" applyFill="1" applyBorder="1" applyAlignment="1">
      <alignment horizontal="left" vertical="center"/>
    </xf>
    <xf numFmtId="0" fontId="10" fillId="10" borderId="1" xfId="0" applyFont="1" applyFill="1" applyBorder="1" applyAlignment="1" applyProtection="1">
      <alignment horizontal="left" vertical="center" wrapText="1"/>
    </xf>
    <xf numFmtId="0" fontId="10" fillId="10" borderId="8" xfId="0" applyFont="1" applyFill="1" applyBorder="1" applyAlignment="1" applyProtection="1">
      <alignment horizontal="left" vertical="center" wrapText="1"/>
    </xf>
    <xf numFmtId="0" fontId="0" fillId="0" borderId="8" xfId="0" applyBorder="1" applyAlignment="1">
      <alignment horizontal="left"/>
    </xf>
    <xf numFmtId="0" fontId="28" fillId="0" borderId="1" xfId="0" applyFont="1" applyBorder="1" applyAlignment="1" applyProtection="1">
      <alignment horizontal="right"/>
    </xf>
    <xf numFmtId="0" fontId="28" fillId="0" borderId="8" xfId="0" applyFont="1" applyBorder="1" applyAlignment="1" applyProtection="1">
      <alignment horizontal="right"/>
    </xf>
    <xf numFmtId="0" fontId="28" fillId="0" borderId="9" xfId="0" applyFont="1" applyBorder="1" applyAlignment="1" applyProtection="1">
      <alignment horizontal="right"/>
    </xf>
    <xf numFmtId="0" fontId="28" fillId="0" borderId="5" xfId="0" applyFont="1" applyBorder="1" applyAlignment="1">
      <alignment horizontal="center" vertical="center" wrapText="1"/>
    </xf>
    <xf numFmtId="0" fontId="21" fillId="0" borderId="0" xfId="0" applyFont="1" applyFill="1" applyBorder="1" applyAlignment="1">
      <alignment horizontal="center" vertical="center" wrapText="1"/>
    </xf>
    <xf numFmtId="0" fontId="10" fillId="10" borderId="2"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1" xfId="0" applyFont="1" applyFill="1" applyBorder="1" applyAlignment="1">
      <alignment horizontal="left" vertical="center"/>
    </xf>
    <xf numFmtId="0" fontId="21" fillId="10" borderId="0" xfId="0" applyFont="1" applyFill="1" applyBorder="1" applyAlignment="1">
      <alignment horizontal="center" vertical="center" wrapText="1"/>
    </xf>
    <xf numFmtId="0" fontId="0" fillId="10" borderId="6" xfId="0" applyFill="1" applyBorder="1" applyAlignment="1">
      <alignment horizontal="center"/>
    </xf>
    <xf numFmtId="0" fontId="10" fillId="0" borderId="1"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4" fillId="10" borderId="6" xfId="0" applyFont="1" applyFill="1" applyBorder="1" applyAlignment="1">
      <alignment horizontal="center" vertical="top" wrapText="1"/>
    </xf>
    <xf numFmtId="0" fontId="16" fillId="10" borderId="11" xfId="0" applyFont="1" applyFill="1" applyBorder="1" applyAlignment="1">
      <alignment horizontal="center" vertical="top" wrapText="1"/>
    </xf>
    <xf numFmtId="0" fontId="4" fillId="10" borderId="11" xfId="0" applyFont="1" applyFill="1" applyBorder="1" applyAlignment="1">
      <alignment horizontal="center" vertical="top" wrapText="1"/>
    </xf>
    <xf numFmtId="0" fontId="16" fillId="0" borderId="3" xfId="0" applyFont="1" applyFill="1" applyBorder="1" applyAlignment="1">
      <alignment horizontal="center" wrapText="1"/>
    </xf>
    <xf numFmtId="0" fontId="16" fillId="0" borderId="5" xfId="0" applyFont="1" applyFill="1" applyBorder="1" applyAlignment="1">
      <alignment horizontal="center" wrapText="1"/>
    </xf>
    <xf numFmtId="0" fontId="16" fillId="0" borderId="3" xfId="0" applyFont="1" applyBorder="1" applyAlignment="1">
      <alignment horizontal="center" wrapText="1"/>
    </xf>
    <xf numFmtId="0" fontId="16" fillId="0" borderId="5" xfId="0" applyFont="1" applyBorder="1" applyAlignment="1">
      <alignment horizontal="center" wrapText="1"/>
    </xf>
    <xf numFmtId="0" fontId="16" fillId="10" borderId="3" xfId="0" applyFont="1" applyFill="1" applyBorder="1" applyAlignment="1">
      <alignment horizontal="center" wrapText="1"/>
    </xf>
    <xf numFmtId="0" fontId="16" fillId="10" borderId="5" xfId="0" applyFont="1" applyFill="1" applyBorder="1" applyAlignment="1">
      <alignment horizontal="center" wrapText="1"/>
    </xf>
    <xf numFmtId="0" fontId="10" fillId="0" borderId="2" xfId="0" applyFont="1" applyFill="1" applyBorder="1" applyAlignment="1">
      <alignment horizontal="left" vertical="center" wrapText="1"/>
    </xf>
    <xf numFmtId="43" fontId="29" fillId="10" borderId="10" xfId="24" applyFont="1" applyFill="1" applyBorder="1" applyAlignment="1" applyProtection="1">
      <alignment horizontal="center" vertical="center"/>
      <protection locked="0"/>
    </xf>
    <xf numFmtId="0" fontId="0" fillId="10" borderId="11" xfId="0" applyFill="1" applyBorder="1" applyAlignment="1">
      <alignment horizontal="center" vertical="center"/>
    </xf>
    <xf numFmtId="0" fontId="4" fillId="10" borderId="10" xfId="0" applyFont="1" applyFill="1" applyBorder="1" applyAlignment="1">
      <alignment horizontal="center"/>
    </xf>
    <xf numFmtId="0" fontId="4" fillId="0" borderId="11" xfId="0" applyFont="1" applyBorder="1" applyAlignment="1">
      <alignment horizontal="center"/>
    </xf>
    <xf numFmtId="0" fontId="4" fillId="10" borderId="1" xfId="0" applyFont="1" applyFill="1" applyBorder="1" applyAlignment="1" applyProtection="1">
      <alignment horizontal="center" vertical="center"/>
      <protection locked="0"/>
    </xf>
    <xf numFmtId="0" fontId="4" fillId="10" borderId="9" xfId="0" applyFont="1" applyFill="1" applyBorder="1" applyAlignment="1" applyProtection="1">
      <alignment horizontal="center" vertical="center"/>
      <protection locked="0"/>
    </xf>
    <xf numFmtId="43" fontId="10" fillId="0" borderId="1" xfId="24" applyFont="1" applyFill="1" applyBorder="1" applyAlignment="1" applyProtection="1">
      <alignment horizontal="center"/>
    </xf>
    <xf numFmtId="43" fontId="10" fillId="0" borderId="8" xfId="24" applyFont="1" applyFill="1" applyBorder="1" applyAlignment="1" applyProtection="1">
      <alignment horizontal="center"/>
    </xf>
    <xf numFmtId="43" fontId="10" fillId="0" borderId="9" xfId="24" applyFont="1" applyFill="1" applyBorder="1" applyAlignment="1" applyProtection="1">
      <alignment horizontal="center"/>
    </xf>
    <xf numFmtId="165" fontId="1" fillId="10" borderId="1" xfId="0" applyNumberFormat="1" applyFont="1" applyFill="1" applyBorder="1" applyAlignment="1">
      <alignment horizontal="center"/>
    </xf>
    <xf numFmtId="0" fontId="0" fillId="0" borderId="9" xfId="0" applyBorder="1" applyAlignment="1">
      <alignment horizontal="center"/>
    </xf>
    <xf numFmtId="9" fontId="10" fillId="10" borderId="3" xfId="0" applyNumberFormat="1" applyFont="1" applyFill="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165" fontId="10" fillId="10" borderId="3" xfId="0" applyNumberFormat="1" applyFont="1" applyFill="1" applyBorder="1" applyAlignment="1">
      <alignment horizontal="center" vertical="center"/>
    </xf>
    <xf numFmtId="165" fontId="10" fillId="0" borderId="5" xfId="0" applyNumberFormat="1" applyFont="1" applyBorder="1" applyAlignment="1">
      <alignment horizontal="center" vertical="center"/>
    </xf>
    <xf numFmtId="0" fontId="4" fillId="10" borderId="10" xfId="0" applyFont="1" applyFill="1" applyBorder="1" applyAlignment="1">
      <alignment horizontal="center" vertical="center"/>
    </xf>
    <xf numFmtId="0" fontId="4" fillId="0" borderId="11" xfId="0" applyFont="1" applyBorder="1" applyAlignment="1">
      <alignment horizontal="center" vertical="center"/>
    </xf>
    <xf numFmtId="165" fontId="10" fillId="10" borderId="3" xfId="0" applyNumberFormat="1" applyFont="1" applyFill="1" applyBorder="1" applyAlignment="1" applyProtection="1">
      <alignment horizontal="center"/>
    </xf>
    <xf numFmtId="165" fontId="10" fillId="10" borderId="5" xfId="0" applyNumberFormat="1" applyFont="1" applyFill="1" applyBorder="1" applyAlignment="1" applyProtection="1">
      <alignment horizontal="center"/>
    </xf>
    <xf numFmtId="165" fontId="10" fillId="0" borderId="1" xfId="25" applyNumberFormat="1" applyFont="1" applyFill="1" applyBorder="1" applyAlignment="1" applyProtection="1">
      <alignment horizontal="center"/>
    </xf>
    <xf numFmtId="165" fontId="10" fillId="0" borderId="9" xfId="25" applyNumberFormat="1" applyFont="1" applyFill="1" applyBorder="1" applyAlignment="1" applyProtection="1">
      <alignment horizontal="center"/>
    </xf>
    <xf numFmtId="8" fontId="10" fillId="0" borderId="1" xfId="0" quotePrefix="1" applyNumberFormat="1" applyFont="1" applyFill="1" applyBorder="1" applyAlignment="1" applyProtection="1">
      <alignment horizontal="center"/>
    </xf>
    <xf numFmtId="8" fontId="10" fillId="0" borderId="9" xfId="0" quotePrefix="1" applyNumberFormat="1" applyFont="1" applyFill="1" applyBorder="1" applyAlignment="1" applyProtection="1">
      <alignment horizontal="center"/>
    </xf>
    <xf numFmtId="43" fontId="10" fillId="10" borderId="0" xfId="24" applyFont="1" applyFill="1" applyBorder="1" applyAlignment="1" applyProtection="1">
      <alignment horizontal="center"/>
    </xf>
    <xf numFmtId="165" fontId="10" fillId="0" borderId="0" xfId="0" applyNumberFormat="1" applyFont="1" applyFill="1" applyBorder="1" applyAlignment="1" applyProtection="1">
      <alignment horizontal="center"/>
    </xf>
    <xf numFmtId="165" fontId="4" fillId="10" borderId="0" xfId="0" applyNumberFormat="1" applyFont="1" applyFill="1" applyBorder="1" applyAlignment="1" applyProtection="1">
      <alignment horizontal="center"/>
      <protection locked="0"/>
    </xf>
    <xf numFmtId="165" fontId="10" fillId="10" borderId="1" xfId="0" applyNumberFormat="1" applyFont="1" applyFill="1" applyBorder="1" applyAlignment="1">
      <alignment vertical="center" wrapText="1"/>
    </xf>
    <xf numFmtId="0" fontId="0" fillId="0" borderId="9" xfId="0" applyBorder="1" applyAlignment="1">
      <alignment vertical="center" wrapText="1"/>
    </xf>
    <xf numFmtId="41" fontId="0" fillId="10" borderId="1" xfId="0" applyNumberFormat="1" applyFill="1" applyBorder="1" applyAlignment="1">
      <alignment horizontal="center"/>
    </xf>
    <xf numFmtId="165" fontId="0" fillId="10" borderId="1" xfId="0" applyNumberFormat="1" applyFill="1" applyBorder="1" applyAlignment="1">
      <alignment horizontal="center"/>
    </xf>
    <xf numFmtId="165" fontId="0" fillId="0" borderId="9" xfId="0" applyNumberFormat="1" applyBorder="1" applyAlignment="1">
      <alignment horizontal="center"/>
    </xf>
    <xf numFmtId="0" fontId="4" fillId="10" borderId="1" xfId="0" applyFont="1" applyFill="1" applyBorder="1" applyAlignment="1">
      <alignment horizontal="center" vertical="center" wrapText="1"/>
    </xf>
    <xf numFmtId="0" fontId="4" fillId="10" borderId="1" xfId="0" applyFont="1" applyFill="1" applyBorder="1" applyAlignment="1">
      <alignment horizontal="center" wrapText="1"/>
    </xf>
    <xf numFmtId="0" fontId="4" fillId="10" borderId="9" xfId="0" applyFont="1" applyFill="1" applyBorder="1" applyAlignment="1">
      <alignment horizontal="center" wrapText="1"/>
    </xf>
    <xf numFmtId="165" fontId="10" fillId="0" borderId="2" xfId="0" applyNumberFormat="1" applyFont="1" applyBorder="1" applyAlignment="1">
      <alignment horizontal="center"/>
    </xf>
    <xf numFmtId="1" fontId="8" fillId="6" borderId="19" xfId="26" applyNumberFormat="1" applyFont="1" applyFill="1" applyBorder="1" applyAlignment="1" applyProtection="1">
      <alignment horizontal="center"/>
      <protection locked="0"/>
    </xf>
    <xf numFmtId="1" fontId="8" fillId="6" borderId="20" xfId="26" applyNumberFormat="1" applyFont="1" applyFill="1" applyBorder="1" applyAlignment="1" applyProtection="1">
      <alignment horizontal="center"/>
      <protection locked="0"/>
    </xf>
    <xf numFmtId="1" fontId="8" fillId="6" borderId="21" xfId="26" applyNumberFormat="1" applyFont="1" applyFill="1" applyBorder="1" applyAlignment="1" applyProtection="1">
      <alignment horizontal="center"/>
      <protection locked="0"/>
    </xf>
    <xf numFmtId="0" fontId="10" fillId="10" borderId="10" xfId="0" applyFont="1" applyFill="1" applyBorder="1" applyAlignment="1" applyProtection="1">
      <alignment horizontal="center" vertical="center" wrapText="1"/>
    </xf>
    <xf numFmtId="0" fontId="10" fillId="10" borderId="11" xfId="0" applyFont="1" applyFill="1" applyBorder="1" applyAlignment="1" applyProtection="1">
      <alignment horizontal="center" vertical="center" wrapText="1"/>
    </xf>
    <xf numFmtId="165" fontId="4" fillId="0" borderId="1" xfId="0" applyNumberFormat="1" applyFont="1" applyFill="1" applyBorder="1" applyAlignment="1" applyProtection="1">
      <alignment horizontal="center"/>
    </xf>
    <xf numFmtId="165" fontId="4" fillId="0" borderId="9" xfId="0" applyNumberFormat="1" applyFont="1" applyFill="1" applyBorder="1" applyAlignment="1" applyProtection="1">
      <alignment horizontal="center"/>
    </xf>
    <xf numFmtId="165" fontId="4" fillId="0" borderId="1" xfId="0" applyNumberFormat="1" applyFont="1" applyFill="1" applyBorder="1" applyAlignment="1" applyProtection="1">
      <alignment horizontal="center" wrapText="1"/>
    </xf>
    <xf numFmtId="165" fontId="4" fillId="0" borderId="9" xfId="0" applyNumberFormat="1" applyFont="1" applyFill="1" applyBorder="1" applyAlignment="1" applyProtection="1">
      <alignment horizontal="center" wrapText="1"/>
    </xf>
    <xf numFmtId="0" fontId="12" fillId="10" borderId="1" xfId="0" applyFont="1" applyFill="1" applyBorder="1" applyAlignment="1" applyProtection="1">
      <alignment horizontal="right" vertical="center" wrapText="1"/>
    </xf>
    <xf numFmtId="0" fontId="16" fillId="0" borderId="8" xfId="0" applyFont="1" applyBorder="1" applyAlignment="1">
      <alignment horizontal="right" vertical="center" wrapText="1"/>
    </xf>
    <xf numFmtId="0" fontId="16" fillId="0" borderId="8" xfId="0" applyFont="1" applyBorder="1" applyAlignment="1"/>
    <xf numFmtId="0" fontId="16" fillId="0" borderId="9" xfId="0" applyFont="1" applyBorder="1" applyAlignment="1"/>
    <xf numFmtId="0" fontId="28" fillId="10" borderId="2" xfId="0" applyFont="1" applyFill="1" applyBorder="1" applyAlignment="1" applyProtection="1">
      <alignment horizontal="right"/>
    </xf>
    <xf numFmtId="0" fontId="28" fillId="10" borderId="1" xfId="0" applyFont="1" applyFill="1" applyBorder="1" applyAlignment="1" applyProtection="1">
      <alignment horizontal="right"/>
    </xf>
    <xf numFmtId="0" fontId="1" fillId="10" borderId="6" xfId="0" applyFont="1" applyFill="1" applyBorder="1" applyAlignment="1">
      <alignment horizontal="center"/>
    </xf>
    <xf numFmtId="0" fontId="1" fillId="10" borderId="0" xfId="0" applyFont="1" applyFill="1" applyBorder="1" applyAlignment="1">
      <alignment horizontal="center"/>
    </xf>
    <xf numFmtId="0" fontId="1" fillId="10" borderId="7" xfId="0" applyFont="1" applyFill="1" applyBorder="1" applyAlignment="1">
      <alignment horizontal="center"/>
    </xf>
    <xf numFmtId="0" fontId="1" fillId="10" borderId="6" xfId="0" applyFont="1" applyFill="1" applyBorder="1" applyAlignment="1" applyProtection="1">
      <alignment horizontal="center"/>
    </xf>
    <xf numFmtId="0" fontId="1" fillId="10" borderId="0" xfId="0" applyFont="1" applyFill="1" applyBorder="1" applyAlignment="1" applyProtection="1">
      <alignment horizontal="center"/>
    </xf>
    <xf numFmtId="0" fontId="8" fillId="10" borderId="12" xfId="0" applyFont="1" applyFill="1" applyBorder="1" applyAlignment="1" applyProtection="1">
      <alignment horizontal="center" wrapText="1"/>
    </xf>
    <xf numFmtId="0" fontId="8" fillId="10" borderId="12" xfId="0" applyFont="1" applyFill="1" applyBorder="1" applyAlignment="1" applyProtection="1">
      <alignment horizontal="center" vertical="center" wrapText="1"/>
    </xf>
    <xf numFmtId="0" fontId="0" fillId="10" borderId="0" xfId="0" applyFill="1" applyBorder="1" applyAlignment="1" applyProtection="1">
      <alignment horizontal="center"/>
    </xf>
    <xf numFmtId="0" fontId="0" fillId="10" borderId="7" xfId="0" applyFill="1" applyBorder="1" applyAlignment="1" applyProtection="1">
      <alignment horizontal="center"/>
    </xf>
    <xf numFmtId="0" fontId="10" fillId="10" borderId="6" xfId="0" applyFont="1" applyFill="1" applyBorder="1" applyAlignment="1" applyProtection="1">
      <alignment horizontal="center" vertical="center" wrapText="1"/>
    </xf>
    <xf numFmtId="0" fontId="10" fillId="10" borderId="7" xfId="0" applyFont="1" applyFill="1" applyBorder="1" applyAlignment="1" applyProtection="1">
      <alignment horizontal="center" vertical="center" wrapText="1"/>
    </xf>
    <xf numFmtId="167" fontId="10" fillId="0" borderId="1" xfId="0" applyNumberFormat="1" applyFont="1" applyFill="1" applyBorder="1" applyAlignment="1" applyProtection="1">
      <alignment horizontal="center"/>
    </xf>
    <xf numFmtId="167" fontId="10" fillId="0" borderId="9" xfId="0" applyNumberFormat="1" applyFont="1" applyFill="1" applyBorder="1" applyAlignment="1" applyProtection="1">
      <alignment horizontal="center"/>
    </xf>
    <xf numFmtId="0" fontId="18" fillId="0" borderId="4" xfId="0" applyFont="1" applyFill="1" applyBorder="1" applyAlignment="1" applyProtection="1">
      <alignment horizontal="center" vertical="center" wrapText="1"/>
    </xf>
    <xf numFmtId="0" fontId="18" fillId="0" borderId="5" xfId="0" applyFont="1" applyFill="1" applyBorder="1" applyAlignment="1" applyProtection="1">
      <alignment horizontal="center" vertical="center" wrapText="1"/>
    </xf>
    <xf numFmtId="0" fontId="28" fillId="0" borderId="1" xfId="0" applyFont="1" applyBorder="1" applyAlignment="1">
      <alignment horizontal="right"/>
    </xf>
    <xf numFmtId="0" fontId="28" fillId="0" borderId="8" xfId="0" applyFont="1" applyBorder="1" applyAlignment="1">
      <alignment horizontal="right"/>
    </xf>
    <xf numFmtId="0" fontId="28" fillId="0" borderId="9" xfId="0" applyFont="1" applyBorder="1" applyAlignment="1">
      <alignment horizontal="right"/>
    </xf>
    <xf numFmtId="165" fontId="10" fillId="0" borderId="2" xfId="0" applyNumberFormat="1" applyFont="1" applyFill="1" applyBorder="1" applyAlignment="1" applyProtection="1">
      <alignment horizontal="center"/>
    </xf>
    <xf numFmtId="0" fontId="12" fillId="0" borderId="1" xfId="0" applyFont="1" applyFill="1" applyBorder="1" applyAlignment="1">
      <alignment horizontal="left" vertical="center"/>
    </xf>
    <xf numFmtId="0" fontId="12" fillId="0" borderId="8" xfId="0" applyFont="1" applyFill="1" applyBorder="1" applyAlignment="1">
      <alignment horizontal="left" vertical="center"/>
    </xf>
    <xf numFmtId="0" fontId="12" fillId="0" borderId="9" xfId="0" applyFont="1" applyFill="1" applyBorder="1" applyAlignment="1">
      <alignment horizontal="left" vertical="center"/>
    </xf>
    <xf numFmtId="0" fontId="28" fillId="10" borderId="6" xfId="0" applyFont="1" applyFill="1" applyBorder="1" applyAlignment="1">
      <alignment horizontal="center" vertical="center" wrapText="1"/>
    </xf>
    <xf numFmtId="0" fontId="28" fillId="10" borderId="0" xfId="0" applyFont="1" applyFill="1" applyBorder="1" applyAlignment="1">
      <alignment horizontal="center" vertical="center" wrapText="1"/>
    </xf>
    <xf numFmtId="0" fontId="28" fillId="10" borderId="7" xfId="0" applyFont="1" applyFill="1" applyBorder="1" applyAlignment="1">
      <alignment horizontal="center" vertical="center" wrapText="1"/>
    </xf>
    <xf numFmtId="0" fontId="16" fillId="9" borderId="30" xfId="0" applyFont="1" applyFill="1" applyBorder="1" applyAlignment="1">
      <alignment horizontal="center" vertical="center" wrapText="1"/>
    </xf>
    <xf numFmtId="0" fontId="16" fillId="9" borderId="12" xfId="0" applyFont="1" applyFill="1" applyBorder="1" applyAlignment="1">
      <alignment horizontal="center" vertical="center" wrapText="1"/>
    </xf>
    <xf numFmtId="0" fontId="16" fillId="9" borderId="31" xfId="0" applyFont="1" applyFill="1" applyBorder="1" applyAlignment="1">
      <alignment horizontal="center"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26" applyFont="1" applyFill="1" applyBorder="1" applyAlignment="1">
      <alignment horizontal="center" vertical="center" wrapText="1"/>
    </xf>
    <xf numFmtId="0" fontId="1" fillId="0" borderId="13" xfId="26" applyFont="1" applyFill="1" applyBorder="1" applyAlignment="1">
      <alignment horizontal="center" vertical="center" wrapText="1"/>
    </xf>
    <xf numFmtId="0" fontId="1" fillId="0" borderId="14" xfId="26"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 xfId="0" applyFont="1" applyBorder="1" applyAlignment="1">
      <alignment horizontal="center" vertical="center" wrapText="1"/>
    </xf>
    <xf numFmtId="0" fontId="0" fillId="0" borderId="2" xfId="0" applyBorder="1" applyAlignment="1">
      <alignment horizontal="center" wrapText="1"/>
    </xf>
    <xf numFmtId="0" fontId="1" fillId="0" borderId="2" xfId="0" applyFont="1" applyFill="1" applyBorder="1" applyAlignment="1">
      <alignment horizontal="center" vertical="center" wrapText="1"/>
    </xf>
    <xf numFmtId="0" fontId="0" fillId="0" borderId="2" xfId="0" applyFill="1" applyBorder="1" applyAlignment="1">
      <alignment horizontal="center" wrapText="1"/>
    </xf>
    <xf numFmtId="0" fontId="7" fillId="0" borderId="12" xfId="26" applyFont="1" applyFill="1" applyBorder="1" applyAlignment="1">
      <alignment horizontal="center" vertical="center" wrapText="1"/>
    </xf>
    <xf numFmtId="0" fontId="1" fillId="0" borderId="1" xfId="26" applyFont="1" applyFill="1" applyBorder="1" applyAlignment="1">
      <alignment horizontal="center" wrapText="1"/>
    </xf>
    <xf numFmtId="0" fontId="1" fillId="0" borderId="8" xfId="26" applyFont="1" applyFill="1" applyBorder="1" applyAlignment="1">
      <alignment horizontal="center" wrapText="1"/>
    </xf>
    <xf numFmtId="0" fontId="1" fillId="0" borderId="9" xfId="26" applyFont="1" applyFill="1" applyBorder="1" applyAlignment="1">
      <alignment horizontal="center" wrapText="1"/>
    </xf>
    <xf numFmtId="0" fontId="1" fillId="0" borderId="2" xfId="26" applyFont="1" applyFill="1" applyBorder="1" applyAlignment="1">
      <alignment horizontal="center" vertic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18" fillId="0" borderId="1"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 fillId="10" borderId="27" xfId="0" applyNumberFormat="1" applyFont="1" applyFill="1" applyBorder="1" applyAlignment="1">
      <alignment horizontal="center" wrapText="1"/>
    </xf>
    <xf numFmtId="0" fontId="1" fillId="10" borderId="0" xfId="0" applyNumberFormat="1" applyFont="1" applyFill="1" applyBorder="1" applyAlignment="1">
      <alignment horizontal="center" wrapText="1"/>
    </xf>
    <xf numFmtId="0" fontId="10" fillId="10" borderId="12" xfId="0" applyNumberFormat="1" applyFont="1" applyFill="1" applyBorder="1" applyAlignment="1">
      <alignment horizontal="center" wrapText="1"/>
    </xf>
    <xf numFmtId="0" fontId="10" fillId="10" borderId="11" xfId="0" applyNumberFormat="1" applyFont="1" applyFill="1" applyBorder="1" applyAlignment="1">
      <alignment horizontal="center" wrapText="1"/>
    </xf>
    <xf numFmtId="0" fontId="18"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Alignment="1">
      <alignment horizontal="center" vertical="center" wrapText="1"/>
    </xf>
    <xf numFmtId="0" fontId="7" fillId="0" borderId="7" xfId="0" applyFont="1" applyBorder="1" applyAlignment="1">
      <alignment horizontal="center" vertical="center" wrapText="1"/>
    </xf>
    <xf numFmtId="0" fontId="4" fillId="0" borderId="0" xfId="0" applyFont="1" applyBorder="1" applyAlignment="1">
      <alignment wrapText="1"/>
    </xf>
    <xf numFmtId="165" fontId="10" fillId="0" borderId="6" xfId="0" applyNumberFormat="1" applyFont="1" applyBorder="1" applyAlignment="1" applyProtection="1"/>
    <xf numFmtId="165" fontId="10" fillId="0" borderId="0" xfId="0" applyNumberFormat="1" applyFont="1" applyFill="1" applyBorder="1" applyAlignment="1" applyProtection="1"/>
    <xf numFmtId="165" fontId="10" fillId="0" borderId="6" xfId="0" applyNumberFormat="1" applyFont="1" applyFill="1" applyBorder="1" applyAlignment="1" applyProtection="1"/>
    <xf numFmtId="0" fontId="16" fillId="10" borderId="6" xfId="0" applyFont="1" applyFill="1" applyBorder="1" applyAlignment="1">
      <alignment horizontal="center" wrapText="1"/>
    </xf>
    <xf numFmtId="0" fontId="16" fillId="10" borderId="7" xfId="0" applyFont="1" applyFill="1" applyBorder="1" applyAlignment="1">
      <alignment horizontal="center" wrapText="1"/>
    </xf>
    <xf numFmtId="0" fontId="1" fillId="10" borderId="5" xfId="0" applyFont="1" applyFill="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1" fillId="10" borderId="0" xfId="0" applyFont="1" applyFill="1" applyBorder="1" applyAlignment="1"/>
    <xf numFmtId="0" fontId="1" fillId="10" borderId="7" xfId="0" applyFont="1" applyFill="1" applyBorder="1" applyAlignment="1"/>
    <xf numFmtId="0" fontId="18" fillId="0" borderId="10" xfId="0" applyFont="1" applyFill="1" applyBorder="1" applyAlignment="1" applyProtection="1">
      <alignment horizontal="center" vertical="center" wrapText="1"/>
    </xf>
    <xf numFmtId="0" fontId="18" fillId="0" borderId="12" xfId="0" applyFont="1" applyFill="1" applyBorder="1" applyAlignment="1" applyProtection="1">
      <alignment horizontal="center" vertical="center" wrapText="1"/>
    </xf>
    <xf numFmtId="0" fontId="18" fillId="0" borderId="11" xfId="0" applyFont="1" applyFill="1" applyBorder="1" applyAlignment="1" applyProtection="1">
      <alignment horizontal="center" vertical="center" wrapText="1"/>
    </xf>
    <xf numFmtId="1" fontId="8" fillId="6" borderId="32" xfId="26" applyNumberFormat="1" applyFont="1" applyFill="1" applyBorder="1" applyAlignment="1" applyProtection="1">
      <alignment horizontal="center"/>
      <protection locked="0"/>
    </xf>
    <xf numFmtId="1" fontId="8" fillId="6" borderId="33" xfId="26" applyNumberFormat="1" applyFont="1" applyFill="1" applyBorder="1" applyAlignment="1" applyProtection="1">
      <alignment horizontal="center"/>
      <protection locked="0"/>
    </xf>
    <xf numFmtId="1" fontId="8" fillId="6" borderId="34" xfId="26" applyNumberFormat="1" applyFont="1" applyFill="1" applyBorder="1" applyAlignment="1" applyProtection="1">
      <alignment horizontal="center"/>
      <protection locked="0"/>
    </xf>
    <xf numFmtId="0" fontId="28" fillId="10" borderId="3" xfId="0" applyFont="1" applyFill="1" applyBorder="1" applyAlignment="1">
      <alignment vertical="center" wrapText="1"/>
    </xf>
    <xf numFmtId="0" fontId="28" fillId="10" borderId="4" xfId="0" applyFont="1" applyFill="1" applyBorder="1" applyAlignment="1">
      <alignment vertical="center" wrapText="1"/>
    </xf>
    <xf numFmtId="0" fontId="28" fillId="10" borderId="5" xfId="0" applyFont="1" applyFill="1" applyBorder="1" applyAlignment="1">
      <alignment vertical="center" wrapText="1"/>
    </xf>
    <xf numFmtId="0" fontId="1" fillId="10" borderId="7" xfId="0" quotePrefix="1" applyFont="1" applyFill="1" applyBorder="1" applyAlignment="1">
      <alignment horizontal="center"/>
    </xf>
    <xf numFmtId="43" fontId="10" fillId="10" borderId="5" xfId="24" quotePrefix="1" applyFont="1" applyFill="1" applyBorder="1" applyAlignment="1"/>
    <xf numFmtId="43" fontId="10" fillId="10" borderId="7" xfId="24" quotePrefix="1" applyFont="1" applyFill="1" applyBorder="1" applyAlignment="1"/>
    <xf numFmtId="0" fontId="1" fillId="0" borderId="12" xfId="0" applyFont="1" applyBorder="1" applyAlignment="1">
      <alignment horizontal="center"/>
    </xf>
    <xf numFmtId="0" fontId="4" fillId="10" borderId="6" xfId="0" applyFont="1" applyFill="1" applyBorder="1" applyAlignment="1">
      <alignment vertical="top" wrapText="1"/>
    </xf>
    <xf numFmtId="0" fontId="4" fillId="10" borderId="12" xfId="0" applyFont="1" applyFill="1" applyBorder="1" applyAlignment="1">
      <alignment vertical="top" wrapText="1"/>
    </xf>
    <xf numFmtId="0" fontId="16" fillId="9" borderId="30" xfId="0" applyFont="1" applyFill="1" applyBorder="1" applyAlignment="1">
      <alignment wrapText="1"/>
    </xf>
    <xf numFmtId="0" fontId="16" fillId="9" borderId="12" xfId="0" applyFont="1" applyFill="1" applyBorder="1" applyAlignment="1">
      <alignment wrapText="1"/>
    </xf>
    <xf numFmtId="0" fontId="16" fillId="9" borderId="31" xfId="0" applyFont="1" applyFill="1" applyBorder="1" applyAlignment="1">
      <alignment wrapText="1"/>
    </xf>
    <xf numFmtId="0" fontId="16" fillId="9" borderId="22" xfId="0" applyFont="1" applyFill="1" applyBorder="1" applyAlignment="1">
      <alignment wrapText="1"/>
    </xf>
    <xf numFmtId="0" fontId="16" fillId="9" borderId="23" xfId="0" applyFont="1" applyFill="1" applyBorder="1" applyAlignment="1">
      <alignment wrapText="1"/>
    </xf>
    <xf numFmtId="0" fontId="16" fillId="9" borderId="24" xfId="0" applyFont="1" applyFill="1" applyBorder="1" applyAlignment="1">
      <alignment wrapText="1"/>
    </xf>
    <xf numFmtId="0" fontId="11" fillId="10" borderId="0" xfId="0" applyFont="1" applyFill="1" applyBorder="1" applyAlignment="1" applyProtection="1">
      <alignment horizontal="left" vertical="center"/>
      <protection locked="0"/>
    </xf>
    <xf numFmtId="168" fontId="10" fillId="5" borderId="1" xfId="24" applyNumberFormat="1" applyFont="1" applyFill="1" applyBorder="1" applyAlignment="1" applyProtection="1">
      <alignment vertical="center"/>
      <protection locked="0"/>
    </xf>
    <xf numFmtId="0" fontId="1" fillId="10" borderId="13" xfId="0" applyFont="1" applyFill="1" applyBorder="1" applyAlignment="1">
      <alignment horizontal="center" vertical="center" wrapText="1"/>
    </xf>
    <xf numFmtId="0" fontId="1" fillId="0" borderId="5" xfId="0" applyFont="1" applyBorder="1"/>
    <xf numFmtId="0" fontId="10" fillId="0" borderId="7" xfId="0" applyFont="1" applyFill="1" applyBorder="1" applyAlignment="1">
      <alignment vertical="center"/>
    </xf>
  </cellXfs>
  <cellStyles count="27">
    <cellStyle name="Comma" xfId="24" builtinId="3"/>
    <cellStyle name="COSTREPORT" xfId="1" xr:uid="{00000000-0005-0000-0000-000001000000}"/>
    <cellStyle name="cr" xfId="2" xr:uid="{00000000-0005-0000-0000-000002000000}"/>
    <cellStyle name="Grey" xfId="3" xr:uid="{00000000-0005-0000-0000-000003000000}"/>
    <cellStyle name="Input [yellow]" xfId="4" xr:uid="{00000000-0005-0000-0000-000004000000}"/>
    <cellStyle name="no dec" xfId="5" xr:uid="{00000000-0005-0000-0000-000005000000}"/>
    <cellStyle name="no dec 2" xfId="6" xr:uid="{00000000-0005-0000-0000-000006000000}"/>
    <cellStyle name="Normal" xfId="0" builtinId="0"/>
    <cellStyle name="Normal - Style1" xfId="7" xr:uid="{00000000-0005-0000-0000-000008000000}"/>
    <cellStyle name="Normal 10" xfId="8" xr:uid="{00000000-0005-0000-0000-000009000000}"/>
    <cellStyle name="Normal 11" xfId="9" xr:uid="{00000000-0005-0000-0000-00000A000000}"/>
    <cellStyle name="Normal 12" xfId="10" xr:uid="{00000000-0005-0000-0000-00000B000000}"/>
    <cellStyle name="Normal 13" xfId="11" xr:uid="{00000000-0005-0000-0000-00000C000000}"/>
    <cellStyle name="Normal 14" xfId="12" xr:uid="{00000000-0005-0000-0000-00000D000000}"/>
    <cellStyle name="Normal 15" xfId="13" xr:uid="{00000000-0005-0000-0000-00000E000000}"/>
    <cellStyle name="Normal 2" xfId="14" xr:uid="{00000000-0005-0000-0000-00000F000000}"/>
    <cellStyle name="Normal 2 2" xfId="26" xr:uid="{00000000-0005-0000-0000-000010000000}"/>
    <cellStyle name="Normal 3" xfId="15" xr:uid="{00000000-0005-0000-0000-000011000000}"/>
    <cellStyle name="Normal 4" xfId="16" xr:uid="{00000000-0005-0000-0000-000012000000}"/>
    <cellStyle name="Normal 5" xfId="17" xr:uid="{00000000-0005-0000-0000-000013000000}"/>
    <cellStyle name="Normal 6" xfId="18" xr:uid="{00000000-0005-0000-0000-000014000000}"/>
    <cellStyle name="Normal 7" xfId="19" xr:uid="{00000000-0005-0000-0000-000015000000}"/>
    <cellStyle name="Normal 8" xfId="20" xr:uid="{00000000-0005-0000-0000-000016000000}"/>
    <cellStyle name="Normal 9" xfId="21" xr:uid="{00000000-0005-0000-0000-000017000000}"/>
    <cellStyle name="Percent" xfId="25" builtinId="5"/>
    <cellStyle name="Percent [2]" xfId="22" xr:uid="{00000000-0005-0000-0000-000019000000}"/>
    <cellStyle name="Percent [2] 2" xfId="23" xr:uid="{00000000-0005-0000-0000-00001A000000}"/>
  </cellStyles>
  <dxfs count="0"/>
  <tableStyles count="0" defaultTableStyle="TableStyleMedium9"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129541</xdr:colOff>
      <xdr:row>0</xdr:row>
      <xdr:rowOff>790575</xdr:rowOff>
    </xdr:from>
    <xdr:to>
      <xdr:col>2</xdr:col>
      <xdr:colOff>1400175</xdr:colOff>
      <xdr:row>2</xdr:row>
      <xdr:rowOff>285750</xdr:rowOff>
    </xdr:to>
    <xdr:sp macro="" textlink="">
      <xdr:nvSpPr>
        <xdr:cNvPr id="5" name="Oval 4">
          <a:extLst>
            <a:ext uri="{FF2B5EF4-FFF2-40B4-BE49-F238E27FC236}">
              <a16:creationId xmlns:a16="http://schemas.microsoft.com/office/drawing/2014/main" id="{00000000-0008-0000-0000-000005000000}"/>
            </a:ext>
          </a:extLst>
        </xdr:cNvPr>
        <xdr:cNvSpPr/>
      </xdr:nvSpPr>
      <xdr:spPr>
        <a:xfrm>
          <a:off x="281941" y="790575"/>
          <a:ext cx="1518284" cy="866775"/>
        </a:xfrm>
        <a:prstGeom prst="ellipse">
          <a:avLst/>
        </a:prstGeom>
      </xdr:spPr>
      <xdr:style>
        <a:lnRef idx="3">
          <a:schemeClr val="lt1"/>
        </a:lnRef>
        <a:fillRef idx="1">
          <a:schemeClr val="accent6"/>
        </a:fillRef>
        <a:effectRef idx="1">
          <a:schemeClr val="accent6"/>
        </a:effectRef>
        <a:fontRef idx="minor">
          <a:schemeClr val="lt1"/>
        </a:fontRef>
      </xdr:style>
      <xdr:txBody>
        <a:bodyPr vertOverflow="clip" rtlCol="0" anchor="ctr"/>
        <a:lstStyle/>
        <a:p>
          <a:pPr algn="ctr"/>
          <a:r>
            <a:rPr lang="en-US" sz="1100"/>
            <a:t>PART</a:t>
          </a:r>
          <a:r>
            <a:rPr lang="en-US" sz="1100" baseline="0"/>
            <a:t> 1 - All Participants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114300</xdr:colOff>
      <xdr:row>2</xdr:row>
      <xdr:rowOff>310515</xdr:rowOff>
    </xdr:from>
    <xdr:to>
      <xdr:col>1</xdr:col>
      <xdr:colOff>962025</xdr:colOff>
      <xdr:row>4</xdr:row>
      <xdr:rowOff>38100</xdr:rowOff>
    </xdr:to>
    <xdr:grpSp>
      <xdr:nvGrpSpPr>
        <xdr:cNvPr id="5" name="Group 4">
          <a:extLst>
            <a:ext uri="{FF2B5EF4-FFF2-40B4-BE49-F238E27FC236}">
              <a16:creationId xmlns:a16="http://schemas.microsoft.com/office/drawing/2014/main" id="{B2620CE5-FBCF-4DC8-958E-F4E6DBFFFDB3}"/>
            </a:ext>
          </a:extLst>
        </xdr:cNvPr>
        <xdr:cNvGrpSpPr>
          <a:grpSpLocks/>
        </xdr:cNvGrpSpPr>
      </xdr:nvGrpSpPr>
      <xdr:grpSpPr bwMode="auto">
        <a:xfrm>
          <a:off x="381000" y="1923415"/>
          <a:ext cx="844550" cy="429260"/>
          <a:chOff x="14" y="101"/>
          <a:chExt cx="91" cy="34"/>
        </a:xfrm>
      </xdr:grpSpPr>
      <xdr:sp macro="" textlink="">
        <xdr:nvSpPr>
          <xdr:cNvPr id="6" name="Oval 5">
            <a:extLst>
              <a:ext uri="{FF2B5EF4-FFF2-40B4-BE49-F238E27FC236}">
                <a16:creationId xmlns:a16="http://schemas.microsoft.com/office/drawing/2014/main" id="{57A6B73B-EED5-4E68-9233-0E9729E6F981}"/>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7" name="Text Box 6">
            <a:extLst>
              <a:ext uri="{FF2B5EF4-FFF2-40B4-BE49-F238E27FC236}">
                <a16:creationId xmlns:a16="http://schemas.microsoft.com/office/drawing/2014/main" id="{39DCA664-467E-4902-B153-DC3CE71E0E7B}"/>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38099</xdr:colOff>
      <xdr:row>0</xdr:row>
      <xdr:rowOff>933449</xdr:rowOff>
    </xdr:from>
    <xdr:to>
      <xdr:col>3</xdr:col>
      <xdr:colOff>57150</xdr:colOff>
      <xdr:row>2</xdr:row>
      <xdr:rowOff>184149</xdr:rowOff>
    </xdr:to>
    <xdr:sp macro="" textlink="">
      <xdr:nvSpPr>
        <xdr:cNvPr id="9" name="Oval 8">
          <a:extLst>
            <a:ext uri="{FF2B5EF4-FFF2-40B4-BE49-F238E27FC236}">
              <a16:creationId xmlns:a16="http://schemas.microsoft.com/office/drawing/2014/main" id="{9A01C47D-6745-4400-85EA-820EAD5ECB9A}"/>
            </a:ext>
          </a:extLst>
        </xdr:cNvPr>
        <xdr:cNvSpPr/>
      </xdr:nvSpPr>
      <xdr:spPr>
        <a:xfrm>
          <a:off x="314324" y="933449"/>
          <a:ext cx="2419351" cy="860425"/>
        </a:xfrm>
        <a:prstGeom prst="ellipse">
          <a:avLst/>
        </a:prstGeom>
      </xdr:spPr>
      <xdr:style>
        <a:lnRef idx="3">
          <a:schemeClr val="lt1"/>
        </a:lnRef>
        <a:fillRef idx="1">
          <a:schemeClr val="accent6"/>
        </a:fillRef>
        <a:effectRef idx="1">
          <a:schemeClr val="accent6"/>
        </a:effectRef>
        <a:fontRef idx="minor">
          <a:schemeClr val="lt1"/>
        </a:fontRef>
      </xdr:style>
      <xdr:txBody>
        <a:bodyPr vertOverflow="clip" rtlCol="0" anchor="ctr"/>
        <a:lstStyle/>
        <a:p>
          <a:pPr algn="ctr"/>
          <a:r>
            <a:rPr lang="en-US" sz="1100"/>
            <a:t>PART</a:t>
          </a:r>
          <a:r>
            <a:rPr lang="en-US" sz="1100" baseline="0"/>
            <a:t> 2A - Day Habilitation Participants</a:t>
          </a:r>
          <a:endParaRPr lang="en-US" sz="1100"/>
        </a:p>
      </xdr:txBody>
    </xdr:sp>
    <xdr:clientData/>
  </xdr:twoCellAnchor>
  <xdr:twoCellAnchor>
    <xdr:from>
      <xdr:col>1</xdr:col>
      <xdr:colOff>76200</xdr:colOff>
      <xdr:row>18</xdr:row>
      <xdr:rowOff>92752</xdr:rowOff>
    </xdr:from>
    <xdr:to>
      <xdr:col>1</xdr:col>
      <xdr:colOff>1143000</xdr:colOff>
      <xdr:row>21</xdr:row>
      <xdr:rowOff>48558</xdr:rowOff>
    </xdr:to>
    <xdr:grpSp>
      <xdr:nvGrpSpPr>
        <xdr:cNvPr id="8" name="Group 4">
          <a:extLst>
            <a:ext uri="{FF2B5EF4-FFF2-40B4-BE49-F238E27FC236}">
              <a16:creationId xmlns:a16="http://schemas.microsoft.com/office/drawing/2014/main" id="{0D46E607-0523-41AF-B144-B67CD7F06BDC}"/>
            </a:ext>
          </a:extLst>
        </xdr:cNvPr>
        <xdr:cNvGrpSpPr>
          <a:grpSpLocks/>
        </xdr:cNvGrpSpPr>
      </xdr:nvGrpSpPr>
      <xdr:grpSpPr bwMode="auto">
        <a:xfrm>
          <a:off x="342900" y="6436402"/>
          <a:ext cx="1066800" cy="495556"/>
          <a:chOff x="14" y="68"/>
          <a:chExt cx="91" cy="61"/>
        </a:xfrm>
      </xdr:grpSpPr>
      <xdr:sp macro="" textlink="">
        <xdr:nvSpPr>
          <xdr:cNvPr id="10" name="Oval 5">
            <a:extLst>
              <a:ext uri="{FF2B5EF4-FFF2-40B4-BE49-F238E27FC236}">
                <a16:creationId xmlns:a16="http://schemas.microsoft.com/office/drawing/2014/main" id="{5E7C51D9-36F8-4052-AFF5-8F6356E25F8C}"/>
              </a:ext>
            </a:extLst>
          </xdr:cNvPr>
          <xdr:cNvSpPr>
            <a:spLocks noChangeArrowheads="1"/>
          </xdr:cNvSpPr>
        </xdr:nvSpPr>
        <xdr:spPr bwMode="auto">
          <a:xfrm>
            <a:off x="14" y="68"/>
            <a:ext cx="91" cy="34"/>
          </a:xfrm>
          <a:prstGeom prst="ellipse">
            <a:avLst/>
          </a:prstGeom>
          <a:solidFill>
            <a:srgbClr val="FFCC99"/>
          </a:solidFill>
          <a:ln w="9525">
            <a:solidFill>
              <a:srgbClr val="000000"/>
            </a:solidFill>
            <a:round/>
            <a:headEnd/>
            <a:tailEnd/>
          </a:ln>
        </xdr:spPr>
      </xdr:sp>
      <xdr:sp macro="" textlink="">
        <xdr:nvSpPr>
          <xdr:cNvPr id="11" name="Text Box 6">
            <a:extLst>
              <a:ext uri="{FF2B5EF4-FFF2-40B4-BE49-F238E27FC236}">
                <a16:creationId xmlns:a16="http://schemas.microsoft.com/office/drawing/2014/main" id="{69FA5F53-79A6-4658-8CDD-AEB5C0541032}"/>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xdr:txBody>
      </xdr:sp>
    </xdr:grpSp>
    <xdr:clientData/>
  </xdr:twoCellAnchor>
  <xdr:twoCellAnchor>
    <xdr:from>
      <xdr:col>1</xdr:col>
      <xdr:colOff>95250</xdr:colOff>
      <xdr:row>32</xdr:row>
      <xdr:rowOff>66040</xdr:rowOff>
    </xdr:from>
    <xdr:to>
      <xdr:col>1</xdr:col>
      <xdr:colOff>1219200</xdr:colOff>
      <xdr:row>34</xdr:row>
      <xdr:rowOff>19050</xdr:rowOff>
    </xdr:to>
    <xdr:grpSp>
      <xdr:nvGrpSpPr>
        <xdr:cNvPr id="12" name="Group 4">
          <a:extLst>
            <a:ext uri="{FF2B5EF4-FFF2-40B4-BE49-F238E27FC236}">
              <a16:creationId xmlns:a16="http://schemas.microsoft.com/office/drawing/2014/main" id="{9A8F0810-4886-421E-B216-1DBD772CC917}"/>
            </a:ext>
          </a:extLst>
        </xdr:cNvPr>
        <xdr:cNvGrpSpPr>
          <a:grpSpLocks/>
        </xdr:cNvGrpSpPr>
      </xdr:nvGrpSpPr>
      <xdr:grpSpPr bwMode="auto">
        <a:xfrm>
          <a:off x="361950" y="9051290"/>
          <a:ext cx="1123950" cy="311785"/>
          <a:chOff x="14" y="101"/>
          <a:chExt cx="91" cy="34"/>
        </a:xfrm>
      </xdr:grpSpPr>
      <xdr:sp macro="" textlink="">
        <xdr:nvSpPr>
          <xdr:cNvPr id="13" name="Oval 5">
            <a:extLst>
              <a:ext uri="{FF2B5EF4-FFF2-40B4-BE49-F238E27FC236}">
                <a16:creationId xmlns:a16="http://schemas.microsoft.com/office/drawing/2014/main" id="{CA0BBADE-C756-49DB-8F3A-11F55F2961AB}"/>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4" name="Text Box 6">
            <a:extLst>
              <a:ext uri="{FF2B5EF4-FFF2-40B4-BE49-F238E27FC236}">
                <a16:creationId xmlns:a16="http://schemas.microsoft.com/office/drawing/2014/main" id="{E1B51F2C-67BC-465A-92A4-A5022DB5E286}"/>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88899</xdr:colOff>
      <xdr:row>38</xdr:row>
      <xdr:rowOff>69215</xdr:rowOff>
    </xdr:from>
    <xdr:to>
      <xdr:col>1</xdr:col>
      <xdr:colOff>1244600</xdr:colOff>
      <xdr:row>40</xdr:row>
      <xdr:rowOff>38100</xdr:rowOff>
    </xdr:to>
    <xdr:grpSp>
      <xdr:nvGrpSpPr>
        <xdr:cNvPr id="15" name="Group 4">
          <a:extLst>
            <a:ext uri="{FF2B5EF4-FFF2-40B4-BE49-F238E27FC236}">
              <a16:creationId xmlns:a16="http://schemas.microsoft.com/office/drawing/2014/main" id="{FF272E70-A03B-4E3D-A488-E801BA33D8D9}"/>
            </a:ext>
          </a:extLst>
        </xdr:cNvPr>
        <xdr:cNvGrpSpPr>
          <a:grpSpLocks/>
        </xdr:cNvGrpSpPr>
      </xdr:nvGrpSpPr>
      <xdr:grpSpPr bwMode="auto">
        <a:xfrm>
          <a:off x="352424" y="10381615"/>
          <a:ext cx="1162051" cy="334010"/>
          <a:chOff x="14" y="101"/>
          <a:chExt cx="91" cy="34"/>
        </a:xfrm>
      </xdr:grpSpPr>
      <xdr:sp macro="" textlink="">
        <xdr:nvSpPr>
          <xdr:cNvPr id="16" name="Oval 5">
            <a:extLst>
              <a:ext uri="{FF2B5EF4-FFF2-40B4-BE49-F238E27FC236}">
                <a16:creationId xmlns:a16="http://schemas.microsoft.com/office/drawing/2014/main" id="{E9746F0A-129F-4A5F-A1EF-8E240E661058}"/>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7" name="Text Box 6">
            <a:extLst>
              <a:ext uri="{FF2B5EF4-FFF2-40B4-BE49-F238E27FC236}">
                <a16:creationId xmlns:a16="http://schemas.microsoft.com/office/drawing/2014/main" id="{2152AED0-23F8-4868-9AD1-F0BA410CE972}"/>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1</xdr:col>
      <xdr:colOff>76200</xdr:colOff>
      <xdr:row>66</xdr:row>
      <xdr:rowOff>48260</xdr:rowOff>
    </xdr:from>
    <xdr:to>
      <xdr:col>1</xdr:col>
      <xdr:colOff>1162050</xdr:colOff>
      <xdr:row>68</xdr:row>
      <xdr:rowOff>0</xdr:rowOff>
    </xdr:to>
    <xdr:grpSp>
      <xdr:nvGrpSpPr>
        <xdr:cNvPr id="18" name="Group 4">
          <a:extLst>
            <a:ext uri="{FF2B5EF4-FFF2-40B4-BE49-F238E27FC236}">
              <a16:creationId xmlns:a16="http://schemas.microsoft.com/office/drawing/2014/main" id="{CDF2B8E6-A57A-429B-A16E-17DCDCE0BB37}"/>
            </a:ext>
          </a:extLst>
        </xdr:cNvPr>
        <xdr:cNvGrpSpPr>
          <a:grpSpLocks/>
        </xdr:cNvGrpSpPr>
      </xdr:nvGrpSpPr>
      <xdr:grpSpPr bwMode="auto">
        <a:xfrm>
          <a:off x="342900" y="16704310"/>
          <a:ext cx="1085850" cy="316865"/>
          <a:chOff x="14" y="101"/>
          <a:chExt cx="91" cy="34"/>
        </a:xfrm>
      </xdr:grpSpPr>
      <xdr:sp macro="" textlink="">
        <xdr:nvSpPr>
          <xdr:cNvPr id="19" name="Oval 5">
            <a:extLst>
              <a:ext uri="{FF2B5EF4-FFF2-40B4-BE49-F238E27FC236}">
                <a16:creationId xmlns:a16="http://schemas.microsoft.com/office/drawing/2014/main" id="{250DC751-DE37-4936-B82C-3CDA379E4AC8}"/>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20" name="Text Box 6">
            <a:extLst>
              <a:ext uri="{FF2B5EF4-FFF2-40B4-BE49-F238E27FC236}">
                <a16:creationId xmlns:a16="http://schemas.microsoft.com/office/drawing/2014/main" id="{64F7DAC9-5EFC-433D-AA46-F8A62D81F267}"/>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a:t>
            </a:r>
          </a:p>
        </xdr:txBody>
      </xdr:sp>
    </xdr:grpSp>
    <xdr:clientData/>
  </xdr:twoCellAnchor>
  <xdr:twoCellAnchor>
    <xdr:from>
      <xdr:col>1</xdr:col>
      <xdr:colOff>82551</xdr:colOff>
      <xdr:row>61</xdr:row>
      <xdr:rowOff>50165</xdr:rowOff>
    </xdr:from>
    <xdr:to>
      <xdr:col>1</xdr:col>
      <xdr:colOff>1073151</xdr:colOff>
      <xdr:row>63</xdr:row>
      <xdr:rowOff>63500</xdr:rowOff>
    </xdr:to>
    <xdr:grpSp>
      <xdr:nvGrpSpPr>
        <xdr:cNvPr id="21" name="Group 4">
          <a:extLst>
            <a:ext uri="{FF2B5EF4-FFF2-40B4-BE49-F238E27FC236}">
              <a16:creationId xmlns:a16="http://schemas.microsoft.com/office/drawing/2014/main" id="{88EC3264-A90A-4824-87C3-EF6B57A1227F}"/>
            </a:ext>
          </a:extLst>
        </xdr:cNvPr>
        <xdr:cNvGrpSpPr>
          <a:grpSpLocks/>
        </xdr:cNvGrpSpPr>
      </xdr:nvGrpSpPr>
      <xdr:grpSpPr bwMode="auto">
        <a:xfrm>
          <a:off x="352426" y="15715615"/>
          <a:ext cx="990600" cy="381635"/>
          <a:chOff x="14" y="101"/>
          <a:chExt cx="91" cy="34"/>
        </a:xfrm>
      </xdr:grpSpPr>
      <xdr:sp macro="" textlink="">
        <xdr:nvSpPr>
          <xdr:cNvPr id="22" name="Oval 5">
            <a:extLst>
              <a:ext uri="{FF2B5EF4-FFF2-40B4-BE49-F238E27FC236}">
                <a16:creationId xmlns:a16="http://schemas.microsoft.com/office/drawing/2014/main" id="{555F0F88-5016-4522-AAC5-9379BB2C6F18}"/>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23" name="Text Box 6">
            <a:extLst>
              <a:ext uri="{FF2B5EF4-FFF2-40B4-BE49-F238E27FC236}">
                <a16:creationId xmlns:a16="http://schemas.microsoft.com/office/drawing/2014/main" id="{3B5E8BF1-212F-4274-9BCE-B55117DB9765}"/>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twoCellAnchor>
    <xdr:from>
      <xdr:col>1</xdr:col>
      <xdr:colOff>63501</xdr:colOff>
      <xdr:row>73</xdr:row>
      <xdr:rowOff>29211</xdr:rowOff>
    </xdr:from>
    <xdr:to>
      <xdr:col>1</xdr:col>
      <xdr:colOff>914400</xdr:colOff>
      <xdr:row>74</xdr:row>
      <xdr:rowOff>95251</xdr:rowOff>
    </xdr:to>
    <xdr:grpSp>
      <xdr:nvGrpSpPr>
        <xdr:cNvPr id="24" name="Group 4">
          <a:extLst>
            <a:ext uri="{FF2B5EF4-FFF2-40B4-BE49-F238E27FC236}">
              <a16:creationId xmlns:a16="http://schemas.microsoft.com/office/drawing/2014/main" id="{2B7203B5-1E7E-4318-B287-D07C7794CE31}"/>
            </a:ext>
          </a:extLst>
        </xdr:cNvPr>
        <xdr:cNvGrpSpPr>
          <a:grpSpLocks/>
        </xdr:cNvGrpSpPr>
      </xdr:nvGrpSpPr>
      <xdr:grpSpPr bwMode="auto">
        <a:xfrm>
          <a:off x="333376" y="18199736"/>
          <a:ext cx="847724" cy="269240"/>
          <a:chOff x="14" y="101"/>
          <a:chExt cx="91" cy="34"/>
        </a:xfrm>
      </xdr:grpSpPr>
      <xdr:sp macro="" textlink="">
        <xdr:nvSpPr>
          <xdr:cNvPr id="25" name="Oval 5">
            <a:extLst>
              <a:ext uri="{FF2B5EF4-FFF2-40B4-BE49-F238E27FC236}">
                <a16:creationId xmlns:a16="http://schemas.microsoft.com/office/drawing/2014/main" id="{276E8100-4ADF-4CA1-AA43-F655668D36D5}"/>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26" name="Text Box 6">
            <a:extLst>
              <a:ext uri="{FF2B5EF4-FFF2-40B4-BE49-F238E27FC236}">
                <a16:creationId xmlns:a16="http://schemas.microsoft.com/office/drawing/2014/main" id="{A08FC68D-F67D-4094-AF1D-3F7BCB6B5DE4}"/>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7</a:t>
            </a:r>
          </a:p>
        </xdr:txBody>
      </xdr:sp>
    </xdr:grpSp>
    <xdr:clientData/>
  </xdr:twoCellAnchor>
  <xdr:twoCellAnchor>
    <xdr:from>
      <xdr:col>0</xdr:col>
      <xdr:colOff>123825</xdr:colOff>
      <xdr:row>16</xdr:row>
      <xdr:rowOff>0</xdr:rowOff>
    </xdr:from>
    <xdr:to>
      <xdr:col>4</xdr:col>
      <xdr:colOff>828675</xdr:colOff>
      <xdr:row>18</xdr:row>
      <xdr:rowOff>53976</xdr:rowOff>
    </xdr:to>
    <xdr:sp macro="" textlink="">
      <xdr:nvSpPr>
        <xdr:cNvPr id="27" name="Oval 26">
          <a:extLst>
            <a:ext uri="{FF2B5EF4-FFF2-40B4-BE49-F238E27FC236}">
              <a16:creationId xmlns:a16="http://schemas.microsoft.com/office/drawing/2014/main" id="{4AA16923-8C95-4747-9D2E-C76C96FFF14D}"/>
            </a:ext>
          </a:extLst>
        </xdr:cNvPr>
        <xdr:cNvSpPr/>
      </xdr:nvSpPr>
      <xdr:spPr>
        <a:xfrm>
          <a:off x="123825" y="5981700"/>
          <a:ext cx="3657600" cy="377826"/>
        </a:xfrm>
        <a:prstGeom prst="ellipse">
          <a:avLst/>
        </a:prstGeom>
      </xdr:spPr>
      <xdr:style>
        <a:lnRef idx="3">
          <a:schemeClr val="lt1"/>
        </a:lnRef>
        <a:fillRef idx="1">
          <a:schemeClr val="accent6"/>
        </a:fillRef>
        <a:effectRef idx="1">
          <a:schemeClr val="accent6"/>
        </a:effectRef>
        <a:fontRef idx="minor">
          <a:schemeClr val="lt1"/>
        </a:fontRef>
      </xdr:style>
      <xdr:txBody>
        <a:bodyPr vertOverflow="clip" rtlCol="0" anchor="ctr"/>
        <a:lstStyle/>
        <a:p>
          <a:pPr algn="ctr"/>
          <a:r>
            <a:rPr lang="en-US" sz="1100"/>
            <a:t>PART</a:t>
          </a:r>
          <a:r>
            <a:rPr lang="en-US" sz="1100" baseline="0"/>
            <a:t> 2A - Day Habilitation Participants</a:t>
          </a:r>
          <a:endParaRPr lang="en-US" sz="1100"/>
        </a:p>
      </xdr:txBody>
    </xdr:sp>
    <xdr:clientData/>
  </xdr:twoCellAnchor>
  <xdr:twoCellAnchor editAs="oneCell">
    <xdr:from>
      <xdr:col>1</xdr:col>
      <xdr:colOff>330200</xdr:colOff>
      <xdr:row>18</xdr:row>
      <xdr:rowOff>140377</xdr:rowOff>
    </xdr:from>
    <xdr:to>
      <xdr:col>1</xdr:col>
      <xdr:colOff>915467</xdr:colOff>
      <xdr:row>20</xdr:row>
      <xdr:rowOff>28131</xdr:rowOff>
    </xdr:to>
    <xdr:pic>
      <xdr:nvPicPr>
        <xdr:cNvPr id="3" name="Picture 2">
          <a:extLst>
            <a:ext uri="{FF2B5EF4-FFF2-40B4-BE49-F238E27FC236}">
              <a16:creationId xmlns:a16="http://schemas.microsoft.com/office/drawing/2014/main" id="{47A8037C-156F-4BD8-845A-5CA90B46DD2B}"/>
            </a:ext>
          </a:extLst>
        </xdr:cNvPr>
        <xdr:cNvPicPr>
          <a:picLocks noChangeAspect="1"/>
        </xdr:cNvPicPr>
      </xdr:nvPicPr>
      <xdr:blipFill>
        <a:blip xmlns:r="http://schemas.openxmlformats.org/officeDocument/2006/relationships" r:embed="rId1"/>
        <a:stretch>
          <a:fillRect/>
        </a:stretch>
      </xdr:blipFill>
      <xdr:spPr>
        <a:xfrm>
          <a:off x="606425" y="6703102"/>
          <a:ext cx="585267" cy="2528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70485</xdr:colOff>
      <xdr:row>2</xdr:row>
      <xdr:rowOff>243841</xdr:rowOff>
    </xdr:from>
    <xdr:to>
      <xdr:col>1</xdr:col>
      <xdr:colOff>1085851</xdr:colOff>
      <xdr:row>4</xdr:row>
      <xdr:rowOff>85725</xdr:rowOff>
    </xdr:to>
    <xdr:grpSp>
      <xdr:nvGrpSpPr>
        <xdr:cNvPr id="2" name="Group 1">
          <a:extLst>
            <a:ext uri="{FF2B5EF4-FFF2-40B4-BE49-F238E27FC236}">
              <a16:creationId xmlns:a16="http://schemas.microsoft.com/office/drawing/2014/main" id="{CF8F52B4-B472-4D61-9328-133659B97A7C}"/>
            </a:ext>
          </a:extLst>
        </xdr:cNvPr>
        <xdr:cNvGrpSpPr>
          <a:grpSpLocks/>
        </xdr:cNvGrpSpPr>
      </xdr:nvGrpSpPr>
      <xdr:grpSpPr bwMode="auto">
        <a:xfrm>
          <a:off x="334010" y="1850391"/>
          <a:ext cx="1018541" cy="508634"/>
          <a:chOff x="14" y="101"/>
          <a:chExt cx="91" cy="34"/>
        </a:xfrm>
      </xdr:grpSpPr>
      <xdr:sp macro="" textlink="">
        <xdr:nvSpPr>
          <xdr:cNvPr id="3" name="Oval 2">
            <a:extLst>
              <a:ext uri="{FF2B5EF4-FFF2-40B4-BE49-F238E27FC236}">
                <a16:creationId xmlns:a16="http://schemas.microsoft.com/office/drawing/2014/main" id="{8D96CFC1-C1CD-41C3-A0A5-DE3B9F740478}"/>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 name="Text Box 6">
            <a:extLst>
              <a:ext uri="{FF2B5EF4-FFF2-40B4-BE49-F238E27FC236}">
                <a16:creationId xmlns:a16="http://schemas.microsoft.com/office/drawing/2014/main" id="{D0C4A7F2-A916-4EC6-9A33-221478DA4391}"/>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38100</xdr:colOff>
      <xdr:row>0</xdr:row>
      <xdr:rowOff>857250</xdr:rowOff>
    </xdr:from>
    <xdr:to>
      <xdr:col>3</xdr:col>
      <xdr:colOff>85726</xdr:colOff>
      <xdr:row>2</xdr:row>
      <xdr:rowOff>104775</xdr:rowOff>
    </xdr:to>
    <xdr:sp macro="" textlink="">
      <xdr:nvSpPr>
        <xdr:cNvPr id="5" name="Oval 4">
          <a:extLst>
            <a:ext uri="{FF2B5EF4-FFF2-40B4-BE49-F238E27FC236}">
              <a16:creationId xmlns:a16="http://schemas.microsoft.com/office/drawing/2014/main" id="{8C0D3BB4-2D8D-40AA-AF72-E9FF2169332E}"/>
            </a:ext>
          </a:extLst>
        </xdr:cNvPr>
        <xdr:cNvSpPr/>
      </xdr:nvSpPr>
      <xdr:spPr>
        <a:xfrm>
          <a:off x="295275" y="857250"/>
          <a:ext cx="2305051" cy="847725"/>
        </a:xfrm>
        <a:prstGeom prst="ellipse">
          <a:avLst/>
        </a:prstGeom>
      </xdr:spPr>
      <xdr:style>
        <a:lnRef idx="3">
          <a:schemeClr val="lt1"/>
        </a:lnRef>
        <a:fillRef idx="1">
          <a:schemeClr val="accent6"/>
        </a:fillRef>
        <a:effectRef idx="1">
          <a:schemeClr val="accent6"/>
        </a:effectRef>
        <a:fontRef idx="minor">
          <a:schemeClr val="lt1"/>
        </a:fontRef>
      </xdr:style>
      <xdr:txBody>
        <a:bodyPr vertOverflow="clip" rtlCol="0" anchor="ctr"/>
        <a:lstStyle/>
        <a:p>
          <a:pPr algn="ctr"/>
          <a:r>
            <a:rPr lang="en-US" sz="1100"/>
            <a:t>PART</a:t>
          </a:r>
          <a:r>
            <a:rPr lang="en-US" sz="1100" baseline="0"/>
            <a:t> 2B - SL/RSS Participants</a:t>
          </a:r>
          <a:endParaRPr lang="en-US" sz="1100"/>
        </a:p>
      </xdr:txBody>
    </xdr:sp>
    <xdr:clientData/>
  </xdr:twoCellAnchor>
  <xdr:twoCellAnchor>
    <xdr:from>
      <xdr:col>1</xdr:col>
      <xdr:colOff>64135</xdr:colOff>
      <xdr:row>23</xdr:row>
      <xdr:rowOff>104140</xdr:rowOff>
    </xdr:from>
    <xdr:to>
      <xdr:col>1</xdr:col>
      <xdr:colOff>990600</xdr:colOff>
      <xdr:row>25</xdr:row>
      <xdr:rowOff>0</xdr:rowOff>
    </xdr:to>
    <xdr:grpSp>
      <xdr:nvGrpSpPr>
        <xdr:cNvPr id="25" name="Group 4">
          <a:extLst>
            <a:ext uri="{FF2B5EF4-FFF2-40B4-BE49-F238E27FC236}">
              <a16:creationId xmlns:a16="http://schemas.microsoft.com/office/drawing/2014/main" id="{A70D3BBB-178E-4F0F-AE14-1B19651DA98E}"/>
            </a:ext>
          </a:extLst>
        </xdr:cNvPr>
        <xdr:cNvGrpSpPr>
          <a:grpSpLocks/>
        </xdr:cNvGrpSpPr>
      </xdr:nvGrpSpPr>
      <xdr:grpSpPr bwMode="auto">
        <a:xfrm>
          <a:off x="334010" y="7212965"/>
          <a:ext cx="923290" cy="273685"/>
          <a:chOff x="14" y="101"/>
          <a:chExt cx="91" cy="34"/>
        </a:xfrm>
      </xdr:grpSpPr>
      <xdr:sp macro="" textlink="">
        <xdr:nvSpPr>
          <xdr:cNvPr id="26" name="Oval 5">
            <a:extLst>
              <a:ext uri="{FF2B5EF4-FFF2-40B4-BE49-F238E27FC236}">
                <a16:creationId xmlns:a16="http://schemas.microsoft.com/office/drawing/2014/main" id="{CE856C70-26E7-483F-87F9-249B95D87054}"/>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27" name="Text Box 6">
            <a:extLst>
              <a:ext uri="{FF2B5EF4-FFF2-40B4-BE49-F238E27FC236}">
                <a16:creationId xmlns:a16="http://schemas.microsoft.com/office/drawing/2014/main" id="{5F483254-830F-43D4-86A1-D9B551F4E6A5}"/>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103505</xdr:colOff>
      <xdr:row>72</xdr:row>
      <xdr:rowOff>102235</xdr:rowOff>
    </xdr:from>
    <xdr:to>
      <xdr:col>1</xdr:col>
      <xdr:colOff>903605</xdr:colOff>
      <xdr:row>74</xdr:row>
      <xdr:rowOff>0</xdr:rowOff>
    </xdr:to>
    <xdr:grpSp>
      <xdr:nvGrpSpPr>
        <xdr:cNvPr id="28" name="Group 27">
          <a:extLst>
            <a:ext uri="{FF2B5EF4-FFF2-40B4-BE49-F238E27FC236}">
              <a16:creationId xmlns:a16="http://schemas.microsoft.com/office/drawing/2014/main" id="{4847BBFF-CD8A-4537-96F0-7A6E1DEEFEBE}"/>
            </a:ext>
          </a:extLst>
        </xdr:cNvPr>
        <xdr:cNvGrpSpPr>
          <a:grpSpLocks/>
        </xdr:cNvGrpSpPr>
      </xdr:nvGrpSpPr>
      <xdr:grpSpPr bwMode="auto">
        <a:xfrm>
          <a:off x="373380" y="17974310"/>
          <a:ext cx="800100" cy="256540"/>
          <a:chOff x="14" y="101"/>
          <a:chExt cx="91" cy="34"/>
        </a:xfrm>
      </xdr:grpSpPr>
      <xdr:sp macro="" textlink="">
        <xdr:nvSpPr>
          <xdr:cNvPr id="29" name="Oval 28">
            <a:extLst>
              <a:ext uri="{FF2B5EF4-FFF2-40B4-BE49-F238E27FC236}">
                <a16:creationId xmlns:a16="http://schemas.microsoft.com/office/drawing/2014/main" id="{340EDB5A-2E4D-4710-AFB3-5F855FC5306C}"/>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0" name="Text Box 6">
            <a:extLst>
              <a:ext uri="{FF2B5EF4-FFF2-40B4-BE49-F238E27FC236}">
                <a16:creationId xmlns:a16="http://schemas.microsoft.com/office/drawing/2014/main" id="{4EC0051E-776A-4F91-B301-5D0705813F0B}"/>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a:t>
            </a:r>
          </a:p>
        </xdr:txBody>
      </xdr:sp>
    </xdr:grpSp>
    <xdr:clientData/>
  </xdr:twoCellAnchor>
  <xdr:twoCellAnchor>
    <xdr:from>
      <xdr:col>1</xdr:col>
      <xdr:colOff>46990</xdr:colOff>
      <xdr:row>67</xdr:row>
      <xdr:rowOff>66040</xdr:rowOff>
    </xdr:from>
    <xdr:to>
      <xdr:col>1</xdr:col>
      <xdr:colOff>847090</xdr:colOff>
      <xdr:row>68</xdr:row>
      <xdr:rowOff>152400</xdr:rowOff>
    </xdr:to>
    <xdr:grpSp>
      <xdr:nvGrpSpPr>
        <xdr:cNvPr id="31" name="Group 4">
          <a:extLst>
            <a:ext uri="{FF2B5EF4-FFF2-40B4-BE49-F238E27FC236}">
              <a16:creationId xmlns:a16="http://schemas.microsoft.com/office/drawing/2014/main" id="{B8589710-A206-41C5-9079-A444AC2A7676}"/>
            </a:ext>
          </a:extLst>
        </xdr:cNvPr>
        <xdr:cNvGrpSpPr>
          <a:grpSpLocks/>
        </xdr:cNvGrpSpPr>
      </xdr:nvGrpSpPr>
      <xdr:grpSpPr bwMode="auto">
        <a:xfrm>
          <a:off x="316865" y="16957040"/>
          <a:ext cx="800100" cy="283210"/>
          <a:chOff x="14" y="101"/>
          <a:chExt cx="91" cy="34"/>
        </a:xfrm>
      </xdr:grpSpPr>
      <xdr:sp macro="" textlink="">
        <xdr:nvSpPr>
          <xdr:cNvPr id="32" name="Oval 5">
            <a:extLst>
              <a:ext uri="{FF2B5EF4-FFF2-40B4-BE49-F238E27FC236}">
                <a16:creationId xmlns:a16="http://schemas.microsoft.com/office/drawing/2014/main" id="{28FA35D2-908F-435E-AADE-54DAFCFF2F82}"/>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3" name="Text Box 6">
            <a:extLst>
              <a:ext uri="{FF2B5EF4-FFF2-40B4-BE49-F238E27FC236}">
                <a16:creationId xmlns:a16="http://schemas.microsoft.com/office/drawing/2014/main" id="{1B69C02C-A124-4FD8-8B18-8EEF07DBB31E}"/>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twoCellAnchor>
    <xdr:from>
      <xdr:col>1</xdr:col>
      <xdr:colOff>74295</xdr:colOff>
      <xdr:row>36</xdr:row>
      <xdr:rowOff>46990</xdr:rowOff>
    </xdr:from>
    <xdr:to>
      <xdr:col>1</xdr:col>
      <xdr:colOff>977900</xdr:colOff>
      <xdr:row>37</xdr:row>
      <xdr:rowOff>152400</xdr:rowOff>
    </xdr:to>
    <xdr:grpSp>
      <xdr:nvGrpSpPr>
        <xdr:cNvPr id="34" name="Group 4">
          <a:extLst>
            <a:ext uri="{FF2B5EF4-FFF2-40B4-BE49-F238E27FC236}">
              <a16:creationId xmlns:a16="http://schemas.microsoft.com/office/drawing/2014/main" id="{74D8A9E1-EE8C-4947-B3D1-CF1828D623AF}"/>
            </a:ext>
          </a:extLst>
        </xdr:cNvPr>
        <xdr:cNvGrpSpPr>
          <a:grpSpLocks/>
        </xdr:cNvGrpSpPr>
      </xdr:nvGrpSpPr>
      <xdr:grpSpPr bwMode="auto">
        <a:xfrm>
          <a:off x="340995" y="9565640"/>
          <a:ext cx="906780" cy="178435"/>
          <a:chOff x="14" y="101"/>
          <a:chExt cx="91" cy="34"/>
        </a:xfrm>
      </xdr:grpSpPr>
      <xdr:sp macro="" textlink="">
        <xdr:nvSpPr>
          <xdr:cNvPr id="35" name="Oval 5">
            <a:extLst>
              <a:ext uri="{FF2B5EF4-FFF2-40B4-BE49-F238E27FC236}">
                <a16:creationId xmlns:a16="http://schemas.microsoft.com/office/drawing/2014/main" id="{5D454C0E-6CCA-4F83-A150-8F192AE5B965}"/>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6" name="Text Box 6">
            <a:extLst>
              <a:ext uri="{FF2B5EF4-FFF2-40B4-BE49-F238E27FC236}">
                <a16:creationId xmlns:a16="http://schemas.microsoft.com/office/drawing/2014/main" id="{4A212BBC-C784-4883-B303-0B5291F55DDC}"/>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63501</xdr:colOff>
      <xdr:row>80</xdr:row>
      <xdr:rowOff>29211</xdr:rowOff>
    </xdr:from>
    <xdr:to>
      <xdr:col>1</xdr:col>
      <xdr:colOff>914400</xdr:colOff>
      <xdr:row>81</xdr:row>
      <xdr:rowOff>95251</xdr:rowOff>
    </xdr:to>
    <xdr:grpSp>
      <xdr:nvGrpSpPr>
        <xdr:cNvPr id="37" name="Group 4">
          <a:extLst>
            <a:ext uri="{FF2B5EF4-FFF2-40B4-BE49-F238E27FC236}">
              <a16:creationId xmlns:a16="http://schemas.microsoft.com/office/drawing/2014/main" id="{8A688F01-9D5A-4CCE-A372-415710D8DFA8}"/>
            </a:ext>
          </a:extLst>
        </xdr:cNvPr>
        <xdr:cNvGrpSpPr>
          <a:grpSpLocks/>
        </xdr:cNvGrpSpPr>
      </xdr:nvGrpSpPr>
      <xdr:grpSpPr bwMode="auto">
        <a:xfrm>
          <a:off x="333376" y="19618961"/>
          <a:ext cx="847724" cy="269240"/>
          <a:chOff x="14" y="101"/>
          <a:chExt cx="91" cy="34"/>
        </a:xfrm>
      </xdr:grpSpPr>
      <xdr:sp macro="" textlink="">
        <xdr:nvSpPr>
          <xdr:cNvPr id="38" name="Oval 5">
            <a:extLst>
              <a:ext uri="{FF2B5EF4-FFF2-40B4-BE49-F238E27FC236}">
                <a16:creationId xmlns:a16="http://schemas.microsoft.com/office/drawing/2014/main" id="{4F0718B6-EADB-42BC-B945-8CD6FA97A656}"/>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9" name="Text Box 6">
            <a:extLst>
              <a:ext uri="{FF2B5EF4-FFF2-40B4-BE49-F238E27FC236}">
                <a16:creationId xmlns:a16="http://schemas.microsoft.com/office/drawing/2014/main" id="{1AE77A87-8F9B-42BC-996E-0778E4D955C1}"/>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7</a:t>
            </a:r>
          </a:p>
        </xdr:txBody>
      </xdr:sp>
    </xdr:grpSp>
    <xdr:clientData/>
  </xdr:twoCellAnchor>
  <xdr:twoCellAnchor>
    <xdr:from>
      <xdr:col>1</xdr:col>
      <xdr:colOff>120650</xdr:colOff>
      <xdr:row>20</xdr:row>
      <xdr:rowOff>15876</xdr:rowOff>
    </xdr:from>
    <xdr:to>
      <xdr:col>4</xdr:col>
      <xdr:colOff>323850</xdr:colOff>
      <xdr:row>23</xdr:row>
      <xdr:rowOff>47625</xdr:rowOff>
    </xdr:to>
    <xdr:sp macro="" textlink="">
      <xdr:nvSpPr>
        <xdr:cNvPr id="40" name="Oval 39">
          <a:extLst>
            <a:ext uri="{FF2B5EF4-FFF2-40B4-BE49-F238E27FC236}">
              <a16:creationId xmlns:a16="http://schemas.microsoft.com/office/drawing/2014/main" id="{FEEC6C8B-E4E6-4C8F-8D07-B45C4624E96B}"/>
            </a:ext>
          </a:extLst>
        </xdr:cNvPr>
        <xdr:cNvSpPr/>
      </xdr:nvSpPr>
      <xdr:spPr>
        <a:xfrm>
          <a:off x="396875" y="6559551"/>
          <a:ext cx="2851150" cy="517524"/>
        </a:xfrm>
        <a:prstGeom prst="ellipse">
          <a:avLst/>
        </a:prstGeom>
      </xdr:spPr>
      <xdr:style>
        <a:lnRef idx="3">
          <a:schemeClr val="lt1"/>
        </a:lnRef>
        <a:fillRef idx="1">
          <a:schemeClr val="accent6"/>
        </a:fillRef>
        <a:effectRef idx="1">
          <a:schemeClr val="accent6"/>
        </a:effectRef>
        <a:fontRef idx="minor">
          <a:schemeClr val="lt1"/>
        </a:fontRef>
      </xdr:style>
      <xdr:txBody>
        <a:bodyPr vertOverflow="clip" rtlCol="0" anchor="ctr"/>
        <a:lstStyle/>
        <a:p>
          <a:pPr algn="ctr"/>
          <a:r>
            <a:rPr lang="en-US" sz="1100"/>
            <a:t>PART</a:t>
          </a:r>
          <a:r>
            <a:rPr lang="en-US" sz="1100" baseline="0"/>
            <a:t> 2B - SL/RSS Participants</a:t>
          </a:r>
          <a:endParaRPr lang="en-US" sz="1100"/>
        </a:p>
      </xdr:txBody>
    </xdr:sp>
    <xdr:clientData/>
  </xdr:twoCellAnchor>
  <xdr:twoCellAnchor>
    <xdr:from>
      <xdr:col>1</xdr:col>
      <xdr:colOff>82550</xdr:colOff>
      <xdr:row>42</xdr:row>
      <xdr:rowOff>120650</xdr:rowOff>
    </xdr:from>
    <xdr:to>
      <xdr:col>1</xdr:col>
      <xdr:colOff>1073150</xdr:colOff>
      <xdr:row>44</xdr:row>
      <xdr:rowOff>1</xdr:rowOff>
    </xdr:to>
    <xdr:grpSp>
      <xdr:nvGrpSpPr>
        <xdr:cNvPr id="41" name="Group 4">
          <a:extLst>
            <a:ext uri="{FF2B5EF4-FFF2-40B4-BE49-F238E27FC236}">
              <a16:creationId xmlns:a16="http://schemas.microsoft.com/office/drawing/2014/main" id="{527A764E-E360-46E9-BBCA-CC18ED97BF2E}"/>
            </a:ext>
          </a:extLst>
        </xdr:cNvPr>
        <xdr:cNvGrpSpPr>
          <a:grpSpLocks/>
        </xdr:cNvGrpSpPr>
      </xdr:nvGrpSpPr>
      <xdr:grpSpPr bwMode="auto">
        <a:xfrm>
          <a:off x="352425" y="11296650"/>
          <a:ext cx="990600" cy="390526"/>
          <a:chOff x="14" y="101"/>
          <a:chExt cx="91" cy="34"/>
        </a:xfrm>
      </xdr:grpSpPr>
      <xdr:sp macro="" textlink="">
        <xdr:nvSpPr>
          <xdr:cNvPr id="42" name="Oval 5">
            <a:extLst>
              <a:ext uri="{FF2B5EF4-FFF2-40B4-BE49-F238E27FC236}">
                <a16:creationId xmlns:a16="http://schemas.microsoft.com/office/drawing/2014/main" id="{D46882CF-3460-4B89-9722-1F1C47E1BC77}"/>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3" name="Text Box 6">
            <a:extLst>
              <a:ext uri="{FF2B5EF4-FFF2-40B4-BE49-F238E27FC236}">
                <a16:creationId xmlns:a16="http://schemas.microsoft.com/office/drawing/2014/main" id="{A6D8FCDA-8BF2-4491-8D98-C1488347CD1D}"/>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70485</xdr:colOff>
      <xdr:row>2</xdr:row>
      <xdr:rowOff>243841</xdr:rowOff>
    </xdr:from>
    <xdr:to>
      <xdr:col>1</xdr:col>
      <xdr:colOff>1085851</xdr:colOff>
      <xdr:row>4</xdr:row>
      <xdr:rowOff>85725</xdr:rowOff>
    </xdr:to>
    <xdr:grpSp>
      <xdr:nvGrpSpPr>
        <xdr:cNvPr id="5" name="Group 4">
          <a:extLst>
            <a:ext uri="{FF2B5EF4-FFF2-40B4-BE49-F238E27FC236}">
              <a16:creationId xmlns:a16="http://schemas.microsoft.com/office/drawing/2014/main" id="{B12B3997-EBAA-4E13-B7F1-FD1317A55CCB}"/>
            </a:ext>
          </a:extLst>
        </xdr:cNvPr>
        <xdr:cNvGrpSpPr>
          <a:grpSpLocks/>
        </xdr:cNvGrpSpPr>
      </xdr:nvGrpSpPr>
      <xdr:grpSpPr bwMode="auto">
        <a:xfrm>
          <a:off x="337185" y="1850391"/>
          <a:ext cx="1015366" cy="508634"/>
          <a:chOff x="14" y="101"/>
          <a:chExt cx="91" cy="34"/>
        </a:xfrm>
      </xdr:grpSpPr>
      <xdr:sp macro="" textlink="">
        <xdr:nvSpPr>
          <xdr:cNvPr id="6" name="Oval 5">
            <a:extLst>
              <a:ext uri="{FF2B5EF4-FFF2-40B4-BE49-F238E27FC236}">
                <a16:creationId xmlns:a16="http://schemas.microsoft.com/office/drawing/2014/main" id="{0B51C511-B514-46B0-BBA2-49AB528B3AD6}"/>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7" name="Text Box 6">
            <a:extLst>
              <a:ext uri="{FF2B5EF4-FFF2-40B4-BE49-F238E27FC236}">
                <a16:creationId xmlns:a16="http://schemas.microsoft.com/office/drawing/2014/main" id="{897CE4AC-C0D0-493D-AB7C-06BC3D7699A7}"/>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38100</xdr:colOff>
      <xdr:row>0</xdr:row>
      <xdr:rowOff>857250</xdr:rowOff>
    </xdr:from>
    <xdr:to>
      <xdr:col>3</xdr:col>
      <xdr:colOff>85726</xdr:colOff>
      <xdr:row>2</xdr:row>
      <xdr:rowOff>104775</xdr:rowOff>
    </xdr:to>
    <xdr:sp macro="" textlink="">
      <xdr:nvSpPr>
        <xdr:cNvPr id="8" name="Oval 7">
          <a:extLst>
            <a:ext uri="{FF2B5EF4-FFF2-40B4-BE49-F238E27FC236}">
              <a16:creationId xmlns:a16="http://schemas.microsoft.com/office/drawing/2014/main" id="{18820CCD-D315-4D0C-A800-0319C02FDBBE}"/>
            </a:ext>
          </a:extLst>
        </xdr:cNvPr>
        <xdr:cNvSpPr/>
      </xdr:nvSpPr>
      <xdr:spPr>
        <a:xfrm>
          <a:off x="295275" y="857250"/>
          <a:ext cx="2305051" cy="847725"/>
        </a:xfrm>
        <a:prstGeom prst="ellipse">
          <a:avLst/>
        </a:prstGeom>
      </xdr:spPr>
      <xdr:style>
        <a:lnRef idx="3">
          <a:schemeClr val="lt1"/>
        </a:lnRef>
        <a:fillRef idx="1">
          <a:schemeClr val="accent6"/>
        </a:fillRef>
        <a:effectRef idx="1">
          <a:schemeClr val="accent6"/>
        </a:effectRef>
        <a:fontRef idx="minor">
          <a:schemeClr val="lt1"/>
        </a:fontRef>
      </xdr:style>
      <xdr:txBody>
        <a:bodyPr vertOverflow="clip" rtlCol="0" anchor="ctr"/>
        <a:lstStyle/>
        <a:p>
          <a:pPr algn="ctr"/>
          <a:r>
            <a:rPr lang="en-US" sz="1100"/>
            <a:t>PART</a:t>
          </a:r>
          <a:r>
            <a:rPr lang="en-US" sz="1100" baseline="0"/>
            <a:t> 2C - Non-Day Habilitation Participants</a:t>
          </a:r>
          <a:endParaRPr lang="en-US" sz="1100"/>
        </a:p>
      </xdr:txBody>
    </xdr:sp>
    <xdr:clientData/>
  </xdr:twoCellAnchor>
  <xdr:twoCellAnchor>
    <xdr:from>
      <xdr:col>1</xdr:col>
      <xdr:colOff>64135</xdr:colOff>
      <xdr:row>26</xdr:row>
      <xdr:rowOff>104140</xdr:rowOff>
    </xdr:from>
    <xdr:to>
      <xdr:col>1</xdr:col>
      <xdr:colOff>990600</xdr:colOff>
      <xdr:row>28</xdr:row>
      <xdr:rowOff>0</xdr:rowOff>
    </xdr:to>
    <xdr:grpSp>
      <xdr:nvGrpSpPr>
        <xdr:cNvPr id="9" name="Group 4">
          <a:extLst>
            <a:ext uri="{FF2B5EF4-FFF2-40B4-BE49-F238E27FC236}">
              <a16:creationId xmlns:a16="http://schemas.microsoft.com/office/drawing/2014/main" id="{105661C9-4F8C-4E3A-AF06-A40A1D9DB416}"/>
            </a:ext>
          </a:extLst>
        </xdr:cNvPr>
        <xdr:cNvGrpSpPr>
          <a:grpSpLocks/>
        </xdr:cNvGrpSpPr>
      </xdr:nvGrpSpPr>
      <xdr:grpSpPr bwMode="auto">
        <a:xfrm>
          <a:off x="330835" y="8606790"/>
          <a:ext cx="926465" cy="270510"/>
          <a:chOff x="14" y="101"/>
          <a:chExt cx="91" cy="34"/>
        </a:xfrm>
      </xdr:grpSpPr>
      <xdr:sp macro="" textlink="">
        <xdr:nvSpPr>
          <xdr:cNvPr id="10" name="Oval 5">
            <a:extLst>
              <a:ext uri="{FF2B5EF4-FFF2-40B4-BE49-F238E27FC236}">
                <a16:creationId xmlns:a16="http://schemas.microsoft.com/office/drawing/2014/main" id="{91F4469A-32CE-4C77-B8A3-FD80E4E69661}"/>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1" name="Text Box 6">
            <a:extLst>
              <a:ext uri="{FF2B5EF4-FFF2-40B4-BE49-F238E27FC236}">
                <a16:creationId xmlns:a16="http://schemas.microsoft.com/office/drawing/2014/main" id="{3A1B6E4B-EC7B-4F6F-9147-B293680AF902}"/>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103505</xdr:colOff>
      <xdr:row>104</xdr:row>
      <xdr:rowOff>102235</xdr:rowOff>
    </xdr:from>
    <xdr:to>
      <xdr:col>1</xdr:col>
      <xdr:colOff>903605</xdr:colOff>
      <xdr:row>106</xdr:row>
      <xdr:rowOff>0</xdr:rowOff>
    </xdr:to>
    <xdr:grpSp>
      <xdr:nvGrpSpPr>
        <xdr:cNvPr id="12" name="Group 4">
          <a:extLst>
            <a:ext uri="{FF2B5EF4-FFF2-40B4-BE49-F238E27FC236}">
              <a16:creationId xmlns:a16="http://schemas.microsoft.com/office/drawing/2014/main" id="{261A4010-F85E-4996-B883-01862156B2BD}"/>
            </a:ext>
          </a:extLst>
        </xdr:cNvPr>
        <xdr:cNvGrpSpPr>
          <a:grpSpLocks/>
        </xdr:cNvGrpSpPr>
      </xdr:nvGrpSpPr>
      <xdr:grpSpPr bwMode="auto">
        <a:xfrm>
          <a:off x="370205" y="23819485"/>
          <a:ext cx="800100" cy="253365"/>
          <a:chOff x="14" y="101"/>
          <a:chExt cx="91" cy="34"/>
        </a:xfrm>
      </xdr:grpSpPr>
      <xdr:sp macro="" textlink="">
        <xdr:nvSpPr>
          <xdr:cNvPr id="13" name="Oval 5">
            <a:extLst>
              <a:ext uri="{FF2B5EF4-FFF2-40B4-BE49-F238E27FC236}">
                <a16:creationId xmlns:a16="http://schemas.microsoft.com/office/drawing/2014/main" id="{DBF31448-4183-4D38-89B3-5B2815FEEB87}"/>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4" name="Text Box 6">
            <a:extLst>
              <a:ext uri="{FF2B5EF4-FFF2-40B4-BE49-F238E27FC236}">
                <a16:creationId xmlns:a16="http://schemas.microsoft.com/office/drawing/2014/main" id="{1360846A-6B7E-4537-83CD-6F096904B14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a:t>
            </a:r>
          </a:p>
        </xdr:txBody>
      </xdr:sp>
    </xdr:grpSp>
    <xdr:clientData/>
  </xdr:twoCellAnchor>
  <xdr:twoCellAnchor>
    <xdr:from>
      <xdr:col>1</xdr:col>
      <xdr:colOff>46990</xdr:colOff>
      <xdr:row>99</xdr:row>
      <xdr:rowOff>66040</xdr:rowOff>
    </xdr:from>
    <xdr:to>
      <xdr:col>1</xdr:col>
      <xdr:colOff>847090</xdr:colOff>
      <xdr:row>100</xdr:row>
      <xdr:rowOff>152400</xdr:rowOff>
    </xdr:to>
    <xdr:grpSp>
      <xdr:nvGrpSpPr>
        <xdr:cNvPr id="15" name="Group 4">
          <a:extLst>
            <a:ext uri="{FF2B5EF4-FFF2-40B4-BE49-F238E27FC236}">
              <a16:creationId xmlns:a16="http://schemas.microsoft.com/office/drawing/2014/main" id="{C61C8955-11C9-433D-8246-5E9F2A7F7217}"/>
            </a:ext>
          </a:extLst>
        </xdr:cNvPr>
        <xdr:cNvGrpSpPr>
          <a:grpSpLocks/>
        </xdr:cNvGrpSpPr>
      </xdr:nvGrpSpPr>
      <xdr:grpSpPr bwMode="auto">
        <a:xfrm>
          <a:off x="313690" y="22818090"/>
          <a:ext cx="800100" cy="283210"/>
          <a:chOff x="14" y="101"/>
          <a:chExt cx="91" cy="34"/>
        </a:xfrm>
      </xdr:grpSpPr>
      <xdr:sp macro="" textlink="">
        <xdr:nvSpPr>
          <xdr:cNvPr id="16" name="Oval 5">
            <a:extLst>
              <a:ext uri="{FF2B5EF4-FFF2-40B4-BE49-F238E27FC236}">
                <a16:creationId xmlns:a16="http://schemas.microsoft.com/office/drawing/2014/main" id="{55D98FCF-680B-46D6-9EAC-FB6800582E27}"/>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7" name="Text Box 6">
            <a:extLst>
              <a:ext uri="{FF2B5EF4-FFF2-40B4-BE49-F238E27FC236}">
                <a16:creationId xmlns:a16="http://schemas.microsoft.com/office/drawing/2014/main" id="{CAD2EC80-9E00-4514-A446-5BA2E4EBBDAD}"/>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twoCellAnchor>
    <xdr:from>
      <xdr:col>1</xdr:col>
      <xdr:colOff>74295</xdr:colOff>
      <xdr:row>62</xdr:row>
      <xdr:rowOff>46990</xdr:rowOff>
    </xdr:from>
    <xdr:to>
      <xdr:col>1</xdr:col>
      <xdr:colOff>977900</xdr:colOff>
      <xdr:row>63</xdr:row>
      <xdr:rowOff>152400</xdr:rowOff>
    </xdr:to>
    <xdr:grpSp>
      <xdr:nvGrpSpPr>
        <xdr:cNvPr id="18" name="Group 4">
          <a:extLst>
            <a:ext uri="{FF2B5EF4-FFF2-40B4-BE49-F238E27FC236}">
              <a16:creationId xmlns:a16="http://schemas.microsoft.com/office/drawing/2014/main" id="{E02FF9A7-ED50-45B5-8F3D-7854B1752062}"/>
            </a:ext>
          </a:extLst>
        </xdr:cNvPr>
        <xdr:cNvGrpSpPr>
          <a:grpSpLocks/>
        </xdr:cNvGrpSpPr>
      </xdr:nvGrpSpPr>
      <xdr:grpSpPr bwMode="auto">
        <a:xfrm>
          <a:off x="340995" y="15007590"/>
          <a:ext cx="903605" cy="302260"/>
          <a:chOff x="14" y="101"/>
          <a:chExt cx="91" cy="34"/>
        </a:xfrm>
      </xdr:grpSpPr>
      <xdr:sp macro="" textlink="">
        <xdr:nvSpPr>
          <xdr:cNvPr id="19" name="Oval 5">
            <a:extLst>
              <a:ext uri="{FF2B5EF4-FFF2-40B4-BE49-F238E27FC236}">
                <a16:creationId xmlns:a16="http://schemas.microsoft.com/office/drawing/2014/main" id="{93F8DDE5-AE03-43EE-A706-03382AB56C3C}"/>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20" name="Text Box 6">
            <a:extLst>
              <a:ext uri="{FF2B5EF4-FFF2-40B4-BE49-F238E27FC236}">
                <a16:creationId xmlns:a16="http://schemas.microsoft.com/office/drawing/2014/main" id="{32F03BFD-43E3-4D9A-B00B-512855951D6D}"/>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63501</xdr:colOff>
      <xdr:row>112</xdr:row>
      <xdr:rowOff>29211</xdr:rowOff>
    </xdr:from>
    <xdr:to>
      <xdr:col>1</xdr:col>
      <xdr:colOff>914400</xdr:colOff>
      <xdr:row>113</xdr:row>
      <xdr:rowOff>95251</xdr:rowOff>
    </xdr:to>
    <xdr:grpSp>
      <xdr:nvGrpSpPr>
        <xdr:cNvPr id="21" name="Group 4">
          <a:extLst>
            <a:ext uri="{FF2B5EF4-FFF2-40B4-BE49-F238E27FC236}">
              <a16:creationId xmlns:a16="http://schemas.microsoft.com/office/drawing/2014/main" id="{787D79D1-4D74-446A-BF1C-8E0785F94ADE}"/>
            </a:ext>
          </a:extLst>
        </xdr:cNvPr>
        <xdr:cNvGrpSpPr>
          <a:grpSpLocks/>
        </xdr:cNvGrpSpPr>
      </xdr:nvGrpSpPr>
      <xdr:grpSpPr bwMode="auto">
        <a:xfrm>
          <a:off x="330201" y="25587961"/>
          <a:ext cx="850899" cy="262890"/>
          <a:chOff x="14" y="101"/>
          <a:chExt cx="91" cy="34"/>
        </a:xfrm>
      </xdr:grpSpPr>
      <xdr:sp macro="" textlink="">
        <xdr:nvSpPr>
          <xdr:cNvPr id="22" name="Oval 5">
            <a:extLst>
              <a:ext uri="{FF2B5EF4-FFF2-40B4-BE49-F238E27FC236}">
                <a16:creationId xmlns:a16="http://schemas.microsoft.com/office/drawing/2014/main" id="{CF56E483-7AAE-48FF-8ED7-4240D3387821}"/>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23" name="Text Box 6">
            <a:extLst>
              <a:ext uri="{FF2B5EF4-FFF2-40B4-BE49-F238E27FC236}">
                <a16:creationId xmlns:a16="http://schemas.microsoft.com/office/drawing/2014/main" id="{BFBF2F61-14DD-4A1D-96B7-90108B03EC7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7</a:t>
            </a:r>
          </a:p>
        </xdr:txBody>
      </xdr:sp>
    </xdr:grpSp>
    <xdr:clientData/>
  </xdr:twoCellAnchor>
  <xdr:twoCellAnchor>
    <xdr:from>
      <xdr:col>1</xdr:col>
      <xdr:colOff>0</xdr:colOff>
      <xdr:row>23</xdr:row>
      <xdr:rowOff>0</xdr:rowOff>
    </xdr:from>
    <xdr:to>
      <xdr:col>6</xdr:col>
      <xdr:colOff>914399</xdr:colOff>
      <xdr:row>26</xdr:row>
      <xdr:rowOff>0</xdr:rowOff>
    </xdr:to>
    <xdr:sp macro="" textlink="">
      <xdr:nvSpPr>
        <xdr:cNvPr id="24" name="Oval 23">
          <a:extLst>
            <a:ext uri="{FF2B5EF4-FFF2-40B4-BE49-F238E27FC236}">
              <a16:creationId xmlns:a16="http://schemas.microsoft.com/office/drawing/2014/main" id="{C51C6E1E-03A9-418B-9F8E-96F94124F619}"/>
            </a:ext>
          </a:extLst>
        </xdr:cNvPr>
        <xdr:cNvSpPr/>
      </xdr:nvSpPr>
      <xdr:spPr>
        <a:xfrm>
          <a:off x="276225" y="7981950"/>
          <a:ext cx="4562474" cy="485775"/>
        </a:xfrm>
        <a:prstGeom prst="ellipse">
          <a:avLst/>
        </a:prstGeom>
      </xdr:spPr>
      <xdr:style>
        <a:lnRef idx="3">
          <a:schemeClr val="lt1"/>
        </a:lnRef>
        <a:fillRef idx="1">
          <a:schemeClr val="accent6"/>
        </a:fillRef>
        <a:effectRef idx="1">
          <a:schemeClr val="accent6"/>
        </a:effectRef>
        <a:fontRef idx="minor">
          <a:schemeClr val="lt1"/>
        </a:fontRef>
      </xdr:style>
      <xdr:txBody>
        <a:bodyPr vertOverflow="clip" rtlCol="0" anchor="ctr"/>
        <a:lstStyle/>
        <a:p>
          <a:pPr algn="ctr"/>
          <a:r>
            <a:rPr lang="en-US" sz="1100"/>
            <a:t>PART</a:t>
          </a:r>
          <a:r>
            <a:rPr lang="en-US" sz="1100" baseline="0"/>
            <a:t> 2C - Non-Day Habilitation Participants</a:t>
          </a:r>
          <a:endParaRPr lang="en-US" sz="1100"/>
        </a:p>
      </xdr:txBody>
    </xdr:sp>
    <xdr:clientData/>
  </xdr:twoCellAnchor>
  <xdr:twoCellAnchor>
    <xdr:from>
      <xdr:col>1</xdr:col>
      <xdr:colOff>82550</xdr:colOff>
      <xdr:row>68</xdr:row>
      <xdr:rowOff>120650</xdr:rowOff>
    </xdr:from>
    <xdr:to>
      <xdr:col>1</xdr:col>
      <xdr:colOff>1073150</xdr:colOff>
      <xdr:row>70</xdr:row>
      <xdr:rowOff>1</xdr:rowOff>
    </xdr:to>
    <xdr:grpSp>
      <xdr:nvGrpSpPr>
        <xdr:cNvPr id="25" name="Group 4">
          <a:extLst>
            <a:ext uri="{FF2B5EF4-FFF2-40B4-BE49-F238E27FC236}">
              <a16:creationId xmlns:a16="http://schemas.microsoft.com/office/drawing/2014/main" id="{0FBD6883-5BC3-4DA0-BB79-CF5BAE6E4A60}"/>
            </a:ext>
          </a:extLst>
        </xdr:cNvPr>
        <xdr:cNvGrpSpPr>
          <a:grpSpLocks/>
        </xdr:cNvGrpSpPr>
      </xdr:nvGrpSpPr>
      <xdr:grpSpPr bwMode="auto">
        <a:xfrm>
          <a:off x="349250" y="16402050"/>
          <a:ext cx="990600" cy="247651"/>
          <a:chOff x="14" y="101"/>
          <a:chExt cx="91" cy="34"/>
        </a:xfrm>
      </xdr:grpSpPr>
      <xdr:sp macro="" textlink="">
        <xdr:nvSpPr>
          <xdr:cNvPr id="26" name="Oval 5">
            <a:extLst>
              <a:ext uri="{FF2B5EF4-FFF2-40B4-BE49-F238E27FC236}">
                <a16:creationId xmlns:a16="http://schemas.microsoft.com/office/drawing/2014/main" id="{8C514226-3C5A-48F4-9E34-94E4FF0340A6}"/>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27" name="Text Box 6">
            <a:extLst>
              <a:ext uri="{FF2B5EF4-FFF2-40B4-BE49-F238E27FC236}">
                <a16:creationId xmlns:a16="http://schemas.microsoft.com/office/drawing/2014/main" id="{D342AC85-A305-481B-8A78-E67732FBC8D8}"/>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2"/>
  <sheetViews>
    <sheetView tabSelected="1" zoomScale="95" zoomScaleNormal="95" workbookViewId="0">
      <selection activeCell="E22" sqref="E22"/>
    </sheetView>
  </sheetViews>
  <sheetFormatPr defaultColWidth="9.1796875" defaultRowHeight="12.5" x14ac:dyDescent="0.25"/>
  <cols>
    <col min="1" max="1" width="2.453125" style="2" customWidth="1"/>
    <col min="2" max="2" width="3.54296875" style="2" customWidth="1"/>
    <col min="3" max="3" width="70.453125" style="2" customWidth="1"/>
    <col min="4" max="4" width="8.1796875" style="2" customWidth="1"/>
    <col min="5" max="5" width="18.81640625" style="2" customWidth="1"/>
    <col min="6" max="16384" width="9.1796875" style="10"/>
  </cols>
  <sheetData>
    <row r="1" spans="1:12" s="8" customFormat="1" ht="90" customHeight="1" x14ac:dyDescent="0.25">
      <c r="A1" s="168"/>
      <c r="B1" s="322" t="s">
        <v>236</v>
      </c>
      <c r="C1" s="323"/>
      <c r="D1" s="323"/>
      <c r="E1" s="324"/>
      <c r="F1" s="45"/>
      <c r="G1" s="45"/>
      <c r="H1" s="45"/>
      <c r="I1" s="45"/>
      <c r="J1" s="45"/>
      <c r="K1" s="45"/>
      <c r="L1" s="45"/>
    </row>
    <row r="2" spans="1:12" s="9" customFormat="1" ht="17.5" x14ac:dyDescent="0.25">
      <c r="A2" s="169"/>
      <c r="B2" s="169"/>
      <c r="C2" s="169"/>
      <c r="D2" s="169"/>
      <c r="E2" s="169"/>
      <c r="F2" s="1"/>
    </row>
    <row r="3" spans="1:12" s="2" customFormat="1" ht="50.15" customHeight="1" x14ac:dyDescent="0.25">
      <c r="A3" s="170"/>
      <c r="B3" s="171"/>
      <c r="C3" s="328" t="s">
        <v>14</v>
      </c>
      <c r="D3" s="328"/>
      <c r="E3" s="329"/>
      <c r="F3" s="3"/>
      <c r="G3" s="3"/>
    </row>
    <row r="4" spans="1:12" s="2" customFormat="1" ht="19.5" customHeight="1" x14ac:dyDescent="0.25">
      <c r="A4" s="170"/>
      <c r="B4" s="172"/>
      <c r="C4" s="173"/>
      <c r="D4" s="173"/>
      <c r="E4" s="174"/>
      <c r="F4" s="3"/>
      <c r="G4" s="3"/>
    </row>
    <row r="5" spans="1:12" ht="14" x14ac:dyDescent="0.25">
      <c r="A5" s="175"/>
      <c r="B5" s="331" t="s">
        <v>15</v>
      </c>
      <c r="C5" s="320"/>
      <c r="D5" s="325"/>
      <c r="E5" s="326"/>
    </row>
    <row r="6" spans="1:12" ht="31.5" customHeight="1" x14ac:dyDescent="0.3">
      <c r="A6" s="176"/>
      <c r="B6" s="313" t="s">
        <v>131</v>
      </c>
      <c r="C6" s="315"/>
      <c r="D6" s="316"/>
      <c r="E6" s="299"/>
    </row>
    <row r="7" spans="1:12" ht="41.25" customHeight="1" x14ac:dyDescent="0.3">
      <c r="A7" s="176"/>
      <c r="B7" s="317" t="s">
        <v>129</v>
      </c>
      <c r="C7" s="318"/>
      <c r="D7" s="319"/>
      <c r="E7" s="299"/>
    </row>
    <row r="8" spans="1:12" ht="22.5" customHeight="1" x14ac:dyDescent="0.3">
      <c r="A8" s="176"/>
      <c r="B8" s="317" t="s">
        <v>130</v>
      </c>
      <c r="C8" s="318"/>
      <c r="D8" s="319"/>
      <c r="E8" s="299"/>
    </row>
    <row r="9" spans="1:12" ht="22.5" customHeight="1" x14ac:dyDescent="0.3">
      <c r="A9" s="176"/>
      <c r="B9" s="317" t="s">
        <v>167</v>
      </c>
      <c r="C9" s="318"/>
      <c r="D9" s="319"/>
      <c r="E9" s="299"/>
    </row>
    <row r="10" spans="1:12" ht="22.5" customHeight="1" x14ac:dyDescent="0.3">
      <c r="A10" s="176"/>
      <c r="B10" s="317" t="s">
        <v>166</v>
      </c>
      <c r="C10" s="318"/>
      <c r="D10" s="319"/>
      <c r="E10" s="299"/>
    </row>
    <row r="11" spans="1:12" ht="24.75" customHeight="1" x14ac:dyDescent="0.3">
      <c r="A11" s="176"/>
      <c r="B11" s="317" t="s">
        <v>168</v>
      </c>
      <c r="C11" s="318"/>
      <c r="D11" s="319"/>
      <c r="E11" s="299"/>
    </row>
    <row r="12" spans="1:12" ht="20.25" customHeight="1" x14ac:dyDescent="0.25">
      <c r="A12" s="175"/>
      <c r="B12" s="330" t="s">
        <v>35</v>
      </c>
      <c r="C12" s="330"/>
      <c r="D12" s="31" t="s">
        <v>0</v>
      </c>
      <c r="E12" s="69">
        <f>SUM(E6:E11)</f>
        <v>0</v>
      </c>
    </row>
    <row r="13" spans="1:12" s="7" customFormat="1" ht="16.5" x14ac:dyDescent="0.25">
      <c r="A13" s="175"/>
      <c r="B13" s="30"/>
      <c r="C13" s="203"/>
      <c r="D13" s="204"/>
      <c r="E13" s="205"/>
      <c r="F13" s="5"/>
      <c r="G13" s="6"/>
      <c r="H13" s="6"/>
      <c r="I13" s="4"/>
      <c r="J13" s="4"/>
      <c r="K13" s="5"/>
    </row>
    <row r="14" spans="1:12" ht="14" x14ac:dyDescent="0.25">
      <c r="A14" s="175"/>
      <c r="B14" s="331" t="s">
        <v>36</v>
      </c>
      <c r="C14" s="320"/>
      <c r="D14" s="325"/>
      <c r="E14" s="327"/>
    </row>
    <row r="15" spans="1:12" ht="14" x14ac:dyDescent="0.25">
      <c r="A15" s="175"/>
      <c r="B15" s="313" t="s">
        <v>37</v>
      </c>
      <c r="C15" s="315"/>
      <c r="D15" s="314"/>
      <c r="E15" s="300"/>
    </row>
    <row r="16" spans="1:12" ht="14" x14ac:dyDescent="0.25">
      <c r="A16" s="175"/>
      <c r="B16" s="313" t="s">
        <v>38</v>
      </c>
      <c r="C16" s="315"/>
      <c r="D16" s="314"/>
      <c r="E16" s="300"/>
    </row>
    <row r="17" spans="1:5" ht="14" x14ac:dyDescent="0.25">
      <c r="A17" s="175"/>
      <c r="B17" s="313" t="s">
        <v>39</v>
      </c>
      <c r="C17" s="315"/>
      <c r="D17" s="314"/>
      <c r="E17" s="300"/>
    </row>
    <row r="18" spans="1:5" ht="14" x14ac:dyDescent="0.25">
      <c r="A18" s="175"/>
      <c r="B18" s="313" t="s">
        <v>40</v>
      </c>
      <c r="C18" s="315"/>
      <c r="D18" s="314"/>
      <c r="E18" s="300"/>
    </row>
    <row r="19" spans="1:5" ht="16.5" customHeight="1" x14ac:dyDescent="0.25">
      <c r="A19" s="175"/>
      <c r="B19" s="330" t="s">
        <v>16</v>
      </c>
      <c r="C19" s="330"/>
      <c r="D19" s="51" t="s">
        <v>1</v>
      </c>
      <c r="E19" s="32">
        <f>SUM(E15:E18)</f>
        <v>0</v>
      </c>
    </row>
    <row r="20" spans="1:5" x14ac:dyDescent="0.25">
      <c r="A20" s="170"/>
      <c r="B20" s="177"/>
      <c r="C20" s="177"/>
      <c r="D20" s="177"/>
      <c r="E20" s="177"/>
    </row>
    <row r="21" spans="1:5" ht="14.15" customHeight="1" x14ac:dyDescent="0.25">
      <c r="A21" s="170"/>
      <c r="B21" s="320" t="s">
        <v>103</v>
      </c>
      <c r="C21" s="321"/>
      <c r="D21" s="201"/>
      <c r="E21" s="202"/>
    </row>
    <row r="22" spans="1:5" ht="30" customHeight="1" x14ac:dyDescent="0.25">
      <c r="A22" s="170"/>
      <c r="B22" s="313" t="s">
        <v>173</v>
      </c>
      <c r="C22" s="314"/>
      <c r="D22" s="51" t="s">
        <v>2</v>
      </c>
      <c r="E22" s="60"/>
    </row>
  </sheetData>
  <sheetProtection algorithmName="SHA-512" hashValue="U6v5GD3A6372vLNDFQs+bSWiACzKL7KQzwj5W4zcwWVP0LlGf/hOWkrzjUmr9iqubRFrq5r2SLJotoIaHSbK8g==" saltValue="6nRMaa/qQ8iTVoe5uJ/New==" spinCount="100000" sheet="1" objects="1" scenarios="1"/>
  <mergeCells count="20">
    <mergeCell ref="B1:E1"/>
    <mergeCell ref="D5:E5"/>
    <mergeCell ref="D14:E14"/>
    <mergeCell ref="C3:E3"/>
    <mergeCell ref="B19:C19"/>
    <mergeCell ref="B14:C14"/>
    <mergeCell ref="B12:C12"/>
    <mergeCell ref="B5:C5"/>
    <mergeCell ref="B11:D11"/>
    <mergeCell ref="B9:D9"/>
    <mergeCell ref="B10:D10"/>
    <mergeCell ref="B18:D18"/>
    <mergeCell ref="B22:C22"/>
    <mergeCell ref="B6:D6"/>
    <mergeCell ref="B7:D7"/>
    <mergeCell ref="B8:D8"/>
    <mergeCell ref="B15:D15"/>
    <mergeCell ref="B16:D16"/>
    <mergeCell ref="B17:D17"/>
    <mergeCell ref="B21:C21"/>
  </mergeCells>
  <pageMargins left="0.25" right="0.25" top="0.75" bottom="0.75" header="0.3" footer="0.3"/>
  <pageSetup scale="98" orientation="portrait" r:id="rId1"/>
  <headerFooter>
    <oddFooter>&amp;C&amp;A&amp;R&amp;N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E5E85-F1F8-4CD5-AD1F-E889767E7178}">
  <sheetPr>
    <pageSetUpPr fitToPage="1"/>
  </sheetPr>
  <dimension ref="A1:S81"/>
  <sheetViews>
    <sheetView zoomScaleNormal="100" workbookViewId="0">
      <selection activeCell="R47" sqref="R47"/>
    </sheetView>
  </sheetViews>
  <sheetFormatPr defaultColWidth="9.1796875" defaultRowHeight="12.5" x14ac:dyDescent="0.25"/>
  <cols>
    <col min="1" max="1" width="3.81640625" style="11" customWidth="1"/>
    <col min="2" max="2" width="24" style="11" customWidth="1"/>
    <col min="3" max="3" width="10.453125" style="11" customWidth="1"/>
    <col min="4" max="4" width="3.81640625" style="11" customWidth="1"/>
    <col min="5" max="5" width="13.453125" style="11" customWidth="1"/>
    <col min="6" max="6" width="8.81640625" style="11" customWidth="1"/>
    <col min="7" max="7" width="12.1796875" style="11" customWidth="1"/>
    <col min="8" max="8" width="3.81640625" style="11" customWidth="1"/>
    <col min="9" max="9" width="10.36328125" style="11" customWidth="1"/>
    <col min="10" max="10" width="12.54296875" style="11" customWidth="1"/>
    <col min="11" max="11" width="11.1796875" style="11" customWidth="1"/>
    <col min="12" max="12" width="6.54296875" style="11" customWidth="1"/>
    <col min="13" max="13" width="14.453125" style="11" customWidth="1"/>
    <col min="14" max="14" width="12" style="11" customWidth="1"/>
    <col min="15" max="15" width="5.1796875" style="11" customWidth="1"/>
    <col min="16" max="16" width="14.453125" style="11" customWidth="1"/>
    <col min="17" max="16384" width="9.1796875" style="11"/>
  </cols>
  <sheetData>
    <row r="1" spans="1:16" ht="114" customHeight="1" x14ac:dyDescent="0.25">
      <c r="A1" s="80"/>
      <c r="B1" s="558" t="s">
        <v>235</v>
      </c>
      <c r="C1" s="559"/>
      <c r="D1" s="559"/>
      <c r="E1" s="559"/>
      <c r="F1" s="559"/>
      <c r="G1" s="559"/>
      <c r="H1" s="559"/>
      <c r="I1" s="559"/>
      <c r="J1" s="559"/>
      <c r="K1" s="559"/>
      <c r="L1" s="559"/>
      <c r="M1" s="559"/>
      <c r="N1" s="560"/>
      <c r="P1" s="220"/>
    </row>
    <row r="2" spans="1:16" ht="12.65" customHeight="1" x14ac:dyDescent="0.25">
      <c r="A2" s="80"/>
      <c r="B2" s="80"/>
      <c r="C2" s="80"/>
      <c r="D2" s="80"/>
      <c r="E2" s="80"/>
      <c r="F2" s="80"/>
      <c r="G2" s="80"/>
      <c r="H2" s="80"/>
      <c r="I2" s="80"/>
      <c r="J2" s="80"/>
      <c r="K2" s="80"/>
      <c r="L2" s="80"/>
      <c r="M2" s="80"/>
      <c r="N2" s="80"/>
      <c r="O2" s="80"/>
      <c r="P2" s="220"/>
    </row>
    <row r="3" spans="1:16" customFormat="1" ht="28.4" customHeight="1" x14ac:dyDescent="0.3">
      <c r="A3" s="281"/>
      <c r="B3" s="369" t="s">
        <v>34</v>
      </c>
      <c r="C3" s="370"/>
      <c r="D3" s="370"/>
      <c r="E3" s="370"/>
      <c r="F3" s="370"/>
      <c r="G3" s="370"/>
      <c r="H3" s="370"/>
      <c r="I3" s="370"/>
      <c r="J3" s="370"/>
      <c r="K3" s="370"/>
      <c r="L3" s="370"/>
      <c r="M3" s="370"/>
      <c r="N3" s="568"/>
      <c r="P3" s="220"/>
    </row>
    <row r="4" spans="1:16" customFormat="1" ht="28.4" customHeight="1" x14ac:dyDescent="0.3">
      <c r="A4" s="130"/>
      <c r="B4" s="194"/>
      <c r="C4" s="195"/>
      <c r="D4" s="195"/>
      <c r="E4" s="195"/>
      <c r="F4" s="421" t="s">
        <v>55</v>
      </c>
      <c r="G4" s="422"/>
      <c r="H4" s="240"/>
      <c r="I4" s="423" t="s">
        <v>58</v>
      </c>
      <c r="J4" s="424"/>
      <c r="K4" s="240"/>
      <c r="L4" s="425" t="s">
        <v>59</v>
      </c>
      <c r="M4" s="426"/>
      <c r="N4" s="569"/>
      <c r="O4" s="77"/>
      <c r="P4" s="220"/>
    </row>
    <row r="5" spans="1:16" customFormat="1" ht="15" customHeight="1" x14ac:dyDescent="0.35">
      <c r="A5" s="130"/>
      <c r="B5" s="83"/>
      <c r="C5" s="80"/>
      <c r="D5" s="80"/>
      <c r="E5" s="80"/>
      <c r="F5" s="418"/>
      <c r="G5" s="419"/>
      <c r="H5" s="71"/>
      <c r="I5" s="418"/>
      <c r="J5" s="420"/>
      <c r="K5" s="71"/>
      <c r="L5" s="418"/>
      <c r="M5" s="420"/>
      <c r="N5" s="569"/>
      <c r="O5" s="82"/>
      <c r="P5" s="220"/>
    </row>
    <row r="6" spans="1:16" customFormat="1" ht="27.65" customHeight="1" x14ac:dyDescent="0.3">
      <c r="A6" s="130"/>
      <c r="B6" s="427" t="s">
        <v>95</v>
      </c>
      <c r="C6" s="427"/>
      <c r="D6" s="427"/>
      <c r="E6" s="427"/>
      <c r="F6" s="70"/>
      <c r="G6" s="230"/>
      <c r="H6" s="72"/>
      <c r="I6" s="70"/>
      <c r="J6" s="230"/>
      <c r="K6" s="72"/>
      <c r="L6" s="70"/>
      <c r="M6" s="230"/>
      <c r="N6" s="569"/>
      <c r="O6" s="77"/>
      <c r="P6" s="413"/>
    </row>
    <row r="7" spans="1:16" customFormat="1" ht="27.65" customHeight="1" x14ac:dyDescent="0.3">
      <c r="A7" s="130"/>
      <c r="B7" s="415" t="s">
        <v>96</v>
      </c>
      <c r="C7" s="416"/>
      <c r="D7" s="416"/>
      <c r="E7" s="417"/>
      <c r="F7" s="70"/>
      <c r="G7" s="230"/>
      <c r="H7" s="72"/>
      <c r="I7" s="70"/>
      <c r="J7" s="230"/>
      <c r="K7" s="72"/>
      <c r="L7" s="70"/>
      <c r="M7" s="230"/>
      <c r="N7" s="569"/>
      <c r="P7" s="413"/>
    </row>
    <row r="8" spans="1:16" customFormat="1" ht="27.65" customHeight="1" x14ac:dyDescent="0.3">
      <c r="A8" s="130"/>
      <c r="B8" s="415" t="s">
        <v>100</v>
      </c>
      <c r="C8" s="416"/>
      <c r="D8" s="416"/>
      <c r="E8" s="417"/>
      <c r="F8" s="70"/>
      <c r="G8" s="230"/>
      <c r="H8" s="72"/>
      <c r="I8" s="70"/>
      <c r="J8" s="230"/>
      <c r="K8" s="72"/>
      <c r="L8" s="70"/>
      <c r="M8" s="230"/>
      <c r="N8" s="569"/>
      <c r="O8" s="77"/>
      <c r="P8" s="220"/>
    </row>
    <row r="9" spans="1:16" customFormat="1" ht="27.65" customHeight="1" x14ac:dyDescent="0.3">
      <c r="A9" s="130"/>
      <c r="B9" s="415" t="s">
        <v>97</v>
      </c>
      <c r="C9" s="416"/>
      <c r="D9" s="416"/>
      <c r="E9" s="417"/>
      <c r="F9" s="70"/>
      <c r="G9" s="230"/>
      <c r="H9" s="72"/>
      <c r="I9" s="70"/>
      <c r="J9" s="230"/>
      <c r="K9" s="72"/>
      <c r="L9" s="70"/>
      <c r="M9" s="230"/>
      <c r="N9" s="569"/>
      <c r="O9" s="82"/>
      <c r="P9" s="220"/>
    </row>
    <row r="10" spans="1:16" customFormat="1" ht="27.65" customHeight="1" x14ac:dyDescent="0.3">
      <c r="A10" s="130"/>
      <c r="B10" s="415" t="s">
        <v>99</v>
      </c>
      <c r="C10" s="416"/>
      <c r="D10" s="416"/>
      <c r="E10" s="417"/>
      <c r="F10" s="70"/>
      <c r="G10" s="230"/>
      <c r="H10" s="72"/>
      <c r="I10" s="70"/>
      <c r="J10" s="230"/>
      <c r="K10" s="72"/>
      <c r="L10" s="70"/>
      <c r="M10" s="230"/>
      <c r="N10" s="569"/>
      <c r="O10" s="413"/>
      <c r="P10" s="220"/>
    </row>
    <row r="11" spans="1:16" customFormat="1" ht="27.65" customHeight="1" x14ac:dyDescent="0.3">
      <c r="A11" s="130"/>
      <c r="B11" s="415" t="s">
        <v>162</v>
      </c>
      <c r="C11" s="416"/>
      <c r="D11" s="416"/>
      <c r="E11" s="417"/>
      <c r="F11" s="70"/>
      <c r="G11" s="230"/>
      <c r="H11" s="72"/>
      <c r="I11" s="70"/>
      <c r="J11" s="230"/>
      <c r="K11" s="72"/>
      <c r="L11" s="70"/>
      <c r="M11" s="230"/>
      <c r="N11" s="569"/>
      <c r="O11" s="413"/>
      <c r="P11" s="220"/>
    </row>
    <row r="12" spans="1:16" customFormat="1" ht="27.65" customHeight="1" x14ac:dyDescent="0.3">
      <c r="A12" s="130"/>
      <c r="B12" s="415" t="s">
        <v>98</v>
      </c>
      <c r="C12" s="416"/>
      <c r="D12" s="416"/>
      <c r="E12" s="417"/>
      <c r="F12" s="70"/>
      <c r="G12" s="230"/>
      <c r="H12" s="72"/>
      <c r="I12" s="70"/>
      <c r="J12" s="230"/>
      <c r="K12" s="72"/>
      <c r="L12" s="70"/>
      <c r="M12" s="230"/>
      <c r="N12" s="569"/>
      <c r="O12" s="413"/>
      <c r="P12" s="413"/>
    </row>
    <row r="13" spans="1:16" customFormat="1" ht="27.65" customHeight="1" x14ac:dyDescent="0.3">
      <c r="A13" s="130"/>
      <c r="B13" s="415" t="s">
        <v>163</v>
      </c>
      <c r="C13" s="416"/>
      <c r="D13" s="416"/>
      <c r="E13" s="417"/>
      <c r="F13" s="70"/>
      <c r="G13" s="230"/>
      <c r="H13" s="73"/>
      <c r="I13" s="70"/>
      <c r="J13" s="230"/>
      <c r="K13" s="72"/>
      <c r="L13" s="70"/>
      <c r="M13" s="230"/>
      <c r="N13" s="569"/>
      <c r="O13" s="413"/>
      <c r="P13" s="413"/>
    </row>
    <row r="14" spans="1:16" ht="18" customHeight="1" x14ac:dyDescent="0.3">
      <c r="A14" s="83"/>
      <c r="B14" s="80"/>
      <c r="C14" s="80"/>
      <c r="D14" s="80"/>
      <c r="E14" s="80"/>
      <c r="F14" s="29" t="s">
        <v>3</v>
      </c>
      <c r="G14" s="237">
        <f>SUM(G6:G13)</f>
        <v>0</v>
      </c>
      <c r="H14" s="75"/>
      <c r="I14" s="29" t="s">
        <v>4</v>
      </c>
      <c r="J14" s="237">
        <f>SUM(J6:J13)</f>
        <v>0</v>
      </c>
      <c r="K14" s="76"/>
      <c r="L14" s="29" t="s">
        <v>5</v>
      </c>
      <c r="M14" s="237">
        <f>SUM(M6:M13)</f>
        <v>0</v>
      </c>
      <c r="N14" s="569"/>
      <c r="O14" s="77"/>
      <c r="P14" s="220"/>
    </row>
    <row r="15" spans="1:16" ht="18" customHeight="1" x14ac:dyDescent="0.3">
      <c r="A15" s="83"/>
      <c r="B15" s="80"/>
      <c r="C15" s="80"/>
      <c r="D15" s="80"/>
      <c r="E15" s="80"/>
      <c r="F15" s="197"/>
      <c r="G15" s="196"/>
      <c r="H15" s="80"/>
      <c r="I15" s="78"/>
      <c r="J15" s="79"/>
      <c r="K15" s="80"/>
      <c r="L15" s="197"/>
      <c r="M15" s="196"/>
      <c r="N15" s="569"/>
      <c r="O15" s="82"/>
      <c r="P15" s="220"/>
    </row>
    <row r="16" spans="1:16" ht="15.75" customHeight="1" x14ac:dyDescent="0.35">
      <c r="A16" s="302" t="s">
        <v>156</v>
      </c>
      <c r="B16" s="303"/>
      <c r="C16" s="303"/>
      <c r="D16" s="303"/>
      <c r="E16" s="303"/>
      <c r="F16" s="303"/>
      <c r="G16" s="303"/>
      <c r="H16" s="303"/>
      <c r="I16" s="29" t="s">
        <v>143</v>
      </c>
      <c r="J16" s="228">
        <f>SUM(G14+J14+M14)</f>
        <v>0</v>
      </c>
      <c r="K16" s="14"/>
      <c r="L16" s="29" t="s">
        <v>119</v>
      </c>
      <c r="M16" s="229">
        <f>SUM(G14-G11-G13)+(J14-J11-J13)+(M14-M11-M13)</f>
        <v>0</v>
      </c>
      <c r="N16" s="569"/>
      <c r="O16" s="305"/>
      <c r="P16" s="220"/>
    </row>
    <row r="17" spans="1:19" ht="14" customHeight="1" x14ac:dyDescent="0.3">
      <c r="A17" s="15"/>
      <c r="B17" s="14"/>
      <c r="C17" s="14"/>
      <c r="D17" s="14"/>
      <c r="E17" s="14"/>
      <c r="F17" s="14"/>
      <c r="G17" s="14"/>
      <c r="H17" s="14"/>
      <c r="I17" s="430" t="s">
        <v>42</v>
      </c>
      <c r="J17" s="431"/>
      <c r="K17" s="14"/>
      <c r="L17" s="428" t="s">
        <v>144</v>
      </c>
      <c r="M17" s="429"/>
      <c r="N17" s="569"/>
      <c r="O17" s="305"/>
      <c r="P17" s="220"/>
    </row>
    <row r="18" spans="1:19" ht="14" x14ac:dyDescent="0.3">
      <c r="A18" s="282"/>
      <c r="B18" s="225"/>
      <c r="C18" s="225"/>
      <c r="D18" s="225"/>
      <c r="E18" s="225"/>
      <c r="F18" s="225"/>
      <c r="G18" s="225"/>
      <c r="H18" s="225"/>
      <c r="I18" s="225"/>
      <c r="J18" s="225"/>
      <c r="K18" s="570"/>
      <c r="L18" s="570"/>
      <c r="M18" s="570"/>
      <c r="N18" s="570"/>
      <c r="O18" s="73"/>
      <c r="P18" s="220"/>
    </row>
    <row r="19" spans="1:19" x14ac:dyDescent="0.25">
      <c r="A19" s="80"/>
      <c r="B19" s="80"/>
      <c r="C19" s="80"/>
      <c r="D19" s="80"/>
      <c r="E19" s="80"/>
      <c r="F19" s="80"/>
      <c r="G19" s="80"/>
      <c r="H19" s="80"/>
      <c r="I19" s="80"/>
      <c r="J19" s="80"/>
      <c r="K19" s="80"/>
      <c r="L19" s="80"/>
      <c r="M19" s="80"/>
      <c r="N19" s="80"/>
      <c r="O19" s="77"/>
      <c r="P19" s="220"/>
    </row>
    <row r="20" spans="1:19" ht="15.5" x14ac:dyDescent="0.25">
      <c r="A20" s="80"/>
      <c r="B20" s="392" t="s">
        <v>41</v>
      </c>
      <c r="C20" s="393"/>
      <c r="D20" s="393"/>
      <c r="E20" s="393"/>
      <c r="F20" s="393"/>
      <c r="G20" s="393"/>
      <c r="H20" s="393"/>
      <c r="I20" s="393"/>
      <c r="J20" s="393"/>
      <c r="K20" s="393"/>
      <c r="L20" s="393"/>
      <c r="M20" s="393"/>
      <c r="N20" s="394"/>
      <c r="O20" s="82"/>
      <c r="P20" s="221"/>
      <c r="Q20" s="40"/>
      <c r="R20" s="54"/>
      <c r="S20" s="54"/>
    </row>
    <row r="21" spans="1:19" ht="14" x14ac:dyDescent="0.25">
      <c r="A21" s="112"/>
      <c r="B21" s="414"/>
      <c r="C21" s="397"/>
      <c r="D21" s="397"/>
      <c r="E21" s="397"/>
      <c r="F21" s="397"/>
      <c r="G21" s="397"/>
      <c r="H21" s="397"/>
      <c r="I21" s="397"/>
      <c r="J21" s="397"/>
      <c r="K21" s="397"/>
      <c r="L21" s="397"/>
      <c r="M21" s="397"/>
      <c r="N21" s="398"/>
      <c r="O21" s="413"/>
      <c r="P21" s="77"/>
      <c r="Q21" s="408"/>
      <c r="R21" s="242"/>
      <c r="S21" s="242"/>
    </row>
    <row r="22" spans="1:19" ht="21" customHeight="1" x14ac:dyDescent="0.3">
      <c r="A22" s="113"/>
      <c r="B22" s="410" t="s">
        <v>101</v>
      </c>
      <c r="C22" s="411"/>
      <c r="D22" s="411"/>
      <c r="E22" s="411"/>
      <c r="F22" s="411"/>
      <c r="G22" s="411"/>
      <c r="H22" s="411"/>
      <c r="I22" s="411"/>
      <c r="J22" s="411"/>
      <c r="K22" s="411"/>
      <c r="L22" s="411"/>
      <c r="M22" s="411"/>
      <c r="N22" s="412"/>
      <c r="O22" s="413"/>
      <c r="P22" s="220"/>
      <c r="Q22" s="408"/>
      <c r="R22" s="242"/>
      <c r="S22" s="242"/>
    </row>
    <row r="23" spans="1:19" ht="14" x14ac:dyDescent="0.3">
      <c r="A23" s="113"/>
      <c r="B23" s="409" t="s">
        <v>33</v>
      </c>
      <c r="C23" s="409"/>
      <c r="D23" s="409"/>
      <c r="E23" s="409"/>
      <c r="F23" s="409"/>
      <c r="G23" s="409"/>
      <c r="H23" s="409"/>
      <c r="I23" s="409"/>
      <c r="J23" s="409"/>
      <c r="K23" s="409"/>
      <c r="L23" s="399"/>
      <c r="M23" s="84"/>
      <c r="N23" s="61">
        <f>'Wages, Taxes and Workers'' Comp'!E8</f>
        <v>0</v>
      </c>
      <c r="O23" s="413"/>
      <c r="P23" s="413"/>
      <c r="Q23" s="408"/>
      <c r="R23" s="408"/>
      <c r="S23" s="408"/>
    </row>
    <row r="24" spans="1:19" ht="14" x14ac:dyDescent="0.25">
      <c r="A24" s="112"/>
      <c r="B24" s="409" t="s">
        <v>32</v>
      </c>
      <c r="C24" s="409"/>
      <c r="D24" s="409"/>
      <c r="E24" s="409"/>
      <c r="F24" s="409"/>
      <c r="G24" s="409"/>
      <c r="H24" s="409"/>
      <c r="I24" s="409"/>
      <c r="J24" s="409"/>
      <c r="K24" s="409"/>
      <c r="L24" s="399"/>
      <c r="M24" s="84"/>
      <c r="N24" s="25"/>
      <c r="O24" s="413"/>
      <c r="P24" s="413"/>
      <c r="Q24" s="408"/>
      <c r="R24" s="408"/>
      <c r="S24" s="408"/>
    </row>
    <row r="25" spans="1:19" ht="14" x14ac:dyDescent="0.25">
      <c r="A25" s="112"/>
      <c r="B25" s="399" t="s">
        <v>31</v>
      </c>
      <c r="C25" s="400"/>
      <c r="D25" s="400"/>
      <c r="E25" s="400"/>
      <c r="F25" s="400"/>
      <c r="G25" s="400"/>
      <c r="H25" s="400"/>
      <c r="I25" s="400"/>
      <c r="J25" s="400"/>
      <c r="K25" s="400"/>
      <c r="L25" s="400"/>
      <c r="M25" s="84"/>
      <c r="N25" s="28"/>
      <c r="O25" s="220"/>
      <c r="P25" s="220"/>
      <c r="Q25" s="57"/>
      <c r="R25" s="58"/>
      <c r="S25" s="54"/>
    </row>
    <row r="26" spans="1:19" ht="14" x14ac:dyDescent="0.3">
      <c r="A26" s="112"/>
      <c r="B26" s="399" t="s">
        <v>30</v>
      </c>
      <c r="C26" s="400"/>
      <c r="D26" s="400"/>
      <c r="E26" s="400"/>
      <c r="F26" s="400"/>
      <c r="G26" s="400"/>
      <c r="H26" s="400"/>
      <c r="I26" s="400"/>
      <c r="J26" s="400"/>
      <c r="K26" s="400"/>
      <c r="L26" s="400"/>
      <c r="M26" s="84"/>
      <c r="N26" s="28"/>
      <c r="O26" s="220"/>
      <c r="P26" s="220"/>
      <c r="Q26" s="57"/>
      <c r="R26" s="59"/>
      <c r="S26" s="54"/>
    </row>
    <row r="27" spans="1:19" ht="14" x14ac:dyDescent="0.25">
      <c r="A27" s="112"/>
      <c r="B27" s="399" t="s">
        <v>79</v>
      </c>
      <c r="C27" s="400"/>
      <c r="D27" s="400"/>
      <c r="E27" s="400"/>
      <c r="F27" s="400"/>
      <c r="G27" s="400"/>
      <c r="H27" s="400"/>
      <c r="I27" s="400"/>
      <c r="J27" s="400"/>
      <c r="K27" s="400"/>
      <c r="L27" s="400"/>
      <c r="M27" s="108"/>
      <c r="N27" s="62">
        <f>'Wages, Taxes and Workers'' Comp'!E22/2</f>
        <v>0</v>
      </c>
      <c r="O27" s="220"/>
      <c r="P27" s="220"/>
      <c r="Q27" s="57"/>
      <c r="R27" s="58"/>
      <c r="S27" s="54"/>
    </row>
    <row r="28" spans="1:19" ht="14" x14ac:dyDescent="0.25">
      <c r="A28" s="112"/>
      <c r="B28" s="401" t="s">
        <v>165</v>
      </c>
      <c r="C28" s="402"/>
      <c r="D28" s="402"/>
      <c r="E28" s="402"/>
      <c r="F28" s="402"/>
      <c r="G28" s="402"/>
      <c r="H28" s="402"/>
      <c r="I28" s="402"/>
      <c r="J28" s="402"/>
      <c r="K28" s="402"/>
      <c r="L28" s="402"/>
      <c r="M28" s="403"/>
      <c r="N28" s="161">
        <f>IFERROR(ROUND('Wages, Taxes and Workers'' Comp'!E19*('Wages, Taxes and Workers'' Comp'!E8/'Wages, Taxes and Workers'' Comp'!E12),0),0)</f>
        <v>0</v>
      </c>
      <c r="O28" s="220"/>
      <c r="P28" s="220"/>
      <c r="Q28" s="57"/>
      <c r="R28" s="58"/>
      <c r="S28" s="54"/>
    </row>
    <row r="29" spans="1:19" ht="15.5" x14ac:dyDescent="0.35">
      <c r="A29" s="112"/>
      <c r="B29" s="404" t="s">
        <v>128</v>
      </c>
      <c r="C29" s="405"/>
      <c r="D29" s="405"/>
      <c r="E29" s="405"/>
      <c r="F29" s="405"/>
      <c r="G29" s="405"/>
      <c r="H29" s="405"/>
      <c r="I29" s="405"/>
      <c r="J29" s="405"/>
      <c r="K29" s="405"/>
      <c r="L29" s="405"/>
      <c r="M29" s="108"/>
      <c r="N29" s="161">
        <f>SUM(N23:N28)</f>
        <v>0</v>
      </c>
      <c r="O29" s="220"/>
      <c r="P29" s="220"/>
      <c r="Q29" s="57"/>
      <c r="R29" s="58"/>
      <c r="S29" s="54"/>
    </row>
    <row r="30" spans="1:19" ht="14" x14ac:dyDescent="0.25">
      <c r="A30" s="112"/>
      <c r="B30" s="243"/>
      <c r="C30" s="162"/>
      <c r="D30" s="162"/>
      <c r="E30" s="162"/>
      <c r="F30" s="162"/>
      <c r="G30" s="162"/>
      <c r="H30" s="162"/>
      <c r="I30" s="162"/>
      <c r="J30" s="162"/>
      <c r="K30" s="162"/>
      <c r="L30" s="162"/>
      <c r="M30" s="163"/>
      <c r="N30" s="164"/>
      <c r="O30" s="220"/>
      <c r="P30" s="220"/>
      <c r="Q30" s="57"/>
      <c r="R30" s="58"/>
      <c r="S30" s="54"/>
    </row>
    <row r="31" spans="1:19" ht="15.5" x14ac:dyDescent="0.35">
      <c r="A31" s="112"/>
      <c r="B31" s="404" t="s">
        <v>117</v>
      </c>
      <c r="C31" s="405"/>
      <c r="D31" s="405"/>
      <c r="E31" s="405"/>
      <c r="F31" s="405"/>
      <c r="G31" s="405"/>
      <c r="H31" s="405"/>
      <c r="I31" s="405"/>
      <c r="J31" s="405"/>
      <c r="K31" s="405"/>
      <c r="L31" s="406"/>
      <c r="M31" s="63" t="s">
        <v>145</v>
      </c>
      <c r="N31" s="111">
        <f>N29</f>
        <v>0</v>
      </c>
      <c r="O31" s="221"/>
      <c r="P31" s="221"/>
      <c r="Q31" s="50"/>
      <c r="R31" s="22"/>
      <c r="S31" s="22"/>
    </row>
    <row r="32" spans="1:19" x14ac:dyDescent="0.25">
      <c r="A32" s="80"/>
      <c r="B32" s="80"/>
      <c r="C32" s="80"/>
      <c r="D32" s="80"/>
      <c r="E32" s="80"/>
      <c r="F32" s="80"/>
      <c r="G32" s="80"/>
      <c r="H32" s="80"/>
      <c r="I32" s="80"/>
      <c r="J32" s="80"/>
      <c r="K32" s="80"/>
      <c r="L32" s="80"/>
      <c r="M32" s="80"/>
      <c r="N32" s="80"/>
      <c r="O32" s="77"/>
      <c r="P32" s="77"/>
      <c r="Q32" s="49"/>
      <c r="R32" s="49"/>
      <c r="S32" s="55"/>
    </row>
    <row r="33" spans="1:19" ht="15.5" x14ac:dyDescent="0.3">
      <c r="A33" s="80"/>
      <c r="B33" s="369" t="s">
        <v>29</v>
      </c>
      <c r="C33" s="370"/>
      <c r="D33" s="370"/>
      <c r="E33" s="370"/>
      <c r="F33" s="370"/>
      <c r="G33" s="370"/>
      <c r="H33" s="370"/>
      <c r="I33" s="370"/>
      <c r="J33" s="370"/>
      <c r="K33" s="370"/>
      <c r="L33" s="370"/>
      <c r="M33" s="370"/>
      <c r="N33" s="407"/>
      <c r="O33" s="77"/>
      <c r="P33" s="77"/>
      <c r="Q33" s="49"/>
      <c r="R33" s="49"/>
      <c r="S33" s="56"/>
    </row>
    <row r="34" spans="1:19" ht="13" x14ac:dyDescent="0.3">
      <c r="A34" s="80"/>
      <c r="B34" s="83"/>
      <c r="C34" s="80"/>
      <c r="D34" s="80"/>
      <c r="E34" s="80"/>
      <c r="F34" s="80"/>
      <c r="G34" s="80"/>
      <c r="H34" s="80"/>
      <c r="I34" s="80"/>
      <c r="J34" s="80"/>
      <c r="K34" s="80"/>
      <c r="L34" s="80"/>
      <c r="M34" s="80"/>
      <c r="N34" s="94"/>
      <c r="O34" s="77"/>
      <c r="P34" s="77"/>
      <c r="Q34" s="49"/>
      <c r="R34" s="49"/>
      <c r="S34" s="56"/>
    </row>
    <row r="35" spans="1:19" ht="15.5" x14ac:dyDescent="0.35">
      <c r="A35" s="82"/>
      <c r="B35" s="83"/>
      <c r="C35" s="80"/>
      <c r="D35" s="80"/>
      <c r="E35" s="80"/>
      <c r="F35" s="395" t="s">
        <v>28</v>
      </c>
      <c r="G35" s="395"/>
      <c r="H35" s="71"/>
      <c r="I35" s="396" t="s">
        <v>42</v>
      </c>
      <c r="J35" s="396"/>
      <c r="K35" s="396"/>
      <c r="L35" s="71"/>
      <c r="M35" s="397"/>
      <c r="N35" s="398"/>
      <c r="O35" s="77"/>
      <c r="P35" s="77"/>
      <c r="Q35" s="49"/>
      <c r="R35" s="49"/>
      <c r="S35" s="56"/>
    </row>
    <row r="36" spans="1:19" ht="14" x14ac:dyDescent="0.3">
      <c r="A36" s="82"/>
      <c r="B36" s="107" t="s">
        <v>27</v>
      </c>
      <c r="C36" s="93"/>
      <c r="D36" s="93"/>
      <c r="E36" s="93"/>
      <c r="F36" s="337">
        <f>N31</f>
        <v>0</v>
      </c>
      <c r="G36" s="339"/>
      <c r="H36" s="250" t="s">
        <v>10</v>
      </c>
      <c r="I36" s="363">
        <f>J16</f>
        <v>0</v>
      </c>
      <c r="J36" s="363"/>
      <c r="K36" s="363"/>
      <c r="L36" s="106" t="s">
        <v>11</v>
      </c>
      <c r="M36" s="337">
        <f>IF(I36&gt;0,ROUND(F36/I36,2),)</f>
        <v>0</v>
      </c>
      <c r="N36" s="339"/>
      <c r="O36" s="77"/>
      <c r="P36" s="77"/>
      <c r="Q36" s="49"/>
      <c r="R36" s="49"/>
      <c r="S36" s="56"/>
    </row>
    <row r="37" spans="1:19" ht="33.65" customHeight="1" x14ac:dyDescent="0.3">
      <c r="A37" s="82"/>
      <c r="B37" s="104"/>
      <c r="C37" s="97"/>
      <c r="D37" s="97"/>
      <c r="E37" s="97"/>
      <c r="F37" s="372" t="s">
        <v>147</v>
      </c>
      <c r="G37" s="374"/>
      <c r="H37" s="105"/>
      <c r="I37" s="388" t="s">
        <v>219</v>
      </c>
      <c r="J37" s="388"/>
      <c r="K37" s="388"/>
      <c r="L37" s="105"/>
      <c r="M37" s="19" t="s">
        <v>6</v>
      </c>
      <c r="N37" s="244" t="s">
        <v>164</v>
      </c>
      <c r="O37" s="77"/>
      <c r="P37" s="77"/>
      <c r="Q37" s="49"/>
      <c r="R37" s="49"/>
      <c r="S37" s="56"/>
    </row>
    <row r="38" spans="1:19" ht="13" x14ac:dyDescent="0.3">
      <c r="A38" s="80"/>
      <c r="B38" s="80"/>
      <c r="C38" s="80"/>
      <c r="D38" s="80"/>
      <c r="E38" s="80"/>
      <c r="F38" s="80"/>
      <c r="G38" s="80"/>
      <c r="H38" s="80"/>
      <c r="I38" s="80"/>
      <c r="J38" s="80"/>
      <c r="K38" s="80"/>
      <c r="L38" s="80"/>
      <c r="M38" s="80"/>
      <c r="N38" s="80"/>
      <c r="O38" s="77"/>
      <c r="P38" s="77"/>
      <c r="Q38" s="49"/>
      <c r="R38" s="49"/>
      <c r="S38" s="56"/>
    </row>
    <row r="39" spans="1:19" ht="16" customHeight="1" thickBot="1" x14ac:dyDescent="0.3">
      <c r="A39" s="80"/>
      <c r="B39" s="564" t="s">
        <v>26</v>
      </c>
      <c r="C39" s="565"/>
      <c r="D39" s="565"/>
      <c r="E39" s="565"/>
      <c r="F39" s="565"/>
      <c r="G39" s="565"/>
      <c r="H39" s="565"/>
      <c r="I39" s="565"/>
      <c r="J39" s="565"/>
      <c r="K39" s="565"/>
      <c r="L39" s="565"/>
      <c r="M39" s="565"/>
      <c r="N39" s="566"/>
      <c r="O39" s="77"/>
      <c r="P39" s="220"/>
    </row>
    <row r="40" spans="1:19" ht="13" customHeight="1" x14ac:dyDescent="0.3">
      <c r="A40" s="80"/>
      <c r="B40" s="87"/>
      <c r="C40" s="389" t="s">
        <v>137</v>
      </c>
      <c r="D40" s="390"/>
      <c r="E40" s="391"/>
      <c r="F40" s="88"/>
      <c r="G40" s="389" t="s">
        <v>138</v>
      </c>
      <c r="H40" s="390"/>
      <c r="I40" s="391"/>
      <c r="J40" s="88"/>
      <c r="K40" s="389" t="s">
        <v>139</v>
      </c>
      <c r="L40" s="390"/>
      <c r="M40" s="391"/>
      <c r="N40" s="89"/>
      <c r="O40" s="77"/>
      <c r="P40" s="220"/>
    </row>
    <row r="41" spans="1:19" ht="13.5" thickBot="1" x14ac:dyDescent="0.35">
      <c r="A41" s="80"/>
      <c r="B41" s="15"/>
      <c r="C41" s="382"/>
      <c r="D41" s="383"/>
      <c r="E41" s="384"/>
      <c r="F41" s="14"/>
      <c r="G41" s="382"/>
      <c r="H41" s="383"/>
      <c r="I41" s="384"/>
      <c r="J41" s="14"/>
      <c r="K41" s="576"/>
      <c r="L41" s="577"/>
      <c r="M41" s="578"/>
      <c r="N41" s="89"/>
      <c r="O41" s="77"/>
      <c r="P41" s="220"/>
    </row>
    <row r="42" spans="1:19" ht="24.5" thickBot="1" x14ac:dyDescent="0.4">
      <c r="A42" s="80"/>
      <c r="B42" s="115" t="s">
        <v>77</v>
      </c>
      <c r="C42" s="385">
        <v>0</v>
      </c>
      <c r="D42" s="386"/>
      <c r="E42" s="387"/>
      <c r="F42" s="80"/>
      <c r="G42" s="385">
        <v>0</v>
      </c>
      <c r="H42" s="386"/>
      <c r="I42" s="387"/>
      <c r="J42" s="90"/>
      <c r="K42" s="561">
        <v>0</v>
      </c>
      <c r="L42" s="562"/>
      <c r="M42" s="563"/>
      <c r="N42" s="89"/>
      <c r="O42" s="77"/>
      <c r="P42" s="220"/>
    </row>
    <row r="43" spans="1:19" x14ac:dyDescent="0.25">
      <c r="A43" s="80"/>
      <c r="B43" s="83"/>
      <c r="C43" s="14"/>
      <c r="D43" s="80"/>
      <c r="E43" s="14"/>
      <c r="F43" s="80"/>
      <c r="G43" s="14"/>
      <c r="H43" s="14"/>
      <c r="I43" s="14"/>
      <c r="J43" s="80"/>
      <c r="K43" s="14"/>
      <c r="L43" s="14"/>
      <c r="M43" s="14"/>
      <c r="N43" s="13"/>
      <c r="O43" s="77"/>
      <c r="P43" s="220"/>
    </row>
    <row r="44" spans="1:19" ht="51.65" customHeight="1" x14ac:dyDescent="0.35">
      <c r="A44" s="82"/>
      <c r="B44" s="83"/>
      <c r="C44" s="241" t="s">
        <v>73</v>
      </c>
      <c r="D44" s="81"/>
      <c r="E44" s="241" t="s">
        <v>74</v>
      </c>
      <c r="F44" s="81"/>
      <c r="G44" s="241" t="s">
        <v>62</v>
      </c>
      <c r="H44" s="14"/>
      <c r="I44" s="241" t="s">
        <v>75</v>
      </c>
      <c r="J44" s="81"/>
      <c r="K44" s="241" t="s">
        <v>62</v>
      </c>
      <c r="L44" s="14"/>
      <c r="M44" s="308" t="s">
        <v>76</v>
      </c>
      <c r="N44" s="89"/>
      <c r="O44" s="77"/>
      <c r="P44" s="220"/>
    </row>
    <row r="45" spans="1:19" ht="15.5" x14ac:dyDescent="0.35">
      <c r="A45" s="82"/>
      <c r="B45" s="83"/>
      <c r="C45" s="44" t="s">
        <v>112</v>
      </c>
      <c r="D45" s="81"/>
      <c r="E45" s="44" t="s">
        <v>56</v>
      </c>
      <c r="F45" s="81"/>
      <c r="G45" s="44" t="s">
        <v>113</v>
      </c>
      <c r="H45" s="14"/>
      <c r="I45" s="44" t="s">
        <v>60</v>
      </c>
      <c r="J45" s="81"/>
      <c r="K45" s="44" t="s">
        <v>114</v>
      </c>
      <c r="L45" s="14"/>
      <c r="M45" s="44" t="s">
        <v>61</v>
      </c>
      <c r="N45" s="89"/>
      <c r="O45" s="77"/>
      <c r="P45" s="221"/>
    </row>
    <row r="46" spans="1:19" ht="15.5" x14ac:dyDescent="0.35">
      <c r="A46" s="82"/>
      <c r="B46" s="83"/>
      <c r="C46" s="103"/>
      <c r="D46" s="81"/>
      <c r="E46" s="103"/>
      <c r="F46" s="81"/>
      <c r="G46" s="249"/>
      <c r="H46" s="80"/>
      <c r="I46" s="248"/>
      <c r="J46" s="81"/>
      <c r="K46" s="103"/>
      <c r="L46" s="80"/>
      <c r="M46" s="103"/>
      <c r="N46" s="89"/>
      <c r="O46" s="77"/>
      <c r="P46" s="77"/>
    </row>
    <row r="47" spans="1:19" ht="14" x14ac:dyDescent="0.3">
      <c r="A47" s="82"/>
      <c r="B47" s="107" t="s">
        <v>104</v>
      </c>
      <c r="C47" s="42">
        <f>G6</f>
        <v>0</v>
      </c>
      <c r="D47" s="91" t="s">
        <v>20</v>
      </c>
      <c r="E47" s="312">
        <f>VLOOKUP(C42,'DH Rates'!A5:G30,2,FALSE)</f>
        <v>8.6300000000000008</v>
      </c>
      <c r="F47" s="91" t="s">
        <v>12</v>
      </c>
      <c r="G47" s="42">
        <f>J6</f>
        <v>0</v>
      </c>
      <c r="H47" s="64" t="s">
        <v>20</v>
      </c>
      <c r="I47" s="312">
        <f>VLOOKUP(G42,'DH Rates'!A5:W30,10,FALSE)</f>
        <v>8.6300000000000008</v>
      </c>
      <c r="J47" s="91" t="s">
        <v>12</v>
      </c>
      <c r="K47" s="42">
        <f>M6</f>
        <v>0</v>
      </c>
      <c r="L47" s="64" t="s">
        <v>20</v>
      </c>
      <c r="M47" s="312">
        <f>VLOOKUP(K42,'DH Rates'!A$5:W$30,18,FALSE)</f>
        <v>8.6300000000000008</v>
      </c>
      <c r="N47" s="89"/>
      <c r="O47" s="77"/>
      <c r="P47" s="220"/>
    </row>
    <row r="48" spans="1:19" ht="14" x14ac:dyDescent="0.3">
      <c r="A48" s="82"/>
      <c r="B48" s="107"/>
      <c r="C48" s="96"/>
      <c r="D48" s="96"/>
      <c r="E48" s="96"/>
      <c r="F48" s="98"/>
      <c r="G48" s="100"/>
      <c r="H48" s="91"/>
      <c r="I48" s="92"/>
      <c r="J48" s="92"/>
      <c r="K48" s="101"/>
      <c r="L48" s="91"/>
      <c r="M48" s="102"/>
      <c r="N48" s="89"/>
      <c r="O48" s="77"/>
      <c r="P48" s="220"/>
    </row>
    <row r="49" spans="1:18" ht="14" x14ac:dyDescent="0.3">
      <c r="A49" s="82"/>
      <c r="B49" s="107" t="s">
        <v>105</v>
      </c>
      <c r="C49" s="42">
        <f>G7</f>
        <v>0</v>
      </c>
      <c r="D49" s="91" t="s">
        <v>20</v>
      </c>
      <c r="E49" s="312">
        <f>VLOOKUP(C42,'DH Rates'!A5:G30,3,FALSE)</f>
        <v>10.84</v>
      </c>
      <c r="F49" s="91" t="s">
        <v>12</v>
      </c>
      <c r="G49" s="42">
        <f>J7</f>
        <v>0</v>
      </c>
      <c r="H49" s="64" t="s">
        <v>20</v>
      </c>
      <c r="I49" s="312">
        <f>VLOOKUP($G42,'DH Rates'!A$5:W$30,11,FALSE)</f>
        <v>10.84</v>
      </c>
      <c r="J49" s="91" t="s">
        <v>12</v>
      </c>
      <c r="K49" s="42">
        <f>M7</f>
        <v>0</v>
      </c>
      <c r="L49" s="64" t="s">
        <v>20</v>
      </c>
      <c r="M49" s="312">
        <f>VLOOKUP(K42,'DH Rates'!A5:W30,19,FALSE)</f>
        <v>10.84</v>
      </c>
      <c r="N49" s="89"/>
      <c r="O49" s="77"/>
      <c r="P49" s="220"/>
    </row>
    <row r="50" spans="1:18" ht="14" x14ac:dyDescent="0.3">
      <c r="A50" s="82"/>
      <c r="B50" s="107"/>
      <c r="C50" s="96"/>
      <c r="D50" s="96"/>
      <c r="E50" s="96"/>
      <c r="F50" s="98"/>
      <c r="G50" s="100"/>
      <c r="H50" s="91"/>
      <c r="I50" s="92"/>
      <c r="J50" s="92"/>
      <c r="K50" s="101"/>
      <c r="L50" s="91"/>
      <c r="M50" s="102"/>
      <c r="N50" s="89"/>
      <c r="O50" s="77"/>
      <c r="P50" s="220"/>
    </row>
    <row r="51" spans="1:18" ht="14" x14ac:dyDescent="0.3">
      <c r="A51" s="82"/>
      <c r="B51" s="107" t="s">
        <v>106</v>
      </c>
      <c r="C51" s="42">
        <f>G8</f>
        <v>0</v>
      </c>
      <c r="D51" s="91" t="s">
        <v>20</v>
      </c>
      <c r="E51" s="312">
        <f>VLOOKUP(C42,'DH Rates'!A5:G30,4,FALSE)</f>
        <v>14.73</v>
      </c>
      <c r="F51" s="91" t="s">
        <v>12</v>
      </c>
      <c r="G51" s="42">
        <f>J8</f>
        <v>0</v>
      </c>
      <c r="H51" s="64" t="s">
        <v>20</v>
      </c>
      <c r="I51" s="312">
        <f>VLOOKUP($G42,'DH Rates'!A$5:W$30,12,FALSE)</f>
        <v>14.73</v>
      </c>
      <c r="J51" s="91" t="s">
        <v>12</v>
      </c>
      <c r="K51" s="42">
        <f>M8</f>
        <v>0</v>
      </c>
      <c r="L51" s="64" t="s">
        <v>20</v>
      </c>
      <c r="M51" s="312">
        <f>VLOOKUP(K42,'DH Rates'!A5:W30,20,FALSE)</f>
        <v>14.73</v>
      </c>
      <c r="N51" s="89"/>
      <c r="O51" s="77"/>
      <c r="P51" s="220"/>
    </row>
    <row r="52" spans="1:18" ht="14" x14ac:dyDescent="0.3">
      <c r="A52" s="82"/>
      <c r="B52" s="107"/>
      <c r="C52" s="96"/>
      <c r="D52" s="96"/>
      <c r="E52" s="96"/>
      <c r="F52" s="98"/>
      <c r="G52" s="100"/>
      <c r="H52" s="91"/>
      <c r="I52" s="92"/>
      <c r="J52" s="92"/>
      <c r="K52" s="101"/>
      <c r="L52" s="91"/>
      <c r="M52" s="102"/>
      <c r="N52" s="89"/>
      <c r="O52" s="77"/>
      <c r="P52" s="220"/>
    </row>
    <row r="53" spans="1:18" ht="14" x14ac:dyDescent="0.3">
      <c r="A53" s="82"/>
      <c r="B53" s="107" t="s">
        <v>107</v>
      </c>
      <c r="C53" s="42">
        <f>G9</f>
        <v>0</v>
      </c>
      <c r="D53" s="91" t="s">
        <v>20</v>
      </c>
      <c r="E53" s="312">
        <f>VLOOKUP(C42,'DH Rates'!A5:G30,5,FALSE)</f>
        <v>23.16</v>
      </c>
      <c r="F53" s="91" t="s">
        <v>12</v>
      </c>
      <c r="G53" s="42">
        <f>J9</f>
        <v>0</v>
      </c>
      <c r="H53" s="64" t="s">
        <v>20</v>
      </c>
      <c r="I53" s="312">
        <f>VLOOKUP($G42,'DH Rates'!A$5:W$30,13,FALSE)</f>
        <v>23.16</v>
      </c>
      <c r="J53" s="91" t="s">
        <v>12</v>
      </c>
      <c r="K53" s="42">
        <f>M9</f>
        <v>0</v>
      </c>
      <c r="L53" s="64" t="s">
        <v>20</v>
      </c>
      <c r="M53" s="312">
        <f>VLOOKUP(K42,'DH Rates'!A5:W30,21,FALSE)</f>
        <v>23.16</v>
      </c>
      <c r="N53" s="89"/>
      <c r="O53" s="77"/>
      <c r="P53" s="221"/>
    </row>
    <row r="54" spans="1:18" ht="14" x14ac:dyDescent="0.3">
      <c r="A54" s="82"/>
      <c r="B54" s="107"/>
      <c r="C54" s="96"/>
      <c r="D54" s="96"/>
      <c r="E54" s="96"/>
      <c r="F54" s="98"/>
      <c r="G54" s="100"/>
      <c r="H54" s="91"/>
      <c r="I54" s="92"/>
      <c r="J54" s="92"/>
      <c r="K54" s="101"/>
      <c r="L54" s="91"/>
      <c r="M54" s="102"/>
      <c r="N54" s="89"/>
      <c r="O54" s="77"/>
      <c r="P54" s="77"/>
    </row>
    <row r="55" spans="1:18" ht="14" x14ac:dyDescent="0.3">
      <c r="A55" s="82"/>
      <c r="B55" s="107" t="s">
        <v>108</v>
      </c>
      <c r="C55" s="42">
        <f>G10</f>
        <v>0</v>
      </c>
      <c r="D55" s="91" t="s">
        <v>20</v>
      </c>
      <c r="E55" s="312">
        <f>VLOOKUP(C42,'DH Rates'!A5:G30,6,FALSE)</f>
        <v>107.61</v>
      </c>
      <c r="F55" s="91" t="s">
        <v>12</v>
      </c>
      <c r="G55" s="42">
        <f>J10</f>
        <v>0</v>
      </c>
      <c r="H55" s="64" t="s">
        <v>20</v>
      </c>
      <c r="I55" s="312">
        <f>VLOOKUP($G42,'DH Rates'!A$5:W$30,14,FALSE)</f>
        <v>107.61</v>
      </c>
      <c r="J55" s="91" t="s">
        <v>12</v>
      </c>
      <c r="K55" s="42">
        <f>M10</f>
        <v>0</v>
      </c>
      <c r="L55" s="64" t="s">
        <v>20</v>
      </c>
      <c r="M55" s="312">
        <f>VLOOKUP(K42,'DH Rates'!A5:W30,22,FALSE)</f>
        <v>107.61</v>
      </c>
      <c r="N55" s="89"/>
      <c r="O55" s="77"/>
      <c r="P55" s="220"/>
    </row>
    <row r="56" spans="1:18" ht="14" x14ac:dyDescent="0.3">
      <c r="A56" s="82"/>
      <c r="B56" s="107"/>
      <c r="C56" s="96"/>
      <c r="D56" s="96"/>
      <c r="E56" s="96"/>
      <c r="F56" s="98"/>
      <c r="G56" s="100"/>
      <c r="H56" s="91"/>
      <c r="I56" s="92"/>
      <c r="J56" s="92"/>
      <c r="K56" s="101"/>
      <c r="L56" s="91"/>
      <c r="M56" s="102"/>
      <c r="N56" s="89"/>
      <c r="O56" s="77"/>
      <c r="P56" s="220"/>
    </row>
    <row r="57" spans="1:18" ht="14" x14ac:dyDescent="0.3">
      <c r="A57" s="82"/>
      <c r="B57" s="107" t="s">
        <v>109</v>
      </c>
      <c r="C57" s="42">
        <f>G12</f>
        <v>0</v>
      </c>
      <c r="D57" s="91" t="s">
        <v>20</v>
      </c>
      <c r="E57" s="312">
        <f>VLOOKUP(C42,'DH Rates'!A5:G30,7,FALSE)</f>
        <v>10.61</v>
      </c>
      <c r="F57" s="91" t="s">
        <v>12</v>
      </c>
      <c r="G57" s="42">
        <f>J12</f>
        <v>0</v>
      </c>
      <c r="H57" s="64" t="s">
        <v>20</v>
      </c>
      <c r="I57" s="312">
        <f>VLOOKUP($G42,'DH Rates'!A$5:W$30,15,FALSE)</f>
        <v>10.61</v>
      </c>
      <c r="J57" s="91" t="s">
        <v>12</v>
      </c>
      <c r="K57" s="42">
        <f>M12</f>
        <v>0</v>
      </c>
      <c r="L57" s="64" t="s">
        <v>20</v>
      </c>
      <c r="M57" s="312">
        <f>VLOOKUP(K42,'DH Rates'!A5:W30,23,FALSE)</f>
        <v>10.61</v>
      </c>
      <c r="N57" s="567" t="s">
        <v>11</v>
      </c>
      <c r="O57" s="77"/>
      <c r="P57" s="220"/>
    </row>
    <row r="58" spans="1:18" ht="14" x14ac:dyDescent="0.25">
      <c r="A58" s="82"/>
      <c r="B58" s="99"/>
      <c r="C58" s="93"/>
      <c r="D58" s="93"/>
      <c r="E58" s="93"/>
      <c r="F58" s="93"/>
      <c r="G58" s="93"/>
      <c r="H58" s="93"/>
      <c r="I58" s="93"/>
      <c r="J58" s="93"/>
      <c r="K58" s="93"/>
      <c r="L58" s="93"/>
      <c r="M58" s="93"/>
      <c r="N58" s="131"/>
      <c r="O58" s="77"/>
      <c r="P58" s="220"/>
    </row>
    <row r="59" spans="1:18" ht="28" x14ac:dyDescent="0.3">
      <c r="A59" s="82"/>
      <c r="B59" s="114" t="s">
        <v>91</v>
      </c>
      <c r="C59" s="53">
        <f>IFERROR(ROUND((((C42*0.05)*(C47+C49+C51+C53+C55+C57))+((G42*0.5)*(G47+G49+G51+G53+G55+G57))+((K42*0.1)*(K47+K49+K51+K53+K55+K57)))/I59,2),0)</f>
        <v>0</v>
      </c>
      <c r="D59" s="93"/>
      <c r="E59" s="41"/>
      <c r="F59" s="337">
        <f>(C47*E47)+(G47*I47)+(K47*M47)+(C49*E49)+(G49*I49)+(K49*M49)+(C51*E51)+(G51*I51)+(K51*M51)+(C53*E53)+(G53*I53)+(K53*M53)+(C55*E55)+(G55*I55)+(K55*M55)+(C57*E57)+(G57*I57)+(K57*M57)</f>
        <v>0</v>
      </c>
      <c r="G59" s="339"/>
      <c r="H59" s="18" t="s">
        <v>10</v>
      </c>
      <c r="I59" s="363">
        <f>M16</f>
        <v>0</v>
      </c>
      <c r="J59" s="363"/>
      <c r="K59" s="363"/>
      <c r="L59" s="18" t="s">
        <v>11</v>
      </c>
      <c r="M59" s="337">
        <f>IF(I59&gt;0,ROUND(F59/I59,2),0)</f>
        <v>0</v>
      </c>
      <c r="N59" s="339"/>
      <c r="O59" s="77"/>
      <c r="P59" s="220"/>
    </row>
    <row r="60" spans="1:18" ht="45.65" customHeight="1" x14ac:dyDescent="0.3">
      <c r="A60" s="82"/>
      <c r="B60" s="104"/>
      <c r="C60" s="97"/>
      <c r="D60" s="97"/>
      <c r="E60" s="97"/>
      <c r="F60" s="367" t="s">
        <v>226</v>
      </c>
      <c r="G60" s="368"/>
      <c r="H60" s="105"/>
      <c r="I60" s="372" t="s">
        <v>227</v>
      </c>
      <c r="J60" s="373"/>
      <c r="K60" s="374"/>
      <c r="L60" s="105"/>
      <c r="M60" s="165" t="s">
        <v>8</v>
      </c>
      <c r="N60" s="244" t="s">
        <v>13</v>
      </c>
      <c r="O60" s="77"/>
      <c r="P60" s="220"/>
    </row>
    <row r="61" spans="1:18" ht="14" x14ac:dyDescent="0.25">
      <c r="A61" s="80"/>
      <c r="B61" s="80"/>
      <c r="C61" s="80"/>
      <c r="D61" s="80"/>
      <c r="E61" s="80"/>
      <c r="F61" s="375"/>
      <c r="G61" s="375"/>
      <c r="H61" s="375"/>
      <c r="I61" s="375"/>
      <c r="J61" s="375"/>
      <c r="K61" s="375"/>
      <c r="L61" s="375"/>
      <c r="M61" s="375"/>
      <c r="N61" s="375"/>
      <c r="O61" s="77"/>
      <c r="P61" s="221"/>
    </row>
    <row r="62" spans="1:18" ht="15.65" customHeight="1" x14ac:dyDescent="0.25">
      <c r="A62" s="80"/>
      <c r="B62" s="369" t="s">
        <v>25</v>
      </c>
      <c r="C62" s="370"/>
      <c r="D62" s="370"/>
      <c r="E62" s="370"/>
      <c r="F62" s="370"/>
      <c r="G62" s="370"/>
      <c r="H62" s="370"/>
      <c r="I62" s="370"/>
      <c r="J62" s="370"/>
      <c r="K62" s="370"/>
      <c r="L62" s="370"/>
      <c r="M62" s="370"/>
      <c r="N62" s="370"/>
      <c r="O62" s="407"/>
      <c r="P62" s="77"/>
    </row>
    <row r="63" spans="1:18" x14ac:dyDescent="0.25">
      <c r="A63" s="80"/>
      <c r="B63" s="83"/>
      <c r="C63" s="80"/>
      <c r="D63" s="80"/>
      <c r="E63" s="80"/>
      <c r="F63" s="80"/>
      <c r="G63" s="80"/>
      <c r="H63" s="80"/>
      <c r="I63" s="80"/>
      <c r="J63" s="80"/>
      <c r="K63" s="80"/>
      <c r="L63" s="80"/>
      <c r="M63" s="80"/>
      <c r="N63" s="80"/>
      <c r="O63" s="94"/>
      <c r="P63" s="77"/>
    </row>
    <row r="64" spans="1:18" ht="14" x14ac:dyDescent="0.3">
      <c r="A64" s="82"/>
      <c r="B64" s="99"/>
      <c r="C64" s="93"/>
      <c r="D64" s="93"/>
      <c r="E64" s="93"/>
      <c r="F64" s="337">
        <f>M59</f>
        <v>0</v>
      </c>
      <c r="G64" s="339"/>
      <c r="H64" s="250" t="s">
        <v>20</v>
      </c>
      <c r="I64" s="376">
        <v>0.9</v>
      </c>
      <c r="J64" s="377"/>
      <c r="K64" s="378"/>
      <c r="L64" s="18" t="s">
        <v>11</v>
      </c>
      <c r="M64" s="337">
        <f>ROUND(F64*I64,2)</f>
        <v>0</v>
      </c>
      <c r="N64" s="338"/>
      <c r="O64" s="339"/>
      <c r="P64" s="77"/>
      <c r="Q64"/>
      <c r="R64"/>
    </row>
    <row r="65" spans="1:19" ht="22.5" customHeight="1" x14ac:dyDescent="0.3">
      <c r="A65" s="82"/>
      <c r="B65" s="104"/>
      <c r="C65" s="97"/>
      <c r="D65" s="97"/>
      <c r="E65" s="97"/>
      <c r="F65" s="364" t="s">
        <v>146</v>
      </c>
      <c r="G65" s="365"/>
      <c r="H65" s="105"/>
      <c r="I65" s="366"/>
      <c r="J65" s="366"/>
      <c r="K65" s="245"/>
      <c r="L65" s="105"/>
      <c r="M65" s="48" t="s">
        <v>9</v>
      </c>
      <c r="N65" s="367" t="s">
        <v>24</v>
      </c>
      <c r="O65" s="368"/>
      <c r="P65" s="77"/>
      <c r="Q65" s="16"/>
      <c r="R65" s="16"/>
    </row>
    <row r="66" spans="1:19" x14ac:dyDescent="0.25">
      <c r="A66" s="80"/>
      <c r="B66" s="80"/>
      <c r="C66" s="80"/>
      <c r="D66" s="80"/>
      <c r="E66" s="80"/>
      <c r="F66" s="80"/>
      <c r="G66" s="80"/>
      <c r="H66" s="80"/>
      <c r="I66" s="80"/>
      <c r="J66" s="80"/>
      <c r="K66" s="80"/>
      <c r="L66" s="80"/>
      <c r="M66" s="80"/>
      <c r="N66" s="80"/>
      <c r="O66" s="80"/>
      <c r="P66" s="77"/>
    </row>
    <row r="67" spans="1:19" ht="15.65" customHeight="1" x14ac:dyDescent="0.25">
      <c r="A67" s="80"/>
      <c r="B67" s="369" t="s">
        <v>23</v>
      </c>
      <c r="C67" s="370"/>
      <c r="D67" s="370"/>
      <c r="E67" s="370"/>
      <c r="F67" s="370"/>
      <c r="G67" s="370"/>
      <c r="H67" s="370"/>
      <c r="I67" s="370"/>
      <c r="J67" s="370"/>
      <c r="K67" s="370"/>
      <c r="L67" s="370"/>
      <c r="M67" s="370"/>
      <c r="N67" s="370"/>
      <c r="O67" s="407"/>
      <c r="P67" s="77"/>
    </row>
    <row r="68" spans="1:19" x14ac:dyDescent="0.25">
      <c r="A68" s="80"/>
      <c r="B68" s="83"/>
      <c r="C68" s="80"/>
      <c r="D68" s="80"/>
      <c r="E68" s="80"/>
      <c r="F68" s="80"/>
      <c r="G68" s="80"/>
      <c r="H68" s="80"/>
      <c r="I68" s="80"/>
      <c r="J68" s="80"/>
      <c r="K68" s="80"/>
      <c r="L68" s="80"/>
      <c r="M68" s="80"/>
      <c r="N68" s="80"/>
      <c r="O68" s="94"/>
      <c r="P68" s="77"/>
    </row>
    <row r="69" spans="1:19" ht="19" customHeight="1" x14ac:dyDescent="0.3">
      <c r="A69" s="82"/>
      <c r="B69" s="99"/>
      <c r="C69" s="93"/>
      <c r="D69" s="93"/>
      <c r="E69" s="93"/>
      <c r="F69" s="337">
        <f>M64</f>
        <v>0</v>
      </c>
      <c r="G69" s="339"/>
      <c r="H69" s="250" t="s">
        <v>22</v>
      </c>
      <c r="I69" s="371">
        <f>M36</f>
        <v>0</v>
      </c>
      <c r="J69" s="371"/>
      <c r="K69" s="371"/>
      <c r="L69" s="250" t="s">
        <v>11</v>
      </c>
      <c r="M69" s="379">
        <f>IF(F69-I69&gt;C59,C59,IF(F69-I69&lt;0,0,F69-I69))</f>
        <v>0</v>
      </c>
      <c r="N69" s="380"/>
      <c r="O69" s="381"/>
      <c r="P69" s="77"/>
      <c r="Q69"/>
      <c r="R69"/>
    </row>
    <row r="70" spans="1:19" ht="17.149999999999999" customHeight="1" x14ac:dyDescent="0.3">
      <c r="A70" s="82"/>
      <c r="B70" s="99"/>
      <c r="C70" s="93"/>
      <c r="D70" s="93"/>
      <c r="E70" s="93"/>
      <c r="F70" s="342" t="s">
        <v>115</v>
      </c>
      <c r="G70" s="343"/>
      <c r="H70" s="250"/>
      <c r="I70" s="362" t="s">
        <v>111</v>
      </c>
      <c r="J70" s="362"/>
      <c r="K70" s="362"/>
      <c r="L70" s="106"/>
      <c r="M70" s="46" t="s">
        <v>17</v>
      </c>
      <c r="N70" s="340" t="s">
        <v>21</v>
      </c>
      <c r="O70" s="341"/>
      <c r="P70" s="77"/>
      <c r="Q70" s="16"/>
      <c r="R70" s="16"/>
    </row>
    <row r="71" spans="1:19" ht="21.65" customHeight="1" x14ac:dyDescent="0.3">
      <c r="A71" s="82"/>
      <c r="B71" s="99"/>
      <c r="C71" s="93"/>
      <c r="D71" s="93"/>
      <c r="E71" s="93"/>
      <c r="F71" s="337">
        <f>IF(M69&gt;0,M69,0)</f>
        <v>0</v>
      </c>
      <c r="G71" s="339"/>
      <c r="H71" s="250" t="s">
        <v>20</v>
      </c>
      <c r="I71" s="363">
        <f>I59</f>
        <v>0</v>
      </c>
      <c r="J71" s="363"/>
      <c r="K71" s="363"/>
      <c r="L71" s="250" t="s">
        <v>11</v>
      </c>
      <c r="M71" s="337">
        <f>ROUND(F71*I71,2)</f>
        <v>0</v>
      </c>
      <c r="N71" s="338"/>
      <c r="O71" s="339"/>
      <c r="P71" s="77"/>
      <c r="Q71"/>
      <c r="R71"/>
    </row>
    <row r="72" spans="1:19" ht="18.649999999999999" customHeight="1" x14ac:dyDescent="0.25">
      <c r="A72" s="82"/>
      <c r="B72" s="104"/>
      <c r="C72" s="97"/>
      <c r="D72" s="97"/>
      <c r="E72" s="97"/>
      <c r="F72" s="342" t="s">
        <v>228</v>
      </c>
      <c r="G72" s="343"/>
      <c r="H72" s="251"/>
      <c r="I72" s="344" t="s">
        <v>229</v>
      </c>
      <c r="J72" s="345"/>
      <c r="K72" s="346"/>
      <c r="L72" s="251"/>
      <c r="M72" s="47" t="s">
        <v>222</v>
      </c>
      <c r="N72" s="335" t="s">
        <v>19</v>
      </c>
      <c r="O72" s="336"/>
      <c r="P72" s="16"/>
      <c r="Q72" s="16"/>
      <c r="R72" s="16"/>
    </row>
    <row r="73" spans="1:19" ht="14" x14ac:dyDescent="0.25">
      <c r="A73" s="82"/>
      <c r="B73" s="93"/>
      <c r="C73" s="93"/>
      <c r="D73" s="93"/>
      <c r="E73" s="93"/>
      <c r="F73" s="166"/>
      <c r="G73" s="166"/>
      <c r="H73" s="250"/>
      <c r="I73" s="167"/>
      <c r="J73" s="167"/>
      <c r="K73" s="167"/>
      <c r="L73" s="219"/>
      <c r="M73" s="219"/>
      <c r="N73" s="219"/>
      <c r="O73" s="219"/>
      <c r="P73" s="219"/>
      <c r="Q73" s="16"/>
      <c r="R73" s="16"/>
      <c r="S73" s="16"/>
    </row>
    <row r="74" spans="1:19" ht="15.5" x14ac:dyDescent="0.35">
      <c r="A74" s="82"/>
      <c r="B74" s="347" t="s">
        <v>121</v>
      </c>
      <c r="C74" s="348"/>
      <c r="D74" s="348"/>
      <c r="E74" s="348"/>
      <c r="F74" s="348"/>
      <c r="G74" s="348"/>
      <c r="H74" s="348"/>
      <c r="I74" s="348"/>
      <c r="J74" s="348"/>
      <c r="K74" s="349"/>
      <c r="L74" s="219"/>
      <c r="M74" s="219"/>
      <c r="N74" s="219"/>
      <c r="O74" s="219"/>
      <c r="P74" s="219"/>
      <c r="Q74" s="16"/>
      <c r="R74" s="16"/>
      <c r="S74" s="16"/>
    </row>
    <row r="75" spans="1:19" ht="14" x14ac:dyDescent="0.25">
      <c r="A75" s="82"/>
      <c r="B75" s="130"/>
      <c r="C75" s="147"/>
      <c r="D75" s="150"/>
      <c r="E75" s="150"/>
      <c r="F75" s="147"/>
      <c r="G75" s="150"/>
      <c r="H75" s="150"/>
      <c r="I75" s="147"/>
      <c r="J75" s="150"/>
      <c r="K75" s="149"/>
      <c r="L75" s="219"/>
      <c r="M75" s="219"/>
      <c r="N75" s="219"/>
      <c r="O75" s="219"/>
      <c r="P75" s="219"/>
      <c r="Q75" s="16"/>
      <c r="R75" s="16"/>
      <c r="S75" s="16"/>
    </row>
    <row r="76" spans="1:19" ht="14" x14ac:dyDescent="0.25">
      <c r="A76" s="82"/>
      <c r="B76" s="130"/>
      <c r="C76" s="148"/>
      <c r="D76" s="350">
        <f>M71</f>
        <v>0</v>
      </c>
      <c r="E76" s="351"/>
      <c r="F76" s="352" t="s">
        <v>10</v>
      </c>
      <c r="G76" s="354">
        <f>F59</f>
        <v>0</v>
      </c>
      <c r="H76" s="355"/>
      <c r="I76" s="352" t="s">
        <v>11</v>
      </c>
      <c r="J76" s="356">
        <f>IFERROR(SUM(D76/G76),0)</f>
        <v>0</v>
      </c>
      <c r="K76" s="357"/>
      <c r="L76" s="219"/>
      <c r="M76" s="219"/>
      <c r="N76" s="219"/>
      <c r="O76" s="219"/>
      <c r="P76" s="219"/>
      <c r="Q76" s="16"/>
      <c r="R76" s="16"/>
      <c r="S76" s="16"/>
    </row>
    <row r="77" spans="1:19" ht="25.5" customHeight="1" x14ac:dyDescent="0.25">
      <c r="A77" s="82"/>
      <c r="B77" s="136"/>
      <c r="C77" s="149"/>
      <c r="D77" s="358" t="s">
        <v>230</v>
      </c>
      <c r="E77" s="359"/>
      <c r="F77" s="353"/>
      <c r="G77" s="360" t="s">
        <v>223</v>
      </c>
      <c r="H77" s="361"/>
      <c r="I77" s="353"/>
      <c r="J77" s="358" t="s">
        <v>122</v>
      </c>
      <c r="K77" s="359"/>
      <c r="L77" s="219"/>
      <c r="M77" s="219"/>
      <c r="N77" s="219"/>
      <c r="O77" s="219"/>
      <c r="P77" s="219"/>
      <c r="Q77" s="16"/>
      <c r="R77" s="16"/>
      <c r="S77" s="16"/>
    </row>
    <row r="78" spans="1:19" ht="14" x14ac:dyDescent="0.3">
      <c r="A78" s="82"/>
      <c r="B78" s="93"/>
      <c r="C78" s="93"/>
      <c r="D78" s="93"/>
      <c r="E78" s="93"/>
      <c r="F78" s="109"/>
      <c r="G78" s="109"/>
      <c r="H78" s="106"/>
      <c r="I78" s="110"/>
      <c r="J78" s="110"/>
      <c r="K78" s="110"/>
      <c r="L78" s="219"/>
      <c r="M78" s="219"/>
      <c r="N78" s="219"/>
      <c r="O78" s="219"/>
      <c r="P78" s="219"/>
      <c r="Q78" s="16"/>
      <c r="R78" s="16"/>
      <c r="S78" s="16"/>
    </row>
    <row r="79" spans="1:19" ht="12.65" customHeight="1" x14ac:dyDescent="0.25">
      <c r="A79" s="14"/>
      <c r="B79" s="332" t="s">
        <v>231</v>
      </c>
      <c r="C79" s="333"/>
      <c r="D79" s="333"/>
      <c r="E79" s="333"/>
      <c r="F79" s="333"/>
      <c r="G79" s="333"/>
      <c r="H79" s="333"/>
      <c r="I79" s="333"/>
      <c r="J79" s="333"/>
      <c r="K79" s="333"/>
      <c r="L79" s="333"/>
      <c r="M79" s="333"/>
      <c r="N79" s="333"/>
      <c r="O79" s="334"/>
      <c r="P79" s="77"/>
    </row>
    <row r="80" spans="1:19" x14ac:dyDescent="0.25">
      <c r="A80" s="80"/>
      <c r="B80" s="80"/>
      <c r="C80" s="80"/>
      <c r="D80" s="80"/>
      <c r="E80" s="80"/>
      <c r="F80" s="80"/>
      <c r="G80" s="80"/>
      <c r="H80" s="80"/>
      <c r="I80" s="80"/>
      <c r="J80" s="80"/>
      <c r="K80" s="80"/>
      <c r="L80" s="80"/>
      <c r="M80" s="80"/>
      <c r="N80" s="80"/>
      <c r="O80" s="80"/>
      <c r="P80" s="77"/>
    </row>
    <row r="81" spans="1:19" ht="12.65" customHeight="1" x14ac:dyDescent="0.25">
      <c r="A81" s="43"/>
      <c r="B81" s="332" t="s">
        <v>18</v>
      </c>
      <c r="C81" s="333"/>
      <c r="D81" s="333"/>
      <c r="E81" s="333"/>
      <c r="F81" s="333"/>
      <c r="G81" s="333"/>
      <c r="H81" s="333"/>
      <c r="I81" s="333"/>
      <c r="J81" s="333"/>
      <c r="K81" s="333"/>
      <c r="L81" s="333"/>
      <c r="M81" s="333"/>
      <c r="N81" s="333"/>
      <c r="O81" s="334"/>
      <c r="P81" s="134"/>
      <c r="Q81" s="12"/>
      <c r="R81" s="12"/>
      <c r="S81" s="12"/>
    </row>
  </sheetData>
  <sheetProtection algorithmName="SHA-512" hashValue="ghNM3VaCvBSYW/YbQlkqNubt2sULuX+e6N+nFIcCH59lnEmtBBc5LYm/y4oyOqOBGMrPL8aa7AStUp74b/OErA==" saltValue="wqAu/WVyMTyOY2L9+wolmw==" spinCount="100000" sheet="1" objects="1" scenarios="1"/>
  <mergeCells count="95">
    <mergeCell ref="K42:M42"/>
    <mergeCell ref="O10:O11"/>
    <mergeCell ref="O12:O13"/>
    <mergeCell ref="K18:N18"/>
    <mergeCell ref="P6:P7"/>
    <mergeCell ref="P12:P13"/>
    <mergeCell ref="K40:M40"/>
    <mergeCell ref="B1:N1"/>
    <mergeCell ref="B20:N20"/>
    <mergeCell ref="B21:N21"/>
    <mergeCell ref="O21:O22"/>
    <mergeCell ref="B11:E11"/>
    <mergeCell ref="F5:G5"/>
    <mergeCell ref="I5:J5"/>
    <mergeCell ref="L5:M5"/>
    <mergeCell ref="F4:G4"/>
    <mergeCell ref="I4:J4"/>
    <mergeCell ref="L4:M4"/>
    <mergeCell ref="B6:E6"/>
    <mergeCell ref="B7:E7"/>
    <mergeCell ref="B8:E8"/>
    <mergeCell ref="B9:E9"/>
    <mergeCell ref="B10:E10"/>
    <mergeCell ref="L17:M17"/>
    <mergeCell ref="I17:J17"/>
    <mergeCell ref="B13:E13"/>
    <mergeCell ref="B12:E12"/>
    <mergeCell ref="B3:M3"/>
    <mergeCell ref="R23:R24"/>
    <mergeCell ref="S23:S24"/>
    <mergeCell ref="B24:L24"/>
    <mergeCell ref="B25:L25"/>
    <mergeCell ref="B26:L26"/>
    <mergeCell ref="Q21:Q22"/>
    <mergeCell ref="B22:N22"/>
    <mergeCell ref="B23:L23"/>
    <mergeCell ref="O23:O24"/>
    <mergeCell ref="P23:P24"/>
    <mergeCell ref="Q23:Q24"/>
    <mergeCell ref="F35:G35"/>
    <mergeCell ref="I35:K35"/>
    <mergeCell ref="M35:N35"/>
    <mergeCell ref="F36:G36"/>
    <mergeCell ref="I36:K36"/>
    <mergeCell ref="M36:N36"/>
    <mergeCell ref="B27:L27"/>
    <mergeCell ref="B28:M28"/>
    <mergeCell ref="B29:L29"/>
    <mergeCell ref="B31:L31"/>
    <mergeCell ref="B33:N33"/>
    <mergeCell ref="C41:E41"/>
    <mergeCell ref="G41:I41"/>
    <mergeCell ref="C42:E42"/>
    <mergeCell ref="G42:I42"/>
    <mergeCell ref="F37:G37"/>
    <mergeCell ref="I37:K37"/>
    <mergeCell ref="C40:E40"/>
    <mergeCell ref="G40:I40"/>
    <mergeCell ref="F59:G59"/>
    <mergeCell ref="I59:K59"/>
    <mergeCell ref="M59:N59"/>
    <mergeCell ref="F65:G65"/>
    <mergeCell ref="I65:J65"/>
    <mergeCell ref="N65:O65"/>
    <mergeCell ref="B67:O67"/>
    <mergeCell ref="F69:G69"/>
    <mergeCell ref="I69:K69"/>
    <mergeCell ref="F60:G60"/>
    <mergeCell ref="I60:K60"/>
    <mergeCell ref="F61:N61"/>
    <mergeCell ref="B62:O62"/>
    <mergeCell ref="F64:G64"/>
    <mergeCell ref="I64:K64"/>
    <mergeCell ref="M64:O64"/>
    <mergeCell ref="M69:O69"/>
    <mergeCell ref="B79:O79"/>
    <mergeCell ref="B81:O81"/>
    <mergeCell ref="N72:O72"/>
    <mergeCell ref="M71:O71"/>
    <mergeCell ref="N70:O70"/>
    <mergeCell ref="F72:G72"/>
    <mergeCell ref="I72:K72"/>
    <mergeCell ref="B74:K74"/>
    <mergeCell ref="D76:E76"/>
    <mergeCell ref="F76:F77"/>
    <mergeCell ref="G76:H76"/>
    <mergeCell ref="I76:I77"/>
    <mergeCell ref="J76:K76"/>
    <mergeCell ref="D77:E77"/>
    <mergeCell ref="G77:H77"/>
    <mergeCell ref="J77:K77"/>
    <mergeCell ref="F70:G70"/>
    <mergeCell ref="I70:K70"/>
    <mergeCell ref="F71:G71"/>
    <mergeCell ref="I71:K71"/>
  </mergeCells>
  <pageMargins left="0.25" right="0.25" top="0.5" bottom="0.5" header="0.3" footer="0.3"/>
  <pageSetup scale="90" fitToHeight="0" orientation="portrait" r:id="rId1"/>
  <headerFooter alignWithMargins="0">
    <oddFooter>&amp;C&amp;12&amp;A&amp;R&amp;N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E899C-7AB0-4443-9946-9915287DFFA7}">
  <sheetPr>
    <pageSetUpPr fitToPage="1"/>
  </sheetPr>
  <dimension ref="A1:U88"/>
  <sheetViews>
    <sheetView topLeftCell="A4" zoomScaleNormal="100" workbookViewId="0">
      <selection activeCell="N20" sqref="N20"/>
    </sheetView>
  </sheetViews>
  <sheetFormatPr defaultColWidth="9.1796875" defaultRowHeight="12.5" x14ac:dyDescent="0.25"/>
  <cols>
    <col min="1" max="1" width="3.81640625" style="11" customWidth="1"/>
    <col min="2" max="2" width="22.453125" style="11" customWidth="1"/>
    <col min="3" max="3" width="11.453125" style="11" customWidth="1"/>
    <col min="4" max="4" width="3.81640625" style="11" customWidth="1"/>
    <col min="5" max="5" width="10.453125" style="11" customWidth="1"/>
    <col min="6" max="6" width="3.81640625" style="11" customWidth="1"/>
    <col min="7" max="7" width="13.1796875" style="11" customWidth="1"/>
    <col min="8" max="8" width="3.453125" style="11" customWidth="1"/>
    <col min="9" max="9" width="12.08984375" style="11" customWidth="1"/>
    <col min="10" max="10" width="12.81640625" style="11" customWidth="1"/>
    <col min="11" max="11" width="11.1796875" style="11" customWidth="1"/>
    <col min="12" max="12" width="4.54296875" style="11" customWidth="1"/>
    <col min="13" max="13" width="14.453125" style="11" customWidth="1"/>
    <col min="14" max="14" width="10.453125" style="11" customWidth="1"/>
    <col min="15" max="15" width="4.54296875" style="11" customWidth="1"/>
    <col min="16" max="16" width="14.453125" style="11" customWidth="1"/>
    <col min="17" max="17" width="9.1796875" style="11"/>
    <col min="18" max="18" width="10.453125" style="11" bestFit="1" customWidth="1"/>
    <col min="19" max="16384" width="9.1796875" style="11"/>
  </cols>
  <sheetData>
    <row r="1" spans="1:15" ht="114" customHeight="1" x14ac:dyDescent="0.25">
      <c r="A1" s="495" t="s">
        <v>234</v>
      </c>
      <c r="B1" s="495"/>
      <c r="C1" s="495"/>
      <c r="D1" s="495"/>
      <c r="E1" s="495"/>
      <c r="F1" s="495"/>
      <c r="G1" s="495"/>
      <c r="H1" s="495"/>
      <c r="I1" s="495"/>
      <c r="J1" s="495"/>
      <c r="K1" s="495"/>
      <c r="L1" s="495"/>
      <c r="M1" s="495"/>
      <c r="N1" s="495"/>
      <c r="O1" s="496"/>
    </row>
    <row r="2" spans="1:15" ht="12.65" customHeight="1" x14ac:dyDescent="0.25">
      <c r="A2" s="273"/>
      <c r="B2" s="556"/>
      <c r="C2" s="556"/>
      <c r="D2" s="556"/>
      <c r="E2" s="556"/>
      <c r="F2" s="556"/>
      <c r="G2" s="556"/>
      <c r="H2" s="556"/>
      <c r="I2" s="556"/>
      <c r="J2" s="556"/>
      <c r="K2" s="556"/>
      <c r="L2" s="556"/>
      <c r="M2" s="556"/>
      <c r="N2" s="556"/>
      <c r="O2" s="557"/>
    </row>
    <row r="3" spans="1:15" customFormat="1" ht="28.4" customHeight="1" x14ac:dyDescent="0.25">
      <c r="A3" s="274"/>
      <c r="B3" s="554" t="s">
        <v>34</v>
      </c>
      <c r="C3" s="554"/>
      <c r="D3" s="554"/>
      <c r="E3" s="554"/>
      <c r="F3" s="554"/>
      <c r="G3" s="554"/>
      <c r="H3" s="554"/>
      <c r="I3" s="554"/>
      <c r="J3" s="554"/>
      <c r="K3" s="554"/>
      <c r="L3" s="554"/>
      <c r="M3" s="554"/>
      <c r="N3" s="554"/>
      <c r="O3" s="555"/>
    </row>
    <row r="4" spans="1:15" customFormat="1" ht="24.75" customHeight="1" x14ac:dyDescent="0.3">
      <c r="A4" s="275"/>
      <c r="B4" s="195"/>
      <c r="C4" s="195"/>
      <c r="D4" s="195"/>
      <c r="E4" s="195"/>
      <c r="F4" s="551" t="s">
        <v>55</v>
      </c>
      <c r="G4" s="552"/>
      <c r="H4" s="195"/>
      <c r="I4" s="551" t="s">
        <v>58</v>
      </c>
      <c r="J4" s="552"/>
      <c r="K4" s="195"/>
      <c r="L4" s="425" t="s">
        <v>59</v>
      </c>
      <c r="M4" s="426"/>
      <c r="N4" s="88"/>
      <c r="O4" s="553"/>
    </row>
    <row r="5" spans="1:15" customFormat="1" ht="17.149999999999999" customHeight="1" x14ac:dyDescent="0.3">
      <c r="A5" s="275"/>
      <c r="B5" s="117"/>
      <c r="C5" s="117"/>
      <c r="D5" s="117"/>
      <c r="E5" s="117"/>
      <c r="F5" s="418"/>
      <c r="G5" s="419"/>
      <c r="H5" s="88"/>
      <c r="I5" s="418"/>
      <c r="J5" s="420"/>
      <c r="K5" s="88"/>
      <c r="L5" s="418"/>
      <c r="M5" s="420"/>
      <c r="N5" s="72"/>
      <c r="O5" s="272"/>
    </row>
    <row r="6" spans="1:15" customFormat="1" ht="21" customHeight="1" x14ac:dyDescent="0.3">
      <c r="A6" s="275"/>
      <c r="B6" s="416" t="s">
        <v>80</v>
      </c>
      <c r="C6" s="416"/>
      <c r="D6" s="416"/>
      <c r="E6" s="417"/>
      <c r="F6" s="70"/>
      <c r="G6" s="230"/>
      <c r="H6" s="72"/>
      <c r="I6" s="70"/>
      <c r="J6" s="230"/>
      <c r="K6" s="72"/>
      <c r="L6" s="70"/>
      <c r="M6" s="230"/>
      <c r="N6" s="72"/>
      <c r="O6" s="272"/>
    </row>
    <row r="7" spans="1:15" customFormat="1" ht="21" customHeight="1" x14ac:dyDescent="0.3">
      <c r="A7" s="275"/>
      <c r="B7" s="416" t="s">
        <v>81</v>
      </c>
      <c r="C7" s="416"/>
      <c r="D7" s="416"/>
      <c r="E7" s="417"/>
      <c r="F7" s="70"/>
      <c r="G7" s="230"/>
      <c r="H7" s="72"/>
      <c r="I7" s="70"/>
      <c r="J7" s="230"/>
      <c r="K7" s="72"/>
      <c r="L7" s="70"/>
      <c r="M7" s="230"/>
      <c r="N7" s="72"/>
      <c r="O7" s="272"/>
    </row>
    <row r="8" spans="1:15" customFormat="1" ht="21" customHeight="1" x14ac:dyDescent="0.3">
      <c r="A8" s="275"/>
      <c r="B8" s="416" t="s">
        <v>82</v>
      </c>
      <c r="C8" s="416"/>
      <c r="D8" s="416"/>
      <c r="E8" s="417"/>
      <c r="F8" s="70"/>
      <c r="G8" s="230"/>
      <c r="H8" s="72"/>
      <c r="I8" s="70"/>
      <c r="J8" s="230"/>
      <c r="K8" s="72"/>
      <c r="L8" s="70"/>
      <c r="M8" s="230"/>
      <c r="N8" s="72"/>
      <c r="O8" s="271"/>
    </row>
    <row r="9" spans="1:15" customFormat="1" ht="21" customHeight="1" x14ac:dyDescent="0.3">
      <c r="A9" s="275"/>
      <c r="B9" s="416" t="s">
        <v>83</v>
      </c>
      <c r="C9" s="416"/>
      <c r="D9" s="416"/>
      <c r="E9" s="417"/>
      <c r="F9" s="70"/>
      <c r="G9" s="230"/>
      <c r="H9" s="72"/>
      <c r="I9" s="70"/>
      <c r="J9" s="230"/>
      <c r="K9" s="72"/>
      <c r="L9" s="70"/>
      <c r="M9" s="230"/>
      <c r="N9" s="88"/>
      <c r="O9" s="272"/>
    </row>
    <row r="10" spans="1:15" customFormat="1" ht="21" customHeight="1" x14ac:dyDescent="0.3">
      <c r="A10" s="275"/>
      <c r="B10" s="416" t="s">
        <v>84</v>
      </c>
      <c r="C10" s="416"/>
      <c r="D10" s="416"/>
      <c r="E10" s="416"/>
      <c r="F10" s="70"/>
      <c r="G10" s="231"/>
      <c r="H10" s="72"/>
      <c r="I10" s="70"/>
      <c r="J10" s="231"/>
      <c r="K10" s="72"/>
      <c r="L10" s="70"/>
      <c r="M10" s="231"/>
      <c r="N10" s="72"/>
      <c r="O10" s="272"/>
    </row>
    <row r="11" spans="1:15" customFormat="1" ht="21" customHeight="1" x14ac:dyDescent="0.3">
      <c r="A11" s="275"/>
      <c r="B11" s="416" t="s">
        <v>152</v>
      </c>
      <c r="C11" s="416"/>
      <c r="D11" s="416"/>
      <c r="E11" s="417"/>
      <c r="F11" s="70"/>
      <c r="G11" s="230"/>
      <c r="H11" s="72"/>
      <c r="I11" s="70"/>
      <c r="J11" s="230"/>
      <c r="K11" s="72"/>
      <c r="L11" s="70"/>
      <c r="M11" s="230"/>
      <c r="N11" s="72"/>
      <c r="O11" s="272"/>
    </row>
    <row r="12" spans="1:15" customFormat="1" ht="21" customHeight="1" x14ac:dyDescent="0.3">
      <c r="A12" s="275"/>
      <c r="B12" s="415" t="s">
        <v>85</v>
      </c>
      <c r="C12" s="416"/>
      <c r="D12" s="416"/>
      <c r="E12" s="417"/>
      <c r="F12" s="70"/>
      <c r="G12" s="230"/>
      <c r="H12" s="72"/>
      <c r="I12" s="70"/>
      <c r="J12" s="230"/>
      <c r="K12" s="72"/>
      <c r="L12" s="70"/>
      <c r="M12" s="230"/>
      <c r="N12" s="72"/>
      <c r="O12" s="271"/>
    </row>
    <row r="13" spans="1:15" customFormat="1" ht="21" customHeight="1" x14ac:dyDescent="0.3">
      <c r="A13" s="275"/>
      <c r="B13" s="415" t="s">
        <v>86</v>
      </c>
      <c r="C13" s="416"/>
      <c r="D13" s="416"/>
      <c r="E13" s="417"/>
      <c r="F13" s="70"/>
      <c r="G13" s="230"/>
      <c r="H13" s="72"/>
      <c r="I13" s="70"/>
      <c r="J13" s="230"/>
      <c r="K13" s="72"/>
      <c r="L13" s="70"/>
      <c r="M13" s="230"/>
      <c r="N13" s="88"/>
      <c r="O13" s="272"/>
    </row>
    <row r="14" spans="1:15" customFormat="1" ht="21" customHeight="1" x14ac:dyDescent="0.3">
      <c r="A14" s="275"/>
      <c r="B14" s="415" t="s">
        <v>87</v>
      </c>
      <c r="C14" s="416"/>
      <c r="D14" s="416"/>
      <c r="E14" s="417"/>
      <c r="F14" s="70"/>
      <c r="G14" s="230"/>
      <c r="H14" s="72"/>
      <c r="I14" s="70"/>
      <c r="J14" s="230"/>
      <c r="K14" s="72"/>
      <c r="L14" s="70"/>
      <c r="M14" s="230"/>
      <c r="N14" s="72"/>
      <c r="O14" s="272"/>
    </row>
    <row r="15" spans="1:15" customFormat="1" ht="21" customHeight="1" x14ac:dyDescent="0.3">
      <c r="A15" s="275"/>
      <c r="B15" s="415" t="s">
        <v>88</v>
      </c>
      <c r="C15" s="416"/>
      <c r="D15" s="416"/>
      <c r="E15" s="417"/>
      <c r="F15" s="70"/>
      <c r="G15" s="230"/>
      <c r="H15" s="72"/>
      <c r="I15" s="70"/>
      <c r="J15" s="230"/>
      <c r="K15" s="72"/>
      <c r="L15" s="70"/>
      <c r="M15" s="230"/>
      <c r="N15" s="72"/>
      <c r="O15" s="272"/>
    </row>
    <row r="16" spans="1:15" customFormat="1" ht="21" customHeight="1" x14ac:dyDescent="0.3">
      <c r="A16" s="275"/>
      <c r="B16" s="415" t="s">
        <v>89</v>
      </c>
      <c r="C16" s="416"/>
      <c r="D16" s="416"/>
      <c r="E16" s="417"/>
      <c r="F16" s="70"/>
      <c r="G16" s="230"/>
      <c r="H16" s="72"/>
      <c r="I16" s="70"/>
      <c r="J16" s="230"/>
      <c r="K16" s="72"/>
      <c r="L16" s="70"/>
      <c r="M16" s="230"/>
      <c r="N16" s="72"/>
      <c r="O16" s="271"/>
    </row>
    <row r="17" spans="1:21" customFormat="1" ht="21" customHeight="1" x14ac:dyDescent="0.3">
      <c r="A17" s="275"/>
      <c r="B17" s="415" t="s">
        <v>153</v>
      </c>
      <c r="C17" s="416"/>
      <c r="D17" s="416"/>
      <c r="E17" s="417"/>
      <c r="F17" s="70"/>
      <c r="G17" s="230"/>
      <c r="H17" s="72"/>
      <c r="I17" s="70"/>
      <c r="J17" s="230"/>
      <c r="K17" s="14"/>
      <c r="L17" s="70"/>
      <c r="M17" s="230"/>
      <c r="N17" s="88"/>
      <c r="O17" s="272"/>
    </row>
    <row r="18" spans="1:21" customFormat="1" ht="29.15" customHeight="1" x14ac:dyDescent="0.3">
      <c r="A18" s="130"/>
      <c r="B18" s="118"/>
      <c r="C18" s="118"/>
      <c r="D18" s="118"/>
      <c r="E18" s="118"/>
      <c r="F18" s="116" t="s">
        <v>3</v>
      </c>
      <c r="G18" s="234">
        <f>SUM(G6:G17)</f>
        <v>0</v>
      </c>
      <c r="H18" s="76"/>
      <c r="I18" s="116" t="s">
        <v>4</v>
      </c>
      <c r="J18" s="233">
        <f>SUM(J6:J17)</f>
        <v>0</v>
      </c>
      <c r="K18" s="72"/>
      <c r="L18" s="29" t="s">
        <v>5</v>
      </c>
      <c r="M18" s="232">
        <f>SUM(M6:M17)</f>
        <v>0</v>
      </c>
      <c r="N18" s="72"/>
      <c r="O18" s="272"/>
    </row>
    <row r="19" spans="1:21" ht="14" x14ac:dyDescent="0.3">
      <c r="A19" s="83"/>
      <c r="B19" s="80"/>
      <c r="C19" s="80"/>
      <c r="D19" s="80"/>
      <c r="E19" s="80"/>
      <c r="F19" s="80"/>
      <c r="G19" s="80"/>
      <c r="H19" s="80"/>
      <c r="I19" s="80"/>
      <c r="J19" s="80"/>
      <c r="K19" s="80"/>
      <c r="L19" s="80"/>
      <c r="M19" s="80"/>
      <c r="N19" s="72"/>
      <c r="O19" s="272"/>
      <c r="U19" s="14"/>
    </row>
    <row r="20" spans="1:21" ht="24.75" customHeight="1" x14ac:dyDescent="0.35">
      <c r="A20" s="497" t="s">
        <v>185</v>
      </c>
      <c r="B20" s="498"/>
      <c r="C20" s="498"/>
      <c r="D20" s="498"/>
      <c r="E20" s="498"/>
      <c r="F20" s="498"/>
      <c r="G20" s="498"/>
      <c r="H20" s="499"/>
      <c r="I20" s="116" t="s">
        <v>143</v>
      </c>
      <c r="J20" s="235">
        <f>G18+J18+M18</f>
        <v>0</v>
      </c>
      <c r="K20" s="14"/>
      <c r="L20" s="29" t="s">
        <v>119</v>
      </c>
      <c r="M20" s="236">
        <f>SUM(G18-G11-G17)+(J18-J11-J17)+(M18-M11-M17)</f>
        <v>0</v>
      </c>
      <c r="N20" s="72"/>
      <c r="O20" s="271"/>
    </row>
    <row r="21" spans="1:21" ht="14" x14ac:dyDescent="0.3">
      <c r="A21" s="15"/>
      <c r="B21" s="14"/>
      <c r="C21" s="14"/>
      <c r="D21" s="14"/>
      <c r="E21" s="14"/>
      <c r="F21" s="14"/>
      <c r="G21" s="14"/>
      <c r="H21" s="14"/>
      <c r="I21" s="430" t="s">
        <v>42</v>
      </c>
      <c r="J21" s="431"/>
      <c r="K21" s="80"/>
      <c r="L21" s="428" t="s">
        <v>144</v>
      </c>
      <c r="M21" s="429"/>
      <c r="N21" s="21"/>
      <c r="O21" s="272"/>
    </row>
    <row r="22" spans="1:21" ht="14" x14ac:dyDescent="0.3">
      <c r="A22" s="15"/>
      <c r="B22" s="14"/>
      <c r="C22" s="14"/>
      <c r="D22" s="14"/>
      <c r="E22" s="14"/>
      <c r="F22" s="14"/>
      <c r="G22" s="14"/>
      <c r="H22" s="14"/>
      <c r="I22" s="287"/>
      <c r="J22" s="288"/>
      <c r="K22" s="80"/>
      <c r="L22" s="289"/>
      <c r="M22" s="290"/>
      <c r="N22" s="21"/>
      <c r="O22" s="272"/>
    </row>
    <row r="23" spans="1:21" ht="14" x14ac:dyDescent="0.3">
      <c r="A23" s="273"/>
      <c r="B23" s="224"/>
      <c r="C23" s="224"/>
      <c r="D23" s="224"/>
      <c r="E23" s="224"/>
      <c r="F23" s="224"/>
      <c r="G23" s="224"/>
      <c r="H23" s="224"/>
      <c r="I23" s="224"/>
      <c r="J23" s="224"/>
      <c r="K23" s="224"/>
      <c r="L23" s="224"/>
      <c r="M23" s="224"/>
      <c r="N23" s="285"/>
      <c r="O23" s="272"/>
    </row>
    <row r="24" spans="1:21" ht="15.5" x14ac:dyDescent="0.25">
      <c r="A24" s="76"/>
      <c r="B24" s="393" t="s">
        <v>46</v>
      </c>
      <c r="C24" s="393"/>
      <c r="D24" s="393"/>
      <c r="E24" s="393"/>
      <c r="F24" s="393"/>
      <c r="G24" s="393"/>
      <c r="H24" s="393"/>
      <c r="I24" s="393"/>
      <c r="J24" s="393"/>
      <c r="K24" s="393"/>
      <c r="L24" s="393"/>
      <c r="M24" s="393"/>
      <c r="N24" s="394"/>
      <c r="O24" s="271"/>
    </row>
    <row r="25" spans="1:21" ht="14" x14ac:dyDescent="0.3">
      <c r="A25" s="276"/>
      <c r="B25" s="397"/>
      <c r="C25" s="397"/>
      <c r="D25" s="397"/>
      <c r="E25" s="397"/>
      <c r="F25" s="397"/>
      <c r="G25" s="397"/>
      <c r="H25" s="397"/>
      <c r="I25" s="397"/>
      <c r="J25" s="397"/>
      <c r="K25" s="397"/>
      <c r="L25" s="397"/>
      <c r="M25" s="397"/>
      <c r="N25" s="398"/>
      <c r="O25" s="272"/>
    </row>
    <row r="26" spans="1:21" ht="14" x14ac:dyDescent="0.3">
      <c r="A26" s="277"/>
      <c r="B26" s="411" t="s">
        <v>141</v>
      </c>
      <c r="C26" s="411"/>
      <c r="D26" s="411"/>
      <c r="E26" s="411"/>
      <c r="F26" s="411"/>
      <c r="G26" s="411"/>
      <c r="H26" s="411"/>
      <c r="I26" s="411"/>
      <c r="J26" s="411"/>
      <c r="K26" s="411"/>
      <c r="L26" s="411"/>
      <c r="M26" s="411"/>
      <c r="N26" s="412"/>
      <c r="O26" s="272"/>
    </row>
    <row r="27" spans="1:21" ht="14" x14ac:dyDescent="0.3">
      <c r="A27" s="277"/>
      <c r="B27" s="399" t="s">
        <v>33</v>
      </c>
      <c r="C27" s="400"/>
      <c r="D27" s="400"/>
      <c r="E27" s="400"/>
      <c r="F27" s="400"/>
      <c r="G27" s="400"/>
      <c r="H27" s="400"/>
      <c r="I27" s="400"/>
      <c r="J27" s="400"/>
      <c r="K27" s="400"/>
      <c r="L27" s="400"/>
      <c r="M27" s="84"/>
      <c r="N27" s="61">
        <f>'Wages, Taxes and Workers'' Comp'!E6</f>
        <v>0</v>
      </c>
      <c r="O27" s="272"/>
    </row>
    <row r="28" spans="1:21" ht="14" x14ac:dyDescent="0.25">
      <c r="A28" s="276"/>
      <c r="B28" s="400" t="s">
        <v>32</v>
      </c>
      <c r="C28" s="400"/>
      <c r="D28" s="400"/>
      <c r="E28" s="400"/>
      <c r="F28" s="400"/>
      <c r="G28" s="400"/>
      <c r="H28" s="400"/>
      <c r="I28" s="400"/>
      <c r="J28" s="400"/>
      <c r="K28" s="400"/>
      <c r="L28" s="400"/>
      <c r="M28" s="84"/>
      <c r="N28" s="25"/>
      <c r="O28" s="271"/>
    </row>
    <row r="29" spans="1:21" ht="14" x14ac:dyDescent="0.3">
      <c r="A29" s="276"/>
      <c r="B29" s="400" t="s">
        <v>31</v>
      </c>
      <c r="C29" s="400"/>
      <c r="D29" s="400"/>
      <c r="E29" s="400"/>
      <c r="F29" s="400"/>
      <c r="G29" s="400"/>
      <c r="H29" s="400"/>
      <c r="I29" s="400"/>
      <c r="J29" s="400"/>
      <c r="K29" s="400"/>
      <c r="L29" s="400"/>
      <c r="M29" s="84"/>
      <c r="N29" s="28"/>
      <c r="O29" s="272"/>
    </row>
    <row r="30" spans="1:21" ht="14" x14ac:dyDescent="0.3">
      <c r="A30" s="276"/>
      <c r="B30" s="400" t="s">
        <v>30</v>
      </c>
      <c r="C30" s="400"/>
      <c r="D30" s="400"/>
      <c r="E30" s="400"/>
      <c r="F30" s="400"/>
      <c r="G30" s="400"/>
      <c r="H30" s="400"/>
      <c r="I30" s="400"/>
      <c r="J30" s="400"/>
      <c r="K30" s="400"/>
      <c r="L30" s="400"/>
      <c r="M30" s="84"/>
      <c r="N30" s="28"/>
      <c r="O30" s="272"/>
    </row>
    <row r="31" spans="1:21" ht="14" x14ac:dyDescent="0.3">
      <c r="A31" s="276"/>
      <c r="B31" s="402" t="s">
        <v>169</v>
      </c>
      <c r="C31" s="402"/>
      <c r="D31" s="402"/>
      <c r="E31" s="402"/>
      <c r="F31" s="402"/>
      <c r="G31" s="402"/>
      <c r="H31" s="402"/>
      <c r="I31" s="402"/>
      <c r="J31" s="402"/>
      <c r="K31" s="402"/>
      <c r="L31" s="402"/>
      <c r="M31" s="156"/>
      <c r="N31" s="161">
        <f>IFERROR('Wages, Taxes and Workers'' Comp'!E19*('Wages, Taxes and Workers'' Comp'!E6/'Wages, Taxes and Workers'' Comp'!E12),0)</f>
        <v>0</v>
      </c>
      <c r="O31" s="272"/>
    </row>
    <row r="32" spans="1:21" ht="14" x14ac:dyDescent="0.3">
      <c r="A32" s="276"/>
      <c r="B32" s="476" t="s">
        <v>123</v>
      </c>
      <c r="C32" s="477"/>
      <c r="D32" s="477"/>
      <c r="E32" s="477"/>
      <c r="F32" s="477"/>
      <c r="G32" s="477"/>
      <c r="H32" s="477"/>
      <c r="I32" s="477"/>
      <c r="J32" s="477"/>
      <c r="K32" s="477"/>
      <c r="L32" s="478"/>
      <c r="M32" s="479"/>
      <c r="N32" s="161">
        <f>SUM(N27:N31)</f>
        <v>0</v>
      </c>
      <c r="O32" s="271"/>
    </row>
    <row r="33" spans="1:15" ht="14" x14ac:dyDescent="0.3">
      <c r="A33" s="278"/>
      <c r="B33" s="257"/>
      <c r="C33" s="257"/>
      <c r="D33" s="257"/>
      <c r="E33" s="257"/>
      <c r="F33" s="257"/>
      <c r="G33" s="257"/>
      <c r="H33" s="257"/>
      <c r="I33" s="257"/>
      <c r="J33" s="257"/>
      <c r="K33" s="257"/>
      <c r="L33" s="257"/>
      <c r="M33" s="156"/>
      <c r="N33" s="159"/>
      <c r="O33" s="272"/>
    </row>
    <row r="34" spans="1:15" ht="14" x14ac:dyDescent="0.3">
      <c r="A34" s="278"/>
      <c r="B34" s="256"/>
      <c r="C34" s="256"/>
      <c r="D34" s="256"/>
      <c r="E34" s="256"/>
      <c r="F34" s="256"/>
      <c r="G34" s="256"/>
      <c r="H34" s="256"/>
      <c r="I34" s="256"/>
      <c r="J34" s="256"/>
      <c r="K34" s="256"/>
      <c r="L34" s="256"/>
      <c r="M34" s="157"/>
      <c r="N34" s="159"/>
      <c r="O34" s="272"/>
    </row>
    <row r="35" spans="1:15" ht="15.5" x14ac:dyDescent="0.35">
      <c r="A35" s="291"/>
      <c r="B35" s="480" t="s">
        <v>118</v>
      </c>
      <c r="C35" s="480"/>
      <c r="D35" s="480"/>
      <c r="E35" s="480"/>
      <c r="F35" s="480"/>
      <c r="G35" s="480"/>
      <c r="H35" s="480"/>
      <c r="I35" s="480"/>
      <c r="J35" s="480"/>
      <c r="K35" s="480"/>
      <c r="L35" s="481"/>
      <c r="M35" s="142" t="s">
        <v>218</v>
      </c>
      <c r="N35" s="23">
        <f>ROUND(SUM(N32),0)</f>
        <v>0</v>
      </c>
      <c r="O35" s="272"/>
    </row>
    <row r="36" spans="1:15" ht="15.5" x14ac:dyDescent="0.35">
      <c r="A36" s="278"/>
      <c r="B36" s="143"/>
      <c r="C36" s="143"/>
      <c r="D36" s="143"/>
      <c r="E36" s="143"/>
      <c r="F36" s="143"/>
      <c r="G36" s="143"/>
      <c r="H36" s="143"/>
      <c r="I36" s="143"/>
      <c r="J36" s="143"/>
      <c r="K36" s="143"/>
      <c r="L36" s="26"/>
      <c r="M36" s="112"/>
      <c r="N36" s="112"/>
      <c r="O36" s="271"/>
    </row>
    <row r="37" spans="1:15" ht="15.5" x14ac:dyDescent="0.3">
      <c r="A37" s="278"/>
      <c r="B37" s="392" t="s">
        <v>29</v>
      </c>
      <c r="C37" s="393"/>
      <c r="D37" s="393"/>
      <c r="E37" s="393"/>
      <c r="F37" s="393"/>
      <c r="G37" s="393"/>
      <c r="H37" s="393"/>
      <c r="I37" s="393"/>
      <c r="J37" s="393"/>
      <c r="K37" s="394"/>
      <c r="L37" s="112"/>
      <c r="M37" s="112"/>
      <c r="N37" s="112"/>
      <c r="O37" s="272"/>
    </row>
    <row r="38" spans="1:15" ht="2.15" customHeight="1" x14ac:dyDescent="0.3">
      <c r="A38" s="278"/>
      <c r="B38" s="482"/>
      <c r="C38" s="483"/>
      <c r="D38" s="483"/>
      <c r="E38" s="483"/>
      <c r="F38" s="483"/>
      <c r="G38" s="483"/>
      <c r="H38" s="483"/>
      <c r="I38" s="483"/>
      <c r="J38" s="483"/>
      <c r="K38" s="484"/>
      <c r="L38" s="112"/>
      <c r="M38" s="112"/>
      <c r="N38" s="112"/>
      <c r="O38" s="272"/>
    </row>
    <row r="39" spans="1:15" ht="52.5" customHeight="1" x14ac:dyDescent="0.35">
      <c r="A39" s="278"/>
      <c r="B39" s="485"/>
      <c r="C39" s="486"/>
      <c r="D39" s="487" t="s">
        <v>28</v>
      </c>
      <c r="E39" s="487"/>
      <c r="F39" s="144"/>
      <c r="G39" s="488" t="s">
        <v>120</v>
      </c>
      <c r="H39" s="488"/>
      <c r="I39" s="144"/>
      <c r="J39" s="489"/>
      <c r="K39" s="490"/>
      <c r="L39" s="112"/>
      <c r="M39" s="112"/>
      <c r="N39" s="112"/>
      <c r="O39" s="271"/>
    </row>
    <row r="40" spans="1:15" ht="14" x14ac:dyDescent="0.3">
      <c r="A40" s="278"/>
      <c r="B40" s="491" t="s">
        <v>27</v>
      </c>
      <c r="C40" s="492"/>
      <c r="D40" s="493">
        <f>N35</f>
        <v>0</v>
      </c>
      <c r="E40" s="494"/>
      <c r="F40" s="145" t="s">
        <v>10</v>
      </c>
      <c r="G40" s="434">
        <f>J20</f>
        <v>0</v>
      </c>
      <c r="H40" s="436"/>
      <c r="I40" s="91" t="s">
        <v>11</v>
      </c>
      <c r="J40" s="337">
        <f>IF(D40&gt;0,ROUND(D40/G40,2),)</f>
        <v>0</v>
      </c>
      <c r="K40" s="339"/>
      <c r="L40" s="112"/>
      <c r="M40" s="112"/>
      <c r="N40" s="112"/>
      <c r="O40" s="272"/>
    </row>
    <row r="41" spans="1:15" ht="31.5" customHeight="1" x14ac:dyDescent="0.3">
      <c r="A41" s="278"/>
      <c r="B41" s="470"/>
      <c r="C41" s="471"/>
      <c r="D41" s="472" t="s">
        <v>147</v>
      </c>
      <c r="E41" s="473"/>
      <c r="F41" s="146"/>
      <c r="G41" s="474" t="s">
        <v>219</v>
      </c>
      <c r="H41" s="475"/>
      <c r="I41" s="146"/>
      <c r="J41" s="19" t="s">
        <v>6</v>
      </c>
      <c r="K41" s="247" t="s">
        <v>164</v>
      </c>
      <c r="L41" s="112"/>
      <c r="M41" s="112"/>
      <c r="N41" s="112"/>
      <c r="O41" s="272"/>
    </row>
    <row r="42" spans="1:15" ht="14" x14ac:dyDescent="0.3">
      <c r="A42" s="208"/>
      <c r="B42" s="210"/>
      <c r="C42" s="210"/>
      <c r="D42" s="210"/>
      <c r="E42" s="210"/>
      <c r="F42" s="210"/>
      <c r="G42" s="210"/>
      <c r="H42" s="210"/>
      <c r="I42" s="210"/>
      <c r="J42" s="210"/>
      <c r="K42" s="210"/>
      <c r="L42" s="279"/>
      <c r="M42" s="280"/>
      <c r="N42" s="280"/>
      <c r="O42" s="304"/>
    </row>
    <row r="43" spans="1:15" ht="27.65" customHeight="1" thickBot="1" x14ac:dyDescent="0.3">
      <c r="A43" s="80"/>
      <c r="B43" s="392" t="s">
        <v>26</v>
      </c>
      <c r="C43" s="393"/>
      <c r="D43" s="393"/>
      <c r="E43" s="393"/>
      <c r="F43" s="393"/>
      <c r="G43" s="393"/>
      <c r="H43" s="393"/>
      <c r="I43" s="393"/>
      <c r="J43" s="393"/>
      <c r="K43" s="393"/>
      <c r="L43" s="393"/>
      <c r="M43" s="393"/>
      <c r="N43" s="393"/>
      <c r="O43" s="394"/>
    </row>
    <row r="44" spans="1:15" ht="13" customHeight="1" x14ac:dyDescent="0.3">
      <c r="A44" s="80"/>
      <c r="B44" s="87"/>
      <c r="C44" s="389" t="s">
        <v>137</v>
      </c>
      <c r="D44" s="390"/>
      <c r="E44" s="391"/>
      <c r="F44" s="80"/>
      <c r="G44" s="389" t="s">
        <v>138</v>
      </c>
      <c r="H44" s="390"/>
      <c r="I44" s="391"/>
      <c r="J44" s="88"/>
      <c r="K44" s="389" t="s">
        <v>139</v>
      </c>
      <c r="L44" s="390"/>
      <c r="M44" s="391"/>
      <c r="O44" s="89"/>
    </row>
    <row r="45" spans="1:15" ht="15.5" x14ac:dyDescent="0.35">
      <c r="A45" s="80"/>
      <c r="B45" s="33"/>
      <c r="C45" s="382"/>
      <c r="D45" s="383"/>
      <c r="E45" s="384"/>
      <c r="F45" s="88"/>
      <c r="G45" s="382"/>
      <c r="H45" s="383"/>
      <c r="I45" s="384"/>
      <c r="J45" s="81"/>
      <c r="K45" s="573"/>
      <c r="L45" s="574"/>
      <c r="M45" s="575"/>
      <c r="N45" s="82"/>
      <c r="O45" s="20"/>
    </row>
    <row r="46" spans="1:15" ht="26.5" thickBot="1" x14ac:dyDescent="0.4">
      <c r="A46" s="80"/>
      <c r="B46" s="155" t="s">
        <v>72</v>
      </c>
      <c r="C46" s="467">
        <v>0</v>
      </c>
      <c r="D46" s="468"/>
      <c r="E46" s="469"/>
      <c r="F46" s="80"/>
      <c r="G46" s="467">
        <v>0</v>
      </c>
      <c r="H46" s="468"/>
      <c r="I46" s="469"/>
      <c r="J46" s="14"/>
      <c r="K46" s="467">
        <v>0</v>
      </c>
      <c r="L46" s="468"/>
      <c r="M46" s="469"/>
      <c r="N46" s="82"/>
      <c r="O46" s="89"/>
    </row>
    <row r="47" spans="1:15" x14ac:dyDescent="0.25">
      <c r="A47" s="80"/>
      <c r="B47" s="83"/>
      <c r="C47" s="80"/>
      <c r="D47" s="80"/>
      <c r="E47" s="80"/>
      <c r="F47" s="80"/>
      <c r="G47" s="80"/>
      <c r="H47" s="80"/>
      <c r="I47" s="80"/>
      <c r="J47" s="80"/>
      <c r="K47" s="80"/>
      <c r="L47" s="80"/>
      <c r="M47" s="80"/>
      <c r="N47" s="80"/>
      <c r="O47" s="94"/>
    </row>
    <row r="48" spans="1:15" ht="41.5" customHeight="1" x14ac:dyDescent="0.35">
      <c r="A48" s="82"/>
      <c r="B48" s="263"/>
      <c r="C48" s="260" t="s">
        <v>73</v>
      </c>
      <c r="D48" s="81"/>
      <c r="E48" s="260" t="s">
        <v>74</v>
      </c>
      <c r="F48" s="81"/>
      <c r="G48" s="260" t="s">
        <v>62</v>
      </c>
      <c r="H48" s="80"/>
      <c r="I48" s="260" t="s">
        <v>75</v>
      </c>
      <c r="J48" s="81"/>
      <c r="K48" s="260" t="s">
        <v>62</v>
      </c>
      <c r="L48" s="80"/>
      <c r="M48" s="308" t="s">
        <v>76</v>
      </c>
      <c r="N48" s="82"/>
      <c r="O48" s="13"/>
    </row>
    <row r="49" spans="1:15" ht="15.5" x14ac:dyDescent="0.35">
      <c r="A49" s="82"/>
      <c r="B49" s="263"/>
      <c r="C49" s="44" t="s">
        <v>112</v>
      </c>
      <c r="D49" s="81"/>
      <c r="E49" s="44" t="s">
        <v>56</v>
      </c>
      <c r="F49" s="81"/>
      <c r="G49" s="44" t="s">
        <v>113</v>
      </c>
      <c r="H49" s="80"/>
      <c r="I49" s="44" t="s">
        <v>60</v>
      </c>
      <c r="J49" s="81"/>
      <c r="K49" s="44" t="s">
        <v>114</v>
      </c>
      <c r="L49" s="80"/>
      <c r="M49" s="44" t="s">
        <v>61</v>
      </c>
      <c r="N49" s="547"/>
      <c r="O49" s="89"/>
    </row>
    <row r="50" spans="1:15" ht="15.5" x14ac:dyDescent="0.35">
      <c r="A50" s="82"/>
      <c r="B50" s="263"/>
      <c r="C50" s="39"/>
      <c r="D50" s="81"/>
      <c r="E50" s="39"/>
      <c r="F50" s="81"/>
      <c r="G50" s="39"/>
      <c r="H50" s="80"/>
      <c r="I50" s="39"/>
      <c r="J50" s="81"/>
      <c r="K50" s="39"/>
      <c r="L50" s="80"/>
      <c r="M50" s="123"/>
      <c r="N50" s="123"/>
      <c r="O50" s="89"/>
    </row>
    <row r="51" spans="1:15" ht="15.5" x14ac:dyDescent="0.35">
      <c r="A51" s="82"/>
      <c r="B51" s="127" t="s">
        <v>57</v>
      </c>
      <c r="C51" s="254">
        <f>G6+G12</f>
        <v>0</v>
      </c>
      <c r="D51" s="126" t="s">
        <v>20</v>
      </c>
      <c r="E51" s="259">
        <f>VLOOKUP(C46,'SL RSS Rates'!A$5:T$30,2,FALSE)</f>
        <v>62.44</v>
      </c>
      <c r="F51" s="122" t="s">
        <v>12</v>
      </c>
      <c r="G51" s="254">
        <f>J6+J12</f>
        <v>0</v>
      </c>
      <c r="H51" s="91" t="s">
        <v>20</v>
      </c>
      <c r="I51" s="259">
        <f>VLOOKUP(G46,'SL RSS Rates'!A$5:T$30,9,FALSE)</f>
        <v>66.5</v>
      </c>
      <c r="J51" s="91" t="s">
        <v>12</v>
      </c>
      <c r="K51" s="254">
        <f>M6+M12</f>
        <v>0</v>
      </c>
      <c r="L51" s="91" t="s">
        <v>20</v>
      </c>
      <c r="M51" s="309">
        <f>VLOOKUP(K46,'SL RSS Rates'!A5:AA51,16,FALSE)</f>
        <v>66.5</v>
      </c>
      <c r="N51" s="548"/>
      <c r="O51" s="95"/>
    </row>
    <row r="52" spans="1:15" ht="14" x14ac:dyDescent="0.3">
      <c r="A52" s="82"/>
      <c r="B52" s="107"/>
      <c r="C52" s="65"/>
      <c r="D52" s="100"/>
      <c r="E52" s="66"/>
      <c r="F52" s="102"/>
      <c r="G52" s="65"/>
      <c r="H52" s="91"/>
      <c r="I52" s="65"/>
      <c r="J52" s="98"/>
      <c r="K52" s="65"/>
      <c r="L52" s="91"/>
      <c r="M52" s="102"/>
      <c r="N52" s="102"/>
      <c r="O52" s="89"/>
    </row>
    <row r="53" spans="1:15" ht="15.5" x14ac:dyDescent="0.35">
      <c r="A53" s="82"/>
      <c r="B53" s="107" t="s">
        <v>53</v>
      </c>
      <c r="C53" s="254">
        <f>G7+G13</f>
        <v>0</v>
      </c>
      <c r="D53" s="126" t="s">
        <v>20</v>
      </c>
      <c r="E53" s="259">
        <f>VLOOKUP(C46,'SL RSS Rates'!A$5:T$30,3,FALSE)</f>
        <v>69.680000000000007</v>
      </c>
      <c r="F53" s="122" t="s">
        <v>12</v>
      </c>
      <c r="G53" s="254">
        <f>J7+J13</f>
        <v>0</v>
      </c>
      <c r="H53" s="91" t="s">
        <v>20</v>
      </c>
      <c r="I53" s="259">
        <f>VLOOKUP(G46,'SL RSS Rates'!A$5:T$30,10,FALSE)</f>
        <v>74.210000000000008</v>
      </c>
      <c r="J53" s="91" t="s">
        <v>12</v>
      </c>
      <c r="K53" s="254">
        <f>M7+M13</f>
        <v>0</v>
      </c>
      <c r="L53" s="91" t="s">
        <v>20</v>
      </c>
      <c r="M53" s="306">
        <f>VLOOKUP(K46,'SL RSS Rates'!A5:AA51,17,FALSE)</f>
        <v>74.210000000000008</v>
      </c>
      <c r="N53" s="549"/>
      <c r="O53" s="95"/>
    </row>
    <row r="54" spans="1:15" ht="20" x14ac:dyDescent="0.4">
      <c r="A54" s="82"/>
      <c r="B54" s="107"/>
      <c r="C54" s="66"/>
      <c r="D54" s="96"/>
      <c r="E54" s="66"/>
      <c r="F54" s="102"/>
      <c r="G54" s="66"/>
      <c r="H54" s="91"/>
      <c r="I54" s="67"/>
      <c r="J54" s="92"/>
      <c r="K54" s="66"/>
      <c r="L54" s="91"/>
      <c r="M54" s="102"/>
      <c r="N54" s="102"/>
      <c r="O54" s="284"/>
    </row>
    <row r="55" spans="1:15" ht="15.5" x14ac:dyDescent="0.35">
      <c r="A55" s="82"/>
      <c r="B55" s="127" t="s">
        <v>63</v>
      </c>
      <c r="C55" s="254">
        <f>G8+G14</f>
        <v>0</v>
      </c>
      <c r="D55" s="126" t="s">
        <v>20</v>
      </c>
      <c r="E55" s="259">
        <f>VLOOKUP(C46,'SL RSS Rates'!A$5:T$30,4,FALSE)</f>
        <v>80.260000000000005</v>
      </c>
      <c r="F55" s="122" t="s">
        <v>12</v>
      </c>
      <c r="G55" s="254">
        <f>J8+J14</f>
        <v>0</v>
      </c>
      <c r="H55" s="91" t="s">
        <v>20</v>
      </c>
      <c r="I55" s="259">
        <f>VLOOKUP(G46,'SL RSS Rates'!A$5:T$30,11,FALSE)</f>
        <v>85.48</v>
      </c>
      <c r="J55" s="91" t="s">
        <v>12</v>
      </c>
      <c r="K55" s="254">
        <f>M8+M14</f>
        <v>0</v>
      </c>
      <c r="L55" s="91" t="s">
        <v>20</v>
      </c>
      <c r="M55" s="306">
        <f>VLOOKUP(K46,'SL RSS Rates'!A5:AA51,18,FALSE)</f>
        <v>85.48</v>
      </c>
      <c r="N55" s="550"/>
      <c r="O55" s="95"/>
    </row>
    <row r="56" spans="1:15" ht="20" x14ac:dyDescent="0.4">
      <c r="A56" s="82"/>
      <c r="B56" s="107"/>
      <c r="C56" s="66"/>
      <c r="D56" s="96"/>
      <c r="E56" s="66"/>
      <c r="F56" s="98"/>
      <c r="G56" s="66"/>
      <c r="H56" s="91"/>
      <c r="I56" s="68"/>
      <c r="J56" s="92"/>
      <c r="K56" s="66"/>
      <c r="L56" s="91"/>
      <c r="M56" s="102"/>
      <c r="N56" s="102"/>
      <c r="O56" s="284"/>
    </row>
    <row r="57" spans="1:15" ht="15.5" x14ac:dyDescent="0.35">
      <c r="A57" s="82"/>
      <c r="B57" s="127" t="s">
        <v>64</v>
      </c>
      <c r="C57" s="254">
        <f>G9+G15</f>
        <v>0</v>
      </c>
      <c r="D57" s="126" t="s">
        <v>20</v>
      </c>
      <c r="E57" s="259">
        <f>VLOOKUP(C46,'SL RSS Rates'!A$5:T$30,5,FALSE)</f>
        <v>98.31</v>
      </c>
      <c r="F57" s="122" t="s">
        <v>12</v>
      </c>
      <c r="G57" s="254">
        <f>J9+J15</f>
        <v>0</v>
      </c>
      <c r="H57" s="91" t="s">
        <v>20</v>
      </c>
      <c r="I57" s="259">
        <f>VLOOKUP(G46,'SL RSS Rates'!A$5:T$30,12,FALSE)</f>
        <v>104.35000000000001</v>
      </c>
      <c r="J57" s="91" t="s">
        <v>12</v>
      </c>
      <c r="K57" s="254">
        <f>M9+M15</f>
        <v>0</v>
      </c>
      <c r="L57" s="91" t="s">
        <v>20</v>
      </c>
      <c r="M57" s="306">
        <f>VLOOKUP(K46,'SL RSS Rates'!A5:AA51,19,FALSE)</f>
        <v>104.35000000000001</v>
      </c>
      <c r="N57" s="550"/>
      <c r="O57" s="95"/>
    </row>
    <row r="58" spans="1:15" ht="14" x14ac:dyDescent="0.3">
      <c r="A58" s="82"/>
      <c r="B58" s="107"/>
      <c r="C58" s="66"/>
      <c r="D58" s="96"/>
      <c r="E58" s="66"/>
      <c r="F58" s="98"/>
      <c r="G58" s="66"/>
      <c r="H58" s="91"/>
      <c r="I58" s="68"/>
      <c r="J58" s="92"/>
      <c r="K58" s="66"/>
      <c r="L58" s="91"/>
      <c r="M58" s="102"/>
      <c r="N58" s="102"/>
      <c r="O58" s="89"/>
    </row>
    <row r="59" spans="1:15" ht="15.5" x14ac:dyDescent="0.35">
      <c r="A59" s="82"/>
      <c r="B59" s="127" t="s">
        <v>65</v>
      </c>
      <c r="C59" s="254">
        <f>G10+G16</f>
        <v>0</v>
      </c>
      <c r="D59" s="126" t="s">
        <v>20</v>
      </c>
      <c r="E59" s="259">
        <f>VLOOKUP(C46,'SL RSS Rates'!A$5:T$30,6,FALSE)</f>
        <v>171.65</v>
      </c>
      <c r="F59" s="122" t="s">
        <v>12</v>
      </c>
      <c r="G59" s="254">
        <f>J10+J16</f>
        <v>0</v>
      </c>
      <c r="H59" s="91" t="s">
        <v>20</v>
      </c>
      <c r="I59" s="259">
        <f>VLOOKUP(G46,'SL RSS Rates'!A$5:T$30,13,FALSE)</f>
        <v>180.1</v>
      </c>
      <c r="J59" s="91" t="s">
        <v>12</v>
      </c>
      <c r="K59" s="254">
        <f>M10+M16</f>
        <v>0</v>
      </c>
      <c r="L59" s="91" t="s">
        <v>20</v>
      </c>
      <c r="M59" s="306">
        <f>VLOOKUP(K46,'SL RSS Rates'!A5:AA51,20,FALSE)</f>
        <v>180.1</v>
      </c>
      <c r="N59" s="550"/>
      <c r="O59" s="95"/>
    </row>
    <row r="60" spans="1:15" ht="14" x14ac:dyDescent="0.3">
      <c r="A60" s="82"/>
      <c r="B60" s="107"/>
      <c r="C60" s="66"/>
      <c r="D60" s="96"/>
      <c r="E60" s="66"/>
      <c r="F60" s="98"/>
      <c r="G60" s="66"/>
      <c r="H60" s="91"/>
      <c r="I60" s="68"/>
      <c r="J60" s="92"/>
      <c r="K60" s="66"/>
      <c r="L60" s="91"/>
      <c r="M60" s="102"/>
      <c r="N60" s="102"/>
      <c r="O60" s="89"/>
    </row>
    <row r="61" spans="1:15" ht="14" x14ac:dyDescent="0.3">
      <c r="A61" s="82"/>
      <c r="B61" s="99"/>
      <c r="C61" s="120"/>
      <c r="D61" s="120"/>
      <c r="E61" s="121"/>
      <c r="F61" s="121"/>
      <c r="G61" s="207"/>
      <c r="H61" s="106"/>
      <c r="I61" s="121"/>
      <c r="J61" s="121"/>
      <c r="K61" s="129"/>
      <c r="L61" s="82"/>
      <c r="M61" s="261"/>
      <c r="N61" s="261"/>
      <c r="O61" s="89"/>
    </row>
    <row r="62" spans="1:15" ht="28" x14ac:dyDescent="0.3">
      <c r="A62" s="82"/>
      <c r="B62" s="114" t="s">
        <v>91</v>
      </c>
      <c r="C62" s="141">
        <f>IFERROR(ROUND((((C46*0.05*(C51+C53+C55+C57+C59))+((G46*0.5)*(G51+G53+G55+G57+G59))+((K46*0.4)*(K51+K53+K55+K57+K59))))/(C51+C53+C55+C57+C59+G51+G53+G55+G57+G59+K51+K53+K55+K57+K59),2),0)</f>
        <v>0</v>
      </c>
      <c r="D62" s="93"/>
      <c r="E62" s="93"/>
      <c r="F62" s="80"/>
      <c r="G62" s="80"/>
      <c r="H62" s="264"/>
      <c r="I62" s="455"/>
      <c r="J62" s="455"/>
      <c r="K62" s="455"/>
      <c r="L62" s="466">
        <f>ROUND((C51*E51)+(G51*I51)+(K51*M51)+(C53*E53)+(G53*I53)+(K53*M53)+(C55*E55)+(G55*I55)+(K55*M55)+(C57*E57)+(G57*I57)+(K57*M57)+(C59*E59)+(G59*I59)+(K59*M59),2)</f>
        <v>0</v>
      </c>
      <c r="M62" s="466"/>
      <c r="N62" s="80"/>
      <c r="O62" s="89"/>
    </row>
    <row r="63" spans="1:15" ht="14" x14ac:dyDescent="0.3">
      <c r="A63" s="82"/>
      <c r="B63" s="151"/>
      <c r="C63" s="93"/>
      <c r="D63" s="93"/>
      <c r="E63" s="456"/>
      <c r="F63" s="456"/>
      <c r="G63" s="82"/>
      <c r="H63" s="106"/>
      <c r="I63" s="457"/>
      <c r="J63" s="457"/>
      <c r="K63" s="457"/>
      <c r="L63" s="283" t="s">
        <v>7</v>
      </c>
      <c r="M63" s="283" t="s">
        <v>92</v>
      </c>
      <c r="N63" s="80"/>
      <c r="O63" s="89"/>
    </row>
    <row r="64" spans="1:15" ht="14" x14ac:dyDescent="0.3">
      <c r="A64" s="82"/>
      <c r="B64" s="99"/>
      <c r="C64" s="458">
        <f>L62</f>
        <v>0</v>
      </c>
      <c r="D64" s="459"/>
      <c r="E64" s="153" t="s">
        <v>10</v>
      </c>
      <c r="F64" s="460">
        <f>M20</f>
        <v>0</v>
      </c>
      <c r="G64" s="438"/>
      <c r="H64" s="95" t="s">
        <v>11</v>
      </c>
      <c r="I64" s="461">
        <f>IF(C62&gt;0,ROUND(C64/F64,2),0)</f>
        <v>0</v>
      </c>
      <c r="J64" s="462"/>
      <c r="K64" s="261"/>
      <c r="L64" s="106"/>
      <c r="M64" s="80"/>
      <c r="N64" s="80"/>
      <c r="O64" s="89"/>
    </row>
    <row r="65" spans="1:15" ht="22.5" customHeight="1" x14ac:dyDescent="0.3">
      <c r="A65" s="82"/>
      <c r="B65" s="99"/>
      <c r="C65" s="463" t="s">
        <v>116</v>
      </c>
      <c r="D65" s="351"/>
      <c r="E65" s="152"/>
      <c r="F65" s="464" t="s">
        <v>220</v>
      </c>
      <c r="G65" s="465"/>
      <c r="H65" s="95"/>
      <c r="I65" s="464" t="s">
        <v>221</v>
      </c>
      <c r="J65" s="438"/>
      <c r="K65" s="261"/>
      <c r="L65" s="106"/>
      <c r="M65" s="121"/>
      <c r="N65" s="121"/>
      <c r="O65" s="89"/>
    </row>
    <row r="66" spans="1:15" ht="14" x14ac:dyDescent="0.3">
      <c r="A66" s="119"/>
      <c r="B66" s="104"/>
      <c r="C66" s="97"/>
      <c r="D66" s="97"/>
      <c r="E66" s="97"/>
      <c r="F66" s="119"/>
      <c r="G66" s="119"/>
      <c r="H66" s="105"/>
      <c r="I66" s="258"/>
      <c r="J66" s="258"/>
      <c r="K66" s="258"/>
      <c r="L66" s="105"/>
      <c r="M66" s="154"/>
      <c r="N66" s="154"/>
      <c r="O66" s="137"/>
    </row>
    <row r="67" spans="1:15" x14ac:dyDescent="0.25">
      <c r="A67" s="80"/>
      <c r="B67" s="77"/>
      <c r="C67" s="77"/>
      <c r="D67" s="77"/>
      <c r="E67" s="77"/>
      <c r="F67" s="77"/>
      <c r="G67" s="77"/>
      <c r="H67" s="77"/>
      <c r="I67" s="77"/>
      <c r="J67" s="77"/>
      <c r="K67" s="77"/>
      <c r="L67" s="77"/>
      <c r="M67" s="77"/>
      <c r="N67" s="77"/>
      <c r="O67" s="77"/>
    </row>
    <row r="68" spans="1:15" ht="15.5" x14ac:dyDescent="0.25">
      <c r="A68" s="80"/>
      <c r="B68" s="369" t="s">
        <v>25</v>
      </c>
      <c r="C68" s="370"/>
      <c r="D68" s="370"/>
      <c r="E68" s="370"/>
      <c r="F68" s="370"/>
      <c r="G68" s="370"/>
      <c r="H68" s="370"/>
      <c r="I68" s="370"/>
      <c r="J68" s="370"/>
      <c r="K68" s="370"/>
      <c r="L68" s="370"/>
      <c r="M68" s="370"/>
      <c r="N68" s="407"/>
      <c r="O68" s="77"/>
    </row>
    <row r="69" spans="1:15" ht="14" x14ac:dyDescent="0.25">
      <c r="A69" s="80"/>
      <c r="B69" s="83"/>
      <c r="C69" s="80"/>
      <c r="D69" s="80"/>
      <c r="E69" s="80"/>
      <c r="F69" s="437">
        <f>I64</f>
        <v>0</v>
      </c>
      <c r="G69" s="438"/>
      <c r="H69" s="80"/>
      <c r="I69" s="439">
        <v>0.9</v>
      </c>
      <c r="J69" s="440"/>
      <c r="K69" s="441"/>
      <c r="L69" s="80"/>
      <c r="M69" s="445">
        <f>ROUND(F69*I69,2)</f>
        <v>0</v>
      </c>
      <c r="N69" s="446"/>
      <c r="O69" s="77"/>
    </row>
    <row r="70" spans="1:15" ht="20" x14ac:dyDescent="0.25">
      <c r="A70" s="80"/>
      <c r="B70" s="83"/>
      <c r="C70" s="80"/>
      <c r="D70" s="80"/>
      <c r="E70" s="80"/>
      <c r="F70" s="447" t="s">
        <v>146</v>
      </c>
      <c r="G70" s="448"/>
      <c r="H70" s="80"/>
      <c r="I70" s="442"/>
      <c r="J70" s="443"/>
      <c r="K70" s="444"/>
      <c r="L70" s="80"/>
      <c r="M70" s="17" t="s">
        <v>9</v>
      </c>
      <c r="N70" s="216" t="s">
        <v>24</v>
      </c>
      <c r="O70" s="77"/>
    </row>
    <row r="71" spans="1:15" ht="14" x14ac:dyDescent="0.25">
      <c r="A71" s="80"/>
      <c r="B71" s="208"/>
      <c r="C71" s="210"/>
      <c r="D71" s="210"/>
      <c r="E71" s="210"/>
      <c r="F71" s="211"/>
      <c r="G71" s="213"/>
      <c r="H71" s="210"/>
      <c r="I71" s="214"/>
      <c r="J71" s="215"/>
      <c r="K71" s="214"/>
      <c r="L71" s="210"/>
      <c r="M71" s="212"/>
      <c r="N71" s="209"/>
      <c r="O71" s="77"/>
    </row>
    <row r="72" spans="1:15" x14ac:dyDescent="0.25">
      <c r="A72" s="80"/>
      <c r="B72" s="80"/>
      <c r="C72" s="80"/>
      <c r="D72" s="80"/>
      <c r="E72" s="80"/>
      <c r="F72" s="80"/>
      <c r="G72" s="80"/>
      <c r="H72" s="80"/>
      <c r="I72" s="80"/>
      <c r="J72" s="80"/>
      <c r="K72" s="80"/>
      <c r="L72" s="80"/>
      <c r="M72" s="80"/>
      <c r="N72" s="80"/>
      <c r="O72" s="77"/>
    </row>
    <row r="73" spans="1:15" ht="15.5" x14ac:dyDescent="0.25">
      <c r="A73" s="80"/>
      <c r="B73" s="369" t="s">
        <v>23</v>
      </c>
      <c r="C73" s="370"/>
      <c r="D73" s="370"/>
      <c r="E73" s="370"/>
      <c r="F73" s="370"/>
      <c r="G73" s="370"/>
      <c r="H73" s="370"/>
      <c r="I73" s="370"/>
      <c r="J73" s="370"/>
      <c r="K73" s="370"/>
      <c r="L73" s="370"/>
      <c r="M73" s="370"/>
      <c r="N73" s="407"/>
      <c r="O73" s="77"/>
    </row>
    <row r="74" spans="1:15" x14ac:dyDescent="0.25">
      <c r="A74" s="80"/>
      <c r="B74" s="83"/>
      <c r="C74" s="80"/>
      <c r="D74" s="80"/>
      <c r="E74" s="80"/>
      <c r="F74" s="80"/>
      <c r="G74" s="80"/>
      <c r="H74" s="80"/>
      <c r="I74" s="80"/>
      <c r="J74" s="80"/>
      <c r="K74" s="80"/>
      <c r="L74" s="80"/>
      <c r="M74" s="80"/>
      <c r="N74" s="94"/>
      <c r="O74" s="77"/>
    </row>
    <row r="75" spans="1:15" ht="15.5" x14ac:dyDescent="0.3">
      <c r="A75" s="82"/>
      <c r="B75" s="99"/>
      <c r="C75" s="449">
        <f>M69</f>
        <v>0</v>
      </c>
      <c r="D75" s="450"/>
      <c r="E75" s="250" t="s">
        <v>22</v>
      </c>
      <c r="F75" s="451">
        <f>J40</f>
        <v>0</v>
      </c>
      <c r="G75" s="452"/>
      <c r="H75" s="199"/>
      <c r="I75" s="250" t="s">
        <v>11</v>
      </c>
      <c r="J75" s="453">
        <f>IF(C75-F75&gt;C62,C62,IF(C75-F75&lt;0,0,C75-F75))</f>
        <v>0</v>
      </c>
      <c r="K75" s="454"/>
      <c r="L75" s="77"/>
      <c r="M75" s="80"/>
      <c r="N75" s="13"/>
      <c r="O75"/>
    </row>
    <row r="76" spans="1:15" ht="26.15" customHeight="1" x14ac:dyDescent="0.3">
      <c r="A76" s="82"/>
      <c r="B76" s="99"/>
      <c r="C76" s="432" t="s">
        <v>115</v>
      </c>
      <c r="D76" s="433"/>
      <c r="E76" s="200"/>
      <c r="F76" s="388" t="s">
        <v>111</v>
      </c>
      <c r="G76" s="388"/>
      <c r="H76" s="121"/>
      <c r="I76" s="95"/>
      <c r="J76" s="19" t="s">
        <v>17</v>
      </c>
      <c r="K76" s="198" t="s">
        <v>90</v>
      </c>
      <c r="L76" s="77"/>
      <c r="M76" s="80"/>
      <c r="N76" s="13"/>
      <c r="O76" s="16"/>
    </row>
    <row r="77" spans="1:15" ht="14" x14ac:dyDescent="0.3">
      <c r="A77" s="82"/>
      <c r="B77" s="99"/>
      <c r="C77" s="206"/>
      <c r="D77" s="206"/>
      <c r="E77" s="106"/>
      <c r="F77" s="217"/>
      <c r="G77" s="217"/>
      <c r="H77" s="121"/>
      <c r="I77" s="245"/>
      <c r="J77" s="217"/>
      <c r="K77" s="217"/>
      <c r="L77" s="106"/>
      <c r="M77" s="154"/>
      <c r="N77" s="253"/>
      <c r="O77" s="77"/>
    </row>
    <row r="78" spans="1:15" ht="14" x14ac:dyDescent="0.3">
      <c r="A78" s="82"/>
      <c r="B78" s="99"/>
      <c r="C78" s="93"/>
      <c r="D78" s="93"/>
      <c r="E78" s="93"/>
      <c r="F78" s="337">
        <f>IF(J75&gt;0,J75,0)</f>
        <v>0</v>
      </c>
      <c r="G78" s="339"/>
      <c r="H78" s="250" t="s">
        <v>20</v>
      </c>
      <c r="I78" s="434">
        <f>'SL RSS Worksheet'!M20</f>
        <v>0</v>
      </c>
      <c r="J78" s="435"/>
      <c r="K78" s="436"/>
      <c r="L78" s="250" t="s">
        <v>11</v>
      </c>
      <c r="M78" s="337">
        <f>ROUND(F78*I78,2)</f>
        <v>0</v>
      </c>
      <c r="N78" s="339"/>
      <c r="O78" s="77"/>
    </row>
    <row r="79" spans="1:15" ht="24" customHeight="1" x14ac:dyDescent="0.3">
      <c r="A79" s="82"/>
      <c r="B79" s="104"/>
      <c r="C79" s="97"/>
      <c r="D79" s="97"/>
      <c r="E79" s="131"/>
      <c r="F79" s="364" t="s">
        <v>17</v>
      </c>
      <c r="G79" s="365"/>
      <c r="H79" s="105"/>
      <c r="I79" s="367" t="s">
        <v>233</v>
      </c>
      <c r="J79" s="373"/>
      <c r="K79" s="374"/>
      <c r="L79" s="105"/>
      <c r="M79" s="19" t="s">
        <v>222</v>
      </c>
      <c r="N79" s="198" t="s">
        <v>19</v>
      </c>
      <c r="O79" s="77"/>
    </row>
    <row r="80" spans="1:15" x14ac:dyDescent="0.25">
      <c r="A80" s="77"/>
      <c r="B80" s="132"/>
      <c r="C80" s="132"/>
      <c r="D80" s="132"/>
      <c r="E80" s="132"/>
      <c r="F80" s="133"/>
      <c r="G80" s="133"/>
      <c r="H80" s="133"/>
      <c r="I80" s="133"/>
      <c r="J80" s="133"/>
      <c r="K80" s="133"/>
      <c r="L80" s="77"/>
      <c r="M80" s="77"/>
      <c r="N80" s="77"/>
      <c r="O80" s="77"/>
    </row>
    <row r="81" spans="1:15" ht="15.5" x14ac:dyDescent="0.35">
      <c r="A81" s="77"/>
      <c r="B81" s="347" t="s">
        <v>121</v>
      </c>
      <c r="C81" s="348"/>
      <c r="D81" s="348"/>
      <c r="E81" s="348"/>
      <c r="F81" s="348"/>
      <c r="G81" s="348"/>
      <c r="H81" s="348"/>
      <c r="I81" s="348"/>
      <c r="J81" s="348"/>
      <c r="K81" s="349"/>
      <c r="L81" s="77"/>
      <c r="M81" s="77"/>
      <c r="N81" s="77"/>
      <c r="O81" s="77"/>
    </row>
    <row r="82" spans="1:15" ht="14" x14ac:dyDescent="0.25">
      <c r="A82" s="77"/>
      <c r="B82" s="130"/>
      <c r="C82" s="147"/>
      <c r="D82" s="150"/>
      <c r="E82" s="150"/>
      <c r="F82" s="147"/>
      <c r="G82" s="150"/>
      <c r="H82" s="150"/>
      <c r="I82" s="147"/>
      <c r="J82" s="150"/>
      <c r="K82" s="149"/>
      <c r="L82" s="77"/>
      <c r="M82" s="77"/>
      <c r="N82" s="77"/>
      <c r="O82" s="77"/>
    </row>
    <row r="83" spans="1:15" ht="14" x14ac:dyDescent="0.25">
      <c r="A83" s="77"/>
      <c r="B83" s="130"/>
      <c r="C83" s="148"/>
      <c r="D83" s="350">
        <f>M78</f>
        <v>0</v>
      </c>
      <c r="E83" s="351"/>
      <c r="F83" s="352" t="s">
        <v>10</v>
      </c>
      <c r="G83" s="354">
        <f>Q62</f>
        <v>0</v>
      </c>
      <c r="H83" s="355"/>
      <c r="I83" s="352" t="s">
        <v>11</v>
      </c>
      <c r="J83" s="356">
        <f>IFERROR(SUM(D83/G83),0)</f>
        <v>0</v>
      </c>
      <c r="K83" s="357"/>
      <c r="L83" s="77"/>
      <c r="M83" s="77"/>
      <c r="N83" s="77"/>
      <c r="O83" s="77"/>
    </row>
    <row r="84" spans="1:15" ht="20.149999999999999" customHeight="1" x14ac:dyDescent="0.25">
      <c r="A84" s="77"/>
      <c r="B84" s="136"/>
      <c r="C84" s="149"/>
      <c r="D84" s="358" t="s">
        <v>230</v>
      </c>
      <c r="E84" s="359"/>
      <c r="F84" s="353"/>
      <c r="G84" s="360" t="s">
        <v>223</v>
      </c>
      <c r="H84" s="361"/>
      <c r="I84" s="353"/>
      <c r="J84" s="358" t="s">
        <v>122</v>
      </c>
      <c r="K84" s="359"/>
      <c r="L84" s="77"/>
      <c r="M84" s="77"/>
      <c r="N84" s="77"/>
      <c r="O84" s="77"/>
    </row>
    <row r="85" spans="1:15" x14ac:dyDescent="0.25">
      <c r="A85" s="77"/>
      <c r="B85" s="132"/>
      <c r="C85" s="132"/>
      <c r="D85" s="132"/>
      <c r="E85" s="132"/>
      <c r="F85" s="133"/>
      <c r="G85" s="133"/>
      <c r="H85" s="133"/>
      <c r="I85" s="133"/>
      <c r="J85" s="133"/>
      <c r="K85" s="133"/>
      <c r="L85" s="77"/>
      <c r="M85" s="77"/>
      <c r="N85" s="77"/>
      <c r="O85" s="77"/>
    </row>
    <row r="86" spans="1:15" x14ac:dyDescent="0.25">
      <c r="A86" s="132"/>
      <c r="B86" s="332" t="s">
        <v>224</v>
      </c>
      <c r="C86" s="333"/>
      <c r="D86" s="333"/>
      <c r="E86" s="333"/>
      <c r="F86" s="333"/>
      <c r="G86" s="333"/>
      <c r="H86" s="333"/>
      <c r="I86" s="333"/>
      <c r="J86" s="333"/>
      <c r="K86" s="333"/>
      <c r="L86" s="333"/>
      <c r="M86" s="333"/>
      <c r="N86" s="334"/>
      <c r="O86" s="77"/>
    </row>
    <row r="87" spans="1:15" x14ac:dyDescent="0.25">
      <c r="A87" s="132"/>
      <c r="B87" s="132"/>
      <c r="C87" s="132"/>
      <c r="D87" s="132"/>
      <c r="E87" s="132"/>
      <c r="F87" s="132"/>
      <c r="G87" s="132"/>
      <c r="H87" s="132"/>
      <c r="I87" s="132"/>
      <c r="J87" s="132"/>
      <c r="K87" s="132"/>
      <c r="L87" s="132"/>
      <c r="M87" s="132"/>
      <c r="N87" s="132"/>
      <c r="O87" s="77"/>
    </row>
    <row r="88" spans="1:15" x14ac:dyDescent="0.25">
      <c r="A88" s="134"/>
      <c r="B88" s="332" t="s">
        <v>18</v>
      </c>
      <c r="C88" s="333"/>
      <c r="D88" s="333"/>
      <c r="E88" s="333"/>
      <c r="F88" s="333"/>
      <c r="G88" s="333"/>
      <c r="H88" s="333"/>
      <c r="I88" s="333"/>
      <c r="J88" s="333"/>
      <c r="K88" s="333"/>
      <c r="L88" s="333"/>
      <c r="M88" s="333"/>
      <c r="N88" s="334"/>
      <c r="O88" s="77"/>
    </row>
  </sheetData>
  <sheetProtection algorithmName="SHA-512" hashValue="TGtq3bzPGFH7Hsf2yiecEogSelEJ3fI9xxVv1yiM+GUM07PBAxOak15yFCWPvajRlRQhbfxoS56CuhD2LYrvkw==" saltValue="SLP2lWUzX5WFjalhyRnpsw==" spinCount="100000" sheet="1" objects="1" scenarios="1"/>
  <mergeCells count="92">
    <mergeCell ref="A1:O1"/>
    <mergeCell ref="K44:M44"/>
    <mergeCell ref="A20:H20"/>
    <mergeCell ref="B6:E6"/>
    <mergeCell ref="B7:E7"/>
    <mergeCell ref="B8:E8"/>
    <mergeCell ref="B9:E9"/>
    <mergeCell ref="B10:E10"/>
    <mergeCell ref="B11:E11"/>
    <mergeCell ref="F4:G4"/>
    <mergeCell ref="I4:J4"/>
    <mergeCell ref="L4:M4"/>
    <mergeCell ref="F5:G5"/>
    <mergeCell ref="I5:J5"/>
    <mergeCell ref="L5:M5"/>
    <mergeCell ref="B12:E12"/>
    <mergeCell ref="B13:E13"/>
    <mergeCell ref="B14:E14"/>
    <mergeCell ref="B15:E15"/>
    <mergeCell ref="B16:E16"/>
    <mergeCell ref="B17:E17"/>
    <mergeCell ref="B3:O3"/>
    <mergeCell ref="B28:L28"/>
    <mergeCell ref="B29:L29"/>
    <mergeCell ref="B30:L30"/>
    <mergeCell ref="B31:L31"/>
    <mergeCell ref="B24:N24"/>
    <mergeCell ref="B25:N25"/>
    <mergeCell ref="B26:N26"/>
    <mergeCell ref="B27:L27"/>
    <mergeCell ref="I21:J21"/>
    <mergeCell ref="L21:M21"/>
    <mergeCell ref="B32:M32"/>
    <mergeCell ref="B35:L35"/>
    <mergeCell ref="B37:K37"/>
    <mergeCell ref="B38:K38"/>
    <mergeCell ref="B39:C39"/>
    <mergeCell ref="D39:E39"/>
    <mergeCell ref="G39:H39"/>
    <mergeCell ref="J39:K39"/>
    <mergeCell ref="B40:C40"/>
    <mergeCell ref="D40:E40"/>
    <mergeCell ref="G40:H40"/>
    <mergeCell ref="J40:K40"/>
    <mergeCell ref="B41:C41"/>
    <mergeCell ref="D41:E41"/>
    <mergeCell ref="G41:H41"/>
    <mergeCell ref="B43:O43"/>
    <mergeCell ref="C44:E44"/>
    <mergeCell ref="G44:I44"/>
    <mergeCell ref="C45:E45"/>
    <mergeCell ref="G45:I45"/>
    <mergeCell ref="C46:E46"/>
    <mergeCell ref="G46:I46"/>
    <mergeCell ref="K46:M46"/>
    <mergeCell ref="I62:K62"/>
    <mergeCell ref="E63:F63"/>
    <mergeCell ref="I63:K63"/>
    <mergeCell ref="C64:D64"/>
    <mergeCell ref="F64:G64"/>
    <mergeCell ref="I64:J64"/>
    <mergeCell ref="C65:D65"/>
    <mergeCell ref="F65:G65"/>
    <mergeCell ref="I65:J65"/>
    <mergeCell ref="L62:M62"/>
    <mergeCell ref="B68:N68"/>
    <mergeCell ref="F69:G69"/>
    <mergeCell ref="I69:K70"/>
    <mergeCell ref="M69:N69"/>
    <mergeCell ref="F70:G70"/>
    <mergeCell ref="B73:N73"/>
    <mergeCell ref="C75:D75"/>
    <mergeCell ref="F75:G75"/>
    <mergeCell ref="J75:K75"/>
    <mergeCell ref="C76:D76"/>
    <mergeCell ref="F76:G76"/>
    <mergeCell ref="F78:G78"/>
    <mergeCell ref="I78:K78"/>
    <mergeCell ref="M78:N78"/>
    <mergeCell ref="F79:G79"/>
    <mergeCell ref="I79:K79"/>
    <mergeCell ref="B86:N86"/>
    <mergeCell ref="B88:N88"/>
    <mergeCell ref="B81:K81"/>
    <mergeCell ref="D83:E83"/>
    <mergeCell ref="F83:F84"/>
    <mergeCell ref="G83:H83"/>
    <mergeCell ref="I83:I84"/>
    <mergeCell ref="J83:K83"/>
    <mergeCell ref="D84:E84"/>
    <mergeCell ref="G84:H84"/>
    <mergeCell ref="J84:K84"/>
  </mergeCells>
  <pageMargins left="0.25" right="0.25" top="0.5" bottom="0.5" header="0.3" footer="0.3"/>
  <pageSetup scale="83" orientation="portrait" r:id="rId1"/>
  <headerFooter alignWithMargins="0">
    <oddFooter>&amp;C&amp;12&amp;A&amp;R&amp;N</oddFooter>
  </headerFooter>
  <rowBreaks count="1" manualBreakCount="1">
    <brk id="1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3054F-FA2C-4DAB-88A0-92A1415E3058}">
  <sheetPr>
    <pageSetUpPr fitToPage="1"/>
  </sheetPr>
  <dimension ref="A1:V121"/>
  <sheetViews>
    <sheetView zoomScaleNormal="100" workbookViewId="0">
      <selection activeCell="B1" sqref="B1:N2"/>
    </sheetView>
  </sheetViews>
  <sheetFormatPr defaultColWidth="9.1796875" defaultRowHeight="12.5" x14ac:dyDescent="0.25"/>
  <cols>
    <col min="1" max="1" width="3.81640625" style="11" customWidth="1"/>
    <col min="2" max="2" width="22.453125" style="11" customWidth="1"/>
    <col min="3" max="3" width="11.453125" style="11" customWidth="1"/>
    <col min="4" max="4" width="3.81640625" style="11" customWidth="1"/>
    <col min="5" max="5" width="10.453125" style="11" customWidth="1"/>
    <col min="6" max="6" width="9.81640625" style="11" customWidth="1"/>
    <col min="7" max="7" width="14.54296875" style="11" customWidth="1"/>
    <col min="8" max="8" width="9.7265625" style="11" customWidth="1"/>
    <col min="9" max="9" width="13.1796875" style="11" customWidth="1"/>
    <col min="10" max="10" width="13.81640625" style="11" customWidth="1"/>
    <col min="11" max="11" width="9.54296875" style="11" customWidth="1"/>
    <col min="12" max="12" width="10.90625" style="11" customWidth="1"/>
    <col min="13" max="13" width="13.81640625" style="11" customWidth="1"/>
    <col min="14" max="14" width="11.81640625" style="11" customWidth="1"/>
    <col min="15" max="15" width="3.453125" style="11" customWidth="1"/>
    <col min="16" max="16" width="3.1796875" style="11" customWidth="1"/>
    <col min="17" max="17" width="9.1796875" style="11"/>
    <col min="18" max="18" width="10.453125" style="11" bestFit="1" customWidth="1"/>
    <col min="19" max="16384" width="9.1796875" style="11"/>
  </cols>
  <sheetData>
    <row r="1" spans="1:16" ht="114" customHeight="1" x14ac:dyDescent="0.3">
      <c r="A1" s="14"/>
      <c r="B1" s="495" t="s">
        <v>238</v>
      </c>
      <c r="C1" s="495"/>
      <c r="D1" s="495"/>
      <c r="E1" s="495"/>
      <c r="F1" s="495"/>
      <c r="G1" s="495"/>
      <c r="H1" s="495"/>
      <c r="I1" s="495"/>
      <c r="J1" s="495"/>
      <c r="K1" s="495"/>
      <c r="L1" s="495"/>
      <c r="M1" s="495"/>
      <c r="N1" s="496"/>
      <c r="O1" s="311"/>
      <c r="P1" s="72"/>
    </row>
    <row r="2" spans="1:16" ht="12.65" customHeight="1" x14ac:dyDescent="0.25">
      <c r="A2" s="80"/>
      <c r="B2" s="559"/>
      <c r="C2" s="559"/>
      <c r="D2" s="559"/>
      <c r="E2" s="559"/>
      <c r="F2" s="559"/>
      <c r="G2" s="559"/>
      <c r="H2" s="559"/>
      <c r="I2" s="559"/>
      <c r="J2" s="559"/>
      <c r="K2" s="559"/>
      <c r="L2" s="559"/>
      <c r="M2" s="559"/>
      <c r="N2" s="560"/>
      <c r="O2" s="87"/>
      <c r="P2" s="88"/>
    </row>
    <row r="3" spans="1:16" customFormat="1" ht="28.4" customHeight="1" x14ac:dyDescent="0.3">
      <c r="A3" s="20"/>
      <c r="B3" s="369" t="s">
        <v>34</v>
      </c>
      <c r="C3" s="370"/>
      <c r="D3" s="370"/>
      <c r="E3" s="370"/>
      <c r="F3" s="370"/>
      <c r="G3" s="370"/>
      <c r="H3" s="370"/>
      <c r="I3" s="370"/>
      <c r="J3" s="370"/>
      <c r="K3" s="370"/>
      <c r="L3" s="370"/>
      <c r="M3" s="370"/>
      <c r="N3" s="407"/>
      <c r="O3" s="73"/>
      <c r="P3" s="72"/>
    </row>
    <row r="4" spans="1:16" customFormat="1" ht="24.75" customHeight="1" x14ac:dyDescent="0.3">
      <c r="A4" s="20"/>
      <c r="B4" s="195"/>
      <c r="C4" s="195"/>
      <c r="D4" s="195"/>
      <c r="E4" s="195"/>
      <c r="F4" s="425" t="s">
        <v>55</v>
      </c>
      <c r="G4" s="426"/>
      <c r="H4" s="195"/>
      <c r="I4" s="425" t="s">
        <v>58</v>
      </c>
      <c r="J4" s="426"/>
      <c r="K4" s="195"/>
      <c r="L4" s="425" t="s">
        <v>59</v>
      </c>
      <c r="M4" s="426"/>
      <c r="N4" s="74"/>
      <c r="O4" s="72"/>
    </row>
    <row r="5" spans="1:16" customFormat="1" ht="17.149999999999999" customHeight="1" x14ac:dyDescent="0.25">
      <c r="A5" s="20"/>
      <c r="B5" s="117"/>
      <c r="C5" s="117"/>
      <c r="D5" s="117"/>
      <c r="E5" s="117"/>
      <c r="F5" s="418"/>
      <c r="G5" s="419"/>
      <c r="H5" s="88"/>
      <c r="I5" s="418"/>
      <c r="J5" s="420"/>
      <c r="K5" s="88"/>
      <c r="L5" s="571"/>
      <c r="M5" s="572"/>
      <c r="N5" s="581"/>
      <c r="O5" s="88"/>
    </row>
    <row r="6" spans="1:16" customFormat="1" ht="21" customHeight="1" x14ac:dyDescent="0.3">
      <c r="A6" s="20"/>
      <c r="B6" s="415" t="s">
        <v>158</v>
      </c>
      <c r="C6" s="416"/>
      <c r="D6" s="416"/>
      <c r="E6" s="417"/>
      <c r="F6" s="70"/>
      <c r="G6" s="230"/>
      <c r="H6" s="72"/>
      <c r="I6" s="70"/>
      <c r="J6" s="230"/>
      <c r="K6" s="72"/>
      <c r="L6" s="70"/>
      <c r="M6" s="580"/>
      <c r="N6" s="74"/>
      <c r="O6" s="72"/>
    </row>
    <row r="7" spans="1:16" customFormat="1" ht="26.25" customHeight="1" x14ac:dyDescent="0.3">
      <c r="A7" s="20"/>
      <c r="B7" s="416" t="s">
        <v>159</v>
      </c>
      <c r="C7" s="416"/>
      <c r="D7" s="416"/>
      <c r="E7" s="417"/>
      <c r="F7" s="70"/>
      <c r="G7" s="238"/>
      <c r="H7" s="72"/>
      <c r="I7" s="70"/>
      <c r="J7" s="238"/>
      <c r="K7" s="72"/>
      <c r="L7" s="70"/>
      <c r="M7" s="580"/>
      <c r="N7" s="74"/>
      <c r="O7" s="72"/>
    </row>
    <row r="8" spans="1:16" customFormat="1" ht="26.25" customHeight="1" x14ac:dyDescent="0.3">
      <c r="A8" s="20"/>
      <c r="B8" s="416" t="s">
        <v>148</v>
      </c>
      <c r="C8" s="416"/>
      <c r="D8" s="416"/>
      <c r="E8" s="417"/>
      <c r="F8" s="70"/>
      <c r="G8" s="238"/>
      <c r="H8" s="72"/>
      <c r="I8" s="70"/>
      <c r="J8" s="238"/>
      <c r="K8" s="72"/>
      <c r="L8" s="70"/>
      <c r="M8" s="580"/>
      <c r="N8" s="74"/>
      <c r="O8" s="72"/>
    </row>
    <row r="9" spans="1:16" customFormat="1" ht="20.5" customHeight="1" x14ac:dyDescent="0.3">
      <c r="A9" s="20"/>
      <c r="B9" s="415" t="s">
        <v>155</v>
      </c>
      <c r="C9" s="416"/>
      <c r="D9" s="416"/>
      <c r="E9" s="417"/>
      <c r="F9" s="70"/>
      <c r="G9" s="230"/>
      <c r="H9" s="72"/>
      <c r="I9" s="70"/>
      <c r="J9" s="230"/>
      <c r="K9" s="72"/>
      <c r="L9" s="70"/>
      <c r="M9" s="580"/>
      <c r="N9" s="74"/>
      <c r="O9" s="72"/>
    </row>
    <row r="10" spans="1:16" customFormat="1" ht="29.25" customHeight="1" x14ac:dyDescent="0.3">
      <c r="A10" s="20"/>
      <c r="B10" s="415" t="s">
        <v>160</v>
      </c>
      <c r="C10" s="510"/>
      <c r="D10" s="510"/>
      <c r="E10" s="511"/>
      <c r="F10" s="70"/>
      <c r="G10" s="230"/>
      <c r="H10" s="72"/>
      <c r="I10" s="70"/>
      <c r="J10" s="230"/>
      <c r="K10" s="72"/>
      <c r="L10" s="70"/>
      <c r="M10" s="580"/>
      <c r="N10" s="74"/>
      <c r="O10" s="72"/>
    </row>
    <row r="11" spans="1:16" customFormat="1" ht="28.4" customHeight="1" x14ac:dyDescent="0.3">
      <c r="A11" s="20"/>
      <c r="B11" s="416" t="s">
        <v>154</v>
      </c>
      <c r="C11" s="416"/>
      <c r="D11" s="416"/>
      <c r="E11" s="417"/>
      <c r="F11" s="70"/>
      <c r="G11" s="230"/>
      <c r="H11" s="72"/>
      <c r="I11" s="70"/>
      <c r="J11" s="230"/>
      <c r="K11" s="72"/>
      <c r="L11" s="70"/>
      <c r="M11" s="580"/>
      <c r="N11" s="74"/>
      <c r="O11" s="72"/>
    </row>
    <row r="12" spans="1:16" customFormat="1" ht="21" customHeight="1" x14ac:dyDescent="0.3">
      <c r="A12" s="20"/>
      <c r="B12" s="416" t="s">
        <v>43</v>
      </c>
      <c r="C12" s="416"/>
      <c r="D12" s="416"/>
      <c r="E12" s="417"/>
      <c r="F12" s="70"/>
      <c r="G12" s="230"/>
      <c r="H12" s="72"/>
      <c r="I12" s="70"/>
      <c r="J12" s="230"/>
      <c r="K12" s="72"/>
      <c r="L12" s="70"/>
      <c r="M12" s="580"/>
      <c r="N12" s="74"/>
      <c r="O12" s="72"/>
    </row>
    <row r="13" spans="1:16" customFormat="1" ht="21" customHeight="1" x14ac:dyDescent="0.3">
      <c r="A13" s="20"/>
      <c r="B13" s="416" t="s">
        <v>102</v>
      </c>
      <c r="C13" s="416"/>
      <c r="D13" s="416"/>
      <c r="E13" s="417"/>
      <c r="F13" s="70"/>
      <c r="G13" s="230"/>
      <c r="H13" s="72"/>
      <c r="I13" s="70"/>
      <c r="J13" s="230"/>
      <c r="K13" s="72"/>
      <c r="L13" s="70"/>
      <c r="M13" s="580"/>
      <c r="N13" s="74"/>
      <c r="O13" s="72"/>
    </row>
    <row r="14" spans="1:16" customFormat="1" ht="27" customHeight="1" x14ac:dyDescent="0.3">
      <c r="A14" s="20"/>
      <c r="B14" s="416" t="s">
        <v>149</v>
      </c>
      <c r="C14" s="416"/>
      <c r="D14" s="416"/>
      <c r="E14" s="417"/>
      <c r="F14" s="70"/>
      <c r="G14" s="230"/>
      <c r="H14" s="72"/>
      <c r="I14" s="70"/>
      <c r="J14" s="230"/>
      <c r="K14" s="72"/>
      <c r="L14" s="70"/>
      <c r="M14" s="580"/>
      <c r="N14" s="74"/>
      <c r="O14" s="72"/>
    </row>
    <row r="15" spans="1:16" customFormat="1" ht="21" customHeight="1" x14ac:dyDescent="0.3">
      <c r="A15" s="20"/>
      <c r="B15" s="416" t="s">
        <v>44</v>
      </c>
      <c r="C15" s="416"/>
      <c r="D15" s="416"/>
      <c r="E15" s="417"/>
      <c r="F15" s="70"/>
      <c r="G15" s="230"/>
      <c r="H15" s="72"/>
      <c r="I15" s="70"/>
      <c r="J15" s="230"/>
      <c r="K15" s="72"/>
      <c r="L15" s="70"/>
      <c r="M15" s="580"/>
      <c r="N15" s="74"/>
      <c r="O15" s="72"/>
    </row>
    <row r="16" spans="1:16" customFormat="1" ht="22.4" customHeight="1" x14ac:dyDescent="0.3">
      <c r="A16" s="20"/>
      <c r="B16" s="415" t="s">
        <v>93</v>
      </c>
      <c r="C16" s="416"/>
      <c r="D16" s="416"/>
      <c r="E16" s="417"/>
      <c r="F16" s="70"/>
      <c r="G16" s="239"/>
      <c r="H16" s="72"/>
      <c r="I16" s="70"/>
      <c r="J16" s="239"/>
      <c r="K16" s="72"/>
      <c r="L16" s="70"/>
      <c r="M16" s="580"/>
      <c r="N16" s="74"/>
      <c r="O16" s="72"/>
    </row>
    <row r="17" spans="1:22" customFormat="1" ht="30" customHeight="1" x14ac:dyDescent="0.3">
      <c r="A17" s="20"/>
      <c r="B17" s="415" t="s">
        <v>150</v>
      </c>
      <c r="C17" s="416"/>
      <c r="D17" s="416"/>
      <c r="E17" s="417"/>
      <c r="F17" s="70"/>
      <c r="G17" s="239"/>
      <c r="H17" s="72"/>
      <c r="I17" s="70"/>
      <c r="J17" s="239"/>
      <c r="K17" s="72"/>
      <c r="L17" s="70"/>
      <c r="M17" s="580"/>
      <c r="N17" s="74"/>
      <c r="O17" s="72"/>
    </row>
    <row r="18" spans="1:22" customFormat="1" ht="20.5" customHeight="1" x14ac:dyDescent="0.3">
      <c r="A18" s="20"/>
      <c r="B18" s="416" t="s">
        <v>45</v>
      </c>
      <c r="C18" s="416"/>
      <c r="D18" s="416"/>
      <c r="E18" s="417"/>
      <c r="F18" s="70"/>
      <c r="G18" s="230"/>
      <c r="H18" s="72"/>
      <c r="I18" s="70"/>
      <c r="J18" s="230"/>
      <c r="K18" s="72"/>
      <c r="L18" s="70"/>
      <c r="M18" s="580"/>
      <c r="N18" s="74"/>
      <c r="O18" s="72"/>
    </row>
    <row r="19" spans="1:22" customFormat="1" ht="23.5" customHeight="1" x14ac:dyDescent="0.3">
      <c r="A19" s="20"/>
      <c r="B19" s="427" t="s">
        <v>94</v>
      </c>
      <c r="C19" s="427"/>
      <c r="D19" s="427"/>
      <c r="E19" s="427"/>
      <c r="F19" s="70"/>
      <c r="G19" s="230"/>
      <c r="H19" s="74"/>
      <c r="I19" s="70"/>
      <c r="J19" s="230"/>
      <c r="K19" s="74"/>
      <c r="L19" s="70"/>
      <c r="M19" s="580"/>
      <c r="N19" s="74"/>
      <c r="O19" s="72"/>
    </row>
    <row r="20" spans="1:22" customFormat="1" ht="29.15" customHeight="1" x14ac:dyDescent="0.3">
      <c r="A20" s="21"/>
      <c r="B20" s="427" t="s">
        <v>151</v>
      </c>
      <c r="C20" s="427"/>
      <c r="D20" s="427"/>
      <c r="E20" s="427"/>
      <c r="F20" s="70"/>
      <c r="G20" s="230"/>
      <c r="H20" s="74"/>
      <c r="I20" s="70"/>
      <c r="J20" s="230"/>
      <c r="K20" s="74"/>
      <c r="L20" s="70"/>
      <c r="M20" s="580"/>
      <c r="N20" s="74"/>
      <c r="O20" s="72"/>
    </row>
    <row r="21" spans="1:22" customFormat="1" ht="29.15" customHeight="1" x14ac:dyDescent="0.3">
      <c r="A21" s="82"/>
      <c r="B21" s="268"/>
      <c r="C21" s="268"/>
      <c r="D21" s="268"/>
      <c r="E21" s="268"/>
      <c r="F21" s="116" t="s">
        <v>3</v>
      </c>
      <c r="G21" s="234">
        <f>SUM(G6:G20)</f>
        <v>0</v>
      </c>
      <c r="H21" s="75"/>
      <c r="I21" s="116" t="s">
        <v>4</v>
      </c>
      <c r="J21" s="233">
        <f>SUM(J6:J20)</f>
        <v>0</v>
      </c>
      <c r="K21" s="269"/>
      <c r="L21" s="29" t="s">
        <v>5</v>
      </c>
      <c r="M21" s="232">
        <f>SUM(M6:M20)</f>
        <v>0</v>
      </c>
      <c r="N21" s="70"/>
      <c r="O21" s="579"/>
    </row>
    <row r="22" spans="1:22" ht="14" x14ac:dyDescent="0.3">
      <c r="A22" s="80"/>
      <c r="B22" s="80"/>
      <c r="C22" s="80"/>
      <c r="D22" s="80"/>
      <c r="E22" s="80"/>
      <c r="F22" s="80"/>
      <c r="G22" s="80"/>
      <c r="H22" s="80"/>
      <c r="I22" s="80"/>
      <c r="J22" s="80"/>
      <c r="K22" s="80"/>
      <c r="L22" s="80"/>
      <c r="M22" s="80"/>
      <c r="N22" s="74"/>
      <c r="O22" s="72"/>
      <c r="V22" s="14"/>
    </row>
    <row r="23" spans="1:22" ht="24.75" customHeight="1" x14ac:dyDescent="0.35">
      <c r="A23" s="497" t="s">
        <v>157</v>
      </c>
      <c r="B23" s="498"/>
      <c r="C23" s="498"/>
      <c r="D23" s="498"/>
      <c r="E23" s="498"/>
      <c r="F23" s="498"/>
      <c r="G23" s="498"/>
      <c r="H23" s="499"/>
      <c r="I23" s="116" t="s">
        <v>143</v>
      </c>
      <c r="J23" s="235">
        <f>G21+J21+M21</f>
        <v>0</v>
      </c>
      <c r="L23" s="29" t="s">
        <v>119</v>
      </c>
      <c r="M23" s="236">
        <f>SUM(G21-G8-G11-G14-G17-G20)+(J21-J8-J11-J14-J17-J20)+(M21-M8-M11-M14-M17-M20)</f>
        <v>0</v>
      </c>
      <c r="N23" s="74"/>
      <c r="O23" s="72"/>
      <c r="P23" s="72"/>
    </row>
    <row r="24" spans="1:22" ht="14" x14ac:dyDescent="0.3">
      <c r="I24" s="430" t="s">
        <v>42</v>
      </c>
      <c r="J24" s="431"/>
      <c r="K24" s="77"/>
      <c r="L24" s="428" t="s">
        <v>144</v>
      </c>
      <c r="M24" s="429"/>
      <c r="N24" s="74"/>
      <c r="O24" s="72"/>
      <c r="P24" s="21"/>
    </row>
    <row r="25" spans="1:22" ht="14" x14ac:dyDescent="0.3">
      <c r="N25" s="270"/>
      <c r="O25" s="301"/>
      <c r="P25" s="72"/>
    </row>
    <row r="26" spans="1:22" x14ac:dyDescent="0.25">
      <c r="A26" s="80"/>
      <c r="B26" s="273"/>
      <c r="C26" s="224"/>
      <c r="D26" s="224"/>
      <c r="E26" s="224"/>
      <c r="F26" s="224"/>
      <c r="G26" s="224"/>
      <c r="H26" s="224"/>
      <c r="I26" s="224"/>
      <c r="J26" s="224"/>
      <c r="K26" s="224"/>
      <c r="L26" s="224"/>
      <c r="M26" s="224"/>
      <c r="N26" s="224"/>
      <c r="O26" s="285"/>
    </row>
    <row r="27" spans="1:22" ht="15.5" x14ac:dyDescent="0.25">
      <c r="A27" s="80"/>
      <c r="B27" s="392" t="s">
        <v>46</v>
      </c>
      <c r="C27" s="393"/>
      <c r="D27" s="393"/>
      <c r="E27" s="393"/>
      <c r="F27" s="393"/>
      <c r="G27" s="393"/>
      <c r="H27" s="393"/>
      <c r="I27" s="393"/>
      <c r="J27" s="393"/>
      <c r="K27" s="393"/>
      <c r="L27" s="393"/>
      <c r="M27" s="393"/>
      <c r="N27" s="394"/>
      <c r="O27" s="94"/>
    </row>
    <row r="28" spans="1:22" ht="14" x14ac:dyDescent="0.25">
      <c r="A28" s="112"/>
      <c r="B28" s="414"/>
      <c r="C28" s="397"/>
      <c r="D28" s="397"/>
      <c r="E28" s="397"/>
      <c r="F28" s="397"/>
      <c r="G28" s="397"/>
      <c r="H28" s="397"/>
      <c r="I28" s="397"/>
      <c r="J28" s="397"/>
      <c r="K28" s="397"/>
      <c r="L28" s="397"/>
      <c r="M28" s="397"/>
      <c r="N28" s="398"/>
      <c r="O28" s="94"/>
      <c r="Q28" s="24"/>
      <c r="R28" s="24"/>
    </row>
    <row r="29" spans="1:22" ht="14" x14ac:dyDescent="0.3">
      <c r="A29" s="113"/>
      <c r="B29" s="501" t="s">
        <v>140</v>
      </c>
      <c r="C29" s="502"/>
      <c r="D29" s="502"/>
      <c r="E29" s="502"/>
      <c r="F29" s="502"/>
      <c r="G29" s="502"/>
      <c r="H29" s="502"/>
      <c r="I29" s="502"/>
      <c r="J29" s="502"/>
      <c r="K29" s="502"/>
      <c r="L29" s="502"/>
      <c r="M29" s="502"/>
      <c r="N29" s="503"/>
      <c r="O29" s="94"/>
      <c r="Q29"/>
      <c r="R29" s="27"/>
    </row>
    <row r="30" spans="1:22" ht="14" x14ac:dyDescent="0.3">
      <c r="A30" s="113"/>
      <c r="B30" s="399" t="s">
        <v>33</v>
      </c>
      <c r="C30" s="400"/>
      <c r="D30" s="400"/>
      <c r="E30" s="400"/>
      <c r="F30" s="400"/>
      <c r="G30" s="400"/>
      <c r="H30" s="400"/>
      <c r="I30" s="400"/>
      <c r="J30" s="400"/>
      <c r="K30" s="400"/>
      <c r="L30" s="400"/>
      <c r="M30" s="84"/>
      <c r="N30" s="61">
        <f>'Wages, Taxes and Workers'' Comp'!E7</f>
        <v>0</v>
      </c>
      <c r="O30" s="94"/>
      <c r="Q30"/>
      <c r="R30" s="27"/>
    </row>
    <row r="31" spans="1:22" ht="14" x14ac:dyDescent="0.25">
      <c r="A31" s="112"/>
      <c r="B31" s="399" t="s">
        <v>32</v>
      </c>
      <c r="C31" s="400"/>
      <c r="D31" s="400"/>
      <c r="E31" s="400"/>
      <c r="F31" s="400"/>
      <c r="G31" s="400"/>
      <c r="H31" s="400"/>
      <c r="I31" s="400"/>
      <c r="J31" s="400"/>
      <c r="K31" s="400"/>
      <c r="L31" s="400"/>
      <c r="M31" s="84"/>
      <c r="N31" s="25"/>
      <c r="O31" s="94"/>
      <c r="Q31" s="24"/>
      <c r="R31" s="24"/>
    </row>
    <row r="32" spans="1:22" ht="14" x14ac:dyDescent="0.25">
      <c r="A32" s="112"/>
      <c r="B32" s="399" t="s">
        <v>31</v>
      </c>
      <c r="C32" s="400"/>
      <c r="D32" s="400"/>
      <c r="E32" s="400"/>
      <c r="F32" s="400"/>
      <c r="G32" s="400"/>
      <c r="H32" s="400"/>
      <c r="I32" s="400"/>
      <c r="J32" s="400"/>
      <c r="K32" s="400"/>
      <c r="L32" s="400"/>
      <c r="M32" s="84"/>
      <c r="N32" s="28"/>
      <c r="O32" s="94"/>
      <c r="Q32" s="24"/>
      <c r="R32" s="24"/>
    </row>
    <row r="33" spans="1:18" ht="14" x14ac:dyDescent="0.25">
      <c r="A33" s="112"/>
      <c r="B33" s="399" t="s">
        <v>30</v>
      </c>
      <c r="C33" s="400"/>
      <c r="D33" s="400"/>
      <c r="E33" s="400"/>
      <c r="F33" s="400"/>
      <c r="G33" s="400"/>
      <c r="H33" s="400"/>
      <c r="I33" s="400"/>
      <c r="J33" s="400"/>
      <c r="K33" s="400"/>
      <c r="L33" s="400"/>
      <c r="M33" s="84"/>
      <c r="N33" s="28"/>
      <c r="O33" s="94"/>
      <c r="Q33" s="24"/>
      <c r="R33" s="24"/>
    </row>
    <row r="34" spans="1:18" ht="14" x14ac:dyDescent="0.25">
      <c r="A34" s="112"/>
      <c r="B34" s="401" t="s">
        <v>225</v>
      </c>
      <c r="C34" s="402"/>
      <c r="D34" s="402"/>
      <c r="E34" s="402"/>
      <c r="F34" s="402"/>
      <c r="G34" s="402"/>
      <c r="H34" s="402"/>
      <c r="I34" s="402"/>
      <c r="J34" s="402"/>
      <c r="K34" s="402"/>
      <c r="L34" s="402"/>
      <c r="M34" s="403"/>
      <c r="N34" s="161">
        <f>IFERROR('Wages, Taxes and Workers'' Comp'!E7*('Wages, Taxes and Workers'' Comp'!E19/'Wages, Taxes and Workers'' Comp'!E12),0)</f>
        <v>0</v>
      </c>
      <c r="O34" s="94"/>
      <c r="Q34" s="24"/>
      <c r="R34" s="24"/>
    </row>
    <row r="35" spans="1:18" ht="14" x14ac:dyDescent="0.3">
      <c r="A35" s="112"/>
      <c r="B35" s="476" t="s">
        <v>127</v>
      </c>
      <c r="C35" s="477"/>
      <c r="D35" s="477"/>
      <c r="E35" s="477"/>
      <c r="F35" s="477"/>
      <c r="G35" s="477"/>
      <c r="H35" s="477"/>
      <c r="I35" s="477"/>
      <c r="J35" s="477"/>
      <c r="K35" s="477"/>
      <c r="L35" s="478"/>
      <c r="M35" s="479"/>
      <c r="N35" s="161">
        <f>SUM(N30:N34)</f>
        <v>0</v>
      </c>
      <c r="O35" s="94"/>
      <c r="Q35" s="24"/>
      <c r="R35" s="24"/>
    </row>
    <row r="36" spans="1:18" ht="14" x14ac:dyDescent="0.25">
      <c r="A36" s="112"/>
      <c r="B36" s="255"/>
      <c r="C36" s="256"/>
      <c r="D36" s="256"/>
      <c r="E36" s="256"/>
      <c r="F36" s="256"/>
      <c r="G36" s="256"/>
      <c r="H36" s="256"/>
      <c r="I36" s="256"/>
      <c r="J36" s="256"/>
      <c r="K36" s="256"/>
      <c r="L36" s="256"/>
      <c r="M36" s="156"/>
      <c r="N36" s="160"/>
      <c r="O36" s="94"/>
      <c r="Q36" s="24"/>
      <c r="R36" s="24"/>
    </row>
    <row r="37" spans="1:18" ht="14" x14ac:dyDescent="0.3">
      <c r="A37" s="113"/>
      <c r="B37" s="501" t="s">
        <v>110</v>
      </c>
      <c r="C37" s="502"/>
      <c r="D37" s="502"/>
      <c r="E37" s="502"/>
      <c r="F37" s="502"/>
      <c r="G37" s="502"/>
      <c r="H37" s="502"/>
      <c r="I37" s="502"/>
      <c r="J37" s="502"/>
      <c r="K37" s="502"/>
      <c r="L37" s="502"/>
      <c r="M37" s="502"/>
      <c r="N37" s="503"/>
      <c r="O37" s="94"/>
      <c r="Q37"/>
      <c r="R37" s="27"/>
    </row>
    <row r="38" spans="1:18" ht="14" x14ac:dyDescent="0.3">
      <c r="A38" s="113"/>
      <c r="B38" s="399" t="s">
        <v>33</v>
      </c>
      <c r="C38" s="400"/>
      <c r="D38" s="400"/>
      <c r="E38" s="400"/>
      <c r="F38" s="400"/>
      <c r="G38" s="400"/>
      <c r="H38" s="400"/>
      <c r="I38" s="400"/>
      <c r="J38" s="400"/>
      <c r="K38" s="400"/>
      <c r="L38" s="400"/>
      <c r="M38" s="84"/>
      <c r="N38" s="61">
        <f>'Wages, Taxes and Workers'' Comp'!E9</f>
        <v>0</v>
      </c>
      <c r="O38" s="94"/>
      <c r="Q38"/>
      <c r="R38" s="27"/>
    </row>
    <row r="39" spans="1:18" ht="14" x14ac:dyDescent="0.25">
      <c r="A39" s="112"/>
      <c r="B39" s="399" t="s">
        <v>32</v>
      </c>
      <c r="C39" s="400"/>
      <c r="D39" s="400"/>
      <c r="E39" s="400"/>
      <c r="F39" s="400"/>
      <c r="G39" s="400"/>
      <c r="H39" s="400"/>
      <c r="I39" s="400"/>
      <c r="J39" s="400"/>
      <c r="K39" s="400"/>
      <c r="L39" s="400"/>
      <c r="M39" s="84"/>
      <c r="N39" s="25"/>
      <c r="O39" s="94"/>
      <c r="Q39" s="24"/>
      <c r="R39" s="24"/>
    </row>
    <row r="40" spans="1:18" ht="14" x14ac:dyDescent="0.25">
      <c r="A40" s="112"/>
      <c r="B40" s="399" t="s">
        <v>31</v>
      </c>
      <c r="C40" s="400"/>
      <c r="D40" s="400"/>
      <c r="E40" s="400"/>
      <c r="F40" s="400"/>
      <c r="G40" s="400"/>
      <c r="H40" s="400"/>
      <c r="I40" s="400"/>
      <c r="J40" s="400"/>
      <c r="K40" s="400"/>
      <c r="L40" s="400"/>
      <c r="M40" s="84"/>
      <c r="N40" s="28"/>
      <c r="O40" s="94"/>
      <c r="Q40" s="24"/>
      <c r="R40" s="24"/>
    </row>
    <row r="41" spans="1:18" ht="14" x14ac:dyDescent="0.25">
      <c r="A41" s="112"/>
      <c r="B41" s="399" t="s">
        <v>30</v>
      </c>
      <c r="C41" s="400"/>
      <c r="D41" s="400"/>
      <c r="E41" s="400"/>
      <c r="F41" s="400"/>
      <c r="G41" s="400"/>
      <c r="H41" s="400"/>
      <c r="I41" s="400"/>
      <c r="J41" s="400"/>
      <c r="K41" s="400"/>
      <c r="L41" s="400"/>
      <c r="M41" s="84"/>
      <c r="N41" s="28"/>
      <c r="O41" s="94"/>
      <c r="Q41" s="24"/>
      <c r="R41" s="24"/>
    </row>
    <row r="42" spans="1:18" ht="14" x14ac:dyDescent="0.25">
      <c r="A42" s="112"/>
      <c r="B42" s="401" t="s">
        <v>170</v>
      </c>
      <c r="C42" s="402"/>
      <c r="D42" s="402"/>
      <c r="E42" s="402"/>
      <c r="F42" s="402"/>
      <c r="G42" s="402"/>
      <c r="H42" s="402"/>
      <c r="I42" s="402"/>
      <c r="J42" s="402"/>
      <c r="K42" s="402"/>
      <c r="L42" s="402"/>
      <c r="M42" s="403"/>
      <c r="N42" s="158">
        <f>IFERROR('Wages, Taxes and Workers'' Comp'!E9*('Wages, Taxes and Workers'' Comp'!E19/'Wages, Taxes and Workers'' Comp'!E12),0)</f>
        <v>0</v>
      </c>
      <c r="O42" s="94"/>
      <c r="Q42" s="24"/>
      <c r="R42" s="24"/>
    </row>
    <row r="43" spans="1:18" ht="14" x14ac:dyDescent="0.3">
      <c r="A43" s="112"/>
      <c r="B43" s="476" t="s">
        <v>124</v>
      </c>
      <c r="C43" s="477"/>
      <c r="D43" s="477"/>
      <c r="E43" s="477"/>
      <c r="F43" s="477"/>
      <c r="G43" s="477"/>
      <c r="H43" s="477"/>
      <c r="I43" s="477"/>
      <c r="J43" s="477"/>
      <c r="K43" s="477"/>
      <c r="L43" s="478"/>
      <c r="M43" s="479"/>
      <c r="N43" s="159">
        <f>SUM(N38:N42)</f>
        <v>0</v>
      </c>
      <c r="O43" s="94"/>
      <c r="Q43" s="24"/>
      <c r="R43" s="24"/>
    </row>
    <row r="44" spans="1:18" ht="14" x14ac:dyDescent="0.25">
      <c r="A44" s="112"/>
      <c r="B44" s="255"/>
      <c r="C44" s="256"/>
      <c r="D44" s="256"/>
      <c r="E44" s="256"/>
      <c r="F44" s="256"/>
      <c r="G44" s="256"/>
      <c r="H44" s="256"/>
      <c r="I44" s="256"/>
      <c r="J44" s="256"/>
      <c r="K44" s="256"/>
      <c r="L44" s="256"/>
      <c r="M44" s="156"/>
      <c r="N44" s="160"/>
      <c r="O44" s="94"/>
      <c r="Q44" s="24"/>
      <c r="R44" s="24"/>
    </row>
    <row r="45" spans="1:18" ht="14" x14ac:dyDescent="0.3">
      <c r="A45" s="113"/>
      <c r="B45" s="501" t="s">
        <v>47</v>
      </c>
      <c r="C45" s="502"/>
      <c r="D45" s="502"/>
      <c r="E45" s="502"/>
      <c r="F45" s="502"/>
      <c r="G45" s="502"/>
      <c r="H45" s="502"/>
      <c r="I45" s="502"/>
      <c r="J45" s="502"/>
      <c r="K45" s="502"/>
      <c r="L45" s="502"/>
      <c r="M45" s="502"/>
      <c r="N45" s="503"/>
      <c r="O45" s="94"/>
      <c r="Q45"/>
      <c r="R45" s="27"/>
    </row>
    <row r="46" spans="1:18" ht="14" x14ac:dyDescent="0.3">
      <c r="A46" s="113"/>
      <c r="B46" s="399" t="s">
        <v>33</v>
      </c>
      <c r="C46" s="400"/>
      <c r="D46" s="400"/>
      <c r="E46" s="400"/>
      <c r="F46" s="400"/>
      <c r="G46" s="400"/>
      <c r="H46" s="400"/>
      <c r="I46" s="400"/>
      <c r="J46" s="400"/>
      <c r="K46" s="400"/>
      <c r="L46" s="400"/>
      <c r="M46" s="84"/>
      <c r="N46" s="61">
        <f>'Wages, Taxes and Workers'' Comp'!E10</f>
        <v>0</v>
      </c>
      <c r="O46" s="94"/>
      <c r="Q46"/>
      <c r="R46" s="27"/>
    </row>
    <row r="47" spans="1:18" ht="14" x14ac:dyDescent="0.25">
      <c r="A47" s="112"/>
      <c r="B47" s="399" t="s">
        <v>32</v>
      </c>
      <c r="C47" s="400"/>
      <c r="D47" s="400"/>
      <c r="E47" s="400"/>
      <c r="F47" s="400"/>
      <c r="G47" s="400"/>
      <c r="H47" s="400"/>
      <c r="I47" s="400"/>
      <c r="J47" s="400"/>
      <c r="K47" s="400"/>
      <c r="L47" s="400"/>
      <c r="M47" s="84"/>
      <c r="N47" s="25"/>
      <c r="O47" s="94"/>
      <c r="Q47" s="24"/>
      <c r="R47" s="24"/>
    </row>
    <row r="48" spans="1:18" ht="14" x14ac:dyDescent="0.25">
      <c r="A48" s="112"/>
      <c r="B48" s="399" t="s">
        <v>31</v>
      </c>
      <c r="C48" s="400"/>
      <c r="D48" s="400"/>
      <c r="E48" s="400"/>
      <c r="F48" s="400"/>
      <c r="G48" s="400"/>
      <c r="H48" s="400"/>
      <c r="I48" s="400"/>
      <c r="J48" s="400"/>
      <c r="K48" s="400"/>
      <c r="L48" s="400"/>
      <c r="M48" s="84"/>
      <c r="N48" s="28"/>
      <c r="O48" s="94"/>
      <c r="Q48" s="24"/>
      <c r="R48" s="24"/>
    </row>
    <row r="49" spans="1:18" ht="14" x14ac:dyDescent="0.25">
      <c r="A49" s="112"/>
      <c r="B49" s="399" t="s">
        <v>30</v>
      </c>
      <c r="C49" s="400"/>
      <c r="D49" s="400"/>
      <c r="E49" s="400"/>
      <c r="F49" s="400"/>
      <c r="G49" s="400"/>
      <c r="H49" s="400"/>
      <c r="I49" s="400"/>
      <c r="J49" s="400"/>
      <c r="K49" s="400"/>
      <c r="L49" s="400"/>
      <c r="M49" s="84"/>
      <c r="N49" s="28"/>
      <c r="O49" s="94"/>
      <c r="Q49" s="24"/>
      <c r="R49" s="24"/>
    </row>
    <row r="50" spans="1:18" ht="14" x14ac:dyDescent="0.25">
      <c r="A50" s="112"/>
      <c r="B50" s="401" t="s">
        <v>171</v>
      </c>
      <c r="C50" s="402"/>
      <c r="D50" s="402"/>
      <c r="E50" s="402"/>
      <c r="F50" s="402"/>
      <c r="G50" s="402"/>
      <c r="H50" s="402"/>
      <c r="I50" s="402"/>
      <c r="J50" s="402"/>
      <c r="K50" s="402"/>
      <c r="L50" s="402"/>
      <c r="M50" s="403"/>
      <c r="N50" s="161">
        <f>IFERROR('Wages, Taxes and Workers'' Comp'!E10*('Wages, Taxes and Workers'' Comp'!E19/'Wages, Taxes and Workers'' Comp'!E12),0)</f>
        <v>0</v>
      </c>
      <c r="O50" s="94"/>
      <c r="Q50" s="24"/>
      <c r="R50" s="24"/>
    </row>
    <row r="51" spans="1:18" ht="14" x14ac:dyDescent="0.3">
      <c r="A51" s="112"/>
      <c r="B51" s="476" t="s">
        <v>125</v>
      </c>
      <c r="C51" s="477"/>
      <c r="D51" s="477"/>
      <c r="E51" s="477"/>
      <c r="F51" s="477"/>
      <c r="G51" s="477"/>
      <c r="H51" s="477"/>
      <c r="I51" s="477"/>
      <c r="J51" s="477"/>
      <c r="K51" s="477"/>
      <c r="L51" s="478"/>
      <c r="M51" s="479"/>
      <c r="N51" s="62">
        <f>SUM(N46:N50)</f>
        <v>0</v>
      </c>
      <c r="O51" s="94"/>
      <c r="Q51" s="24"/>
      <c r="R51" s="24"/>
    </row>
    <row r="52" spans="1:18" ht="14" x14ac:dyDescent="0.25">
      <c r="A52" s="112"/>
      <c r="B52" s="255"/>
      <c r="C52" s="256"/>
      <c r="D52" s="256"/>
      <c r="E52" s="256"/>
      <c r="F52" s="256"/>
      <c r="G52" s="256"/>
      <c r="H52" s="256"/>
      <c r="I52" s="256"/>
      <c r="J52" s="256"/>
      <c r="K52" s="256"/>
      <c r="L52" s="256"/>
      <c r="M52" s="156"/>
      <c r="N52" s="160"/>
      <c r="O52" s="94"/>
      <c r="Q52" s="24"/>
      <c r="R52" s="24"/>
    </row>
    <row r="53" spans="1:18" ht="14" x14ac:dyDescent="0.3">
      <c r="A53" s="113"/>
      <c r="B53" s="501" t="s">
        <v>48</v>
      </c>
      <c r="C53" s="502"/>
      <c r="D53" s="502"/>
      <c r="E53" s="502"/>
      <c r="F53" s="502"/>
      <c r="G53" s="502"/>
      <c r="H53" s="502"/>
      <c r="I53" s="502"/>
      <c r="J53" s="502"/>
      <c r="K53" s="502"/>
      <c r="L53" s="502"/>
      <c r="M53" s="502"/>
      <c r="N53" s="503"/>
      <c r="O53" s="94"/>
      <c r="Q53"/>
      <c r="R53" s="27"/>
    </row>
    <row r="54" spans="1:18" ht="14" x14ac:dyDescent="0.3">
      <c r="A54" s="113"/>
      <c r="B54" s="399" t="s">
        <v>33</v>
      </c>
      <c r="C54" s="400"/>
      <c r="D54" s="400"/>
      <c r="E54" s="400"/>
      <c r="F54" s="400"/>
      <c r="G54" s="400"/>
      <c r="H54" s="400"/>
      <c r="I54" s="400"/>
      <c r="J54" s="400"/>
      <c r="K54" s="400"/>
      <c r="L54" s="400"/>
      <c r="M54" s="86"/>
      <c r="N54" s="61">
        <f>'Wages, Taxes and Workers'' Comp'!E11</f>
        <v>0</v>
      </c>
      <c r="O54" s="94"/>
      <c r="Q54"/>
      <c r="R54" s="27"/>
    </row>
    <row r="55" spans="1:18" ht="14" x14ac:dyDescent="0.25">
      <c r="A55" s="112"/>
      <c r="B55" s="399" t="s">
        <v>32</v>
      </c>
      <c r="C55" s="400"/>
      <c r="D55" s="400"/>
      <c r="E55" s="400"/>
      <c r="F55" s="400"/>
      <c r="G55" s="400"/>
      <c r="H55" s="400"/>
      <c r="I55" s="400"/>
      <c r="J55" s="400"/>
      <c r="K55" s="400"/>
      <c r="L55" s="400"/>
      <c r="M55" s="85"/>
      <c r="N55" s="25"/>
      <c r="O55" s="94"/>
      <c r="Q55" s="24"/>
      <c r="R55" s="24"/>
    </row>
    <row r="56" spans="1:18" ht="14" x14ac:dyDescent="0.25">
      <c r="A56" s="112"/>
      <c r="B56" s="399" t="s">
        <v>31</v>
      </c>
      <c r="C56" s="400"/>
      <c r="D56" s="400"/>
      <c r="E56" s="400"/>
      <c r="F56" s="400"/>
      <c r="G56" s="400"/>
      <c r="H56" s="400"/>
      <c r="I56" s="400"/>
      <c r="J56" s="400"/>
      <c r="K56" s="400"/>
      <c r="L56" s="400"/>
      <c r="M56" s="85"/>
      <c r="N56" s="28"/>
      <c r="O56" s="94"/>
      <c r="Q56" s="24"/>
      <c r="R56" s="24"/>
    </row>
    <row r="57" spans="1:18" ht="14" x14ac:dyDescent="0.25">
      <c r="A57" s="112"/>
      <c r="B57" s="399" t="s">
        <v>30</v>
      </c>
      <c r="C57" s="400"/>
      <c r="D57" s="400"/>
      <c r="E57" s="400"/>
      <c r="F57" s="400"/>
      <c r="G57" s="400"/>
      <c r="H57" s="400"/>
      <c r="I57" s="400"/>
      <c r="J57" s="400"/>
      <c r="K57" s="400"/>
      <c r="L57" s="400"/>
      <c r="M57" s="86"/>
      <c r="N57" s="28"/>
      <c r="O57" s="94"/>
      <c r="Q57" s="24"/>
      <c r="R57" s="24"/>
    </row>
    <row r="58" spans="1:18" ht="14" x14ac:dyDescent="0.25">
      <c r="A58" s="112"/>
      <c r="B58" s="401" t="s">
        <v>172</v>
      </c>
      <c r="C58" s="402"/>
      <c r="D58" s="402"/>
      <c r="E58" s="402"/>
      <c r="F58" s="402"/>
      <c r="G58" s="402"/>
      <c r="H58" s="402"/>
      <c r="I58" s="402"/>
      <c r="J58" s="402"/>
      <c r="K58" s="402"/>
      <c r="L58" s="402"/>
      <c r="M58" s="403"/>
      <c r="N58" s="161">
        <f>IFERROR('Wages, Taxes and Workers'' Comp'!E11*('Wages, Taxes and Workers'' Comp'!E19/'Wages, Taxes and Workers'' Comp'!E12),0)</f>
        <v>0</v>
      </c>
      <c r="O58" s="94"/>
      <c r="Q58" s="24"/>
      <c r="R58" s="24"/>
    </row>
    <row r="59" spans="1:18" ht="14" x14ac:dyDescent="0.3">
      <c r="A59" s="112"/>
      <c r="B59" s="476" t="s">
        <v>126</v>
      </c>
      <c r="C59" s="477"/>
      <c r="D59" s="477"/>
      <c r="E59" s="477"/>
      <c r="F59" s="477"/>
      <c r="G59" s="477"/>
      <c r="H59" s="477"/>
      <c r="I59" s="477"/>
      <c r="J59" s="477"/>
      <c r="K59" s="477"/>
      <c r="L59" s="478"/>
      <c r="M59" s="479"/>
      <c r="N59" s="62">
        <f>SUM(N54:N58)</f>
        <v>0</v>
      </c>
      <c r="O59" s="94"/>
      <c r="Q59" s="24"/>
      <c r="R59" s="24"/>
    </row>
    <row r="60" spans="1:18" ht="14" x14ac:dyDescent="0.25">
      <c r="A60" s="112"/>
      <c r="B60" s="255"/>
      <c r="C60" s="256"/>
      <c r="D60" s="256"/>
      <c r="E60" s="256"/>
      <c r="F60" s="256"/>
      <c r="G60" s="256"/>
      <c r="H60" s="256"/>
      <c r="I60" s="256"/>
      <c r="J60" s="256"/>
      <c r="K60" s="256"/>
      <c r="L60" s="256"/>
      <c r="M60" s="157"/>
      <c r="N60" s="160"/>
      <c r="O60" s="94"/>
      <c r="Q60" s="24"/>
      <c r="R60" s="24"/>
    </row>
    <row r="61" spans="1:18" ht="15.5" x14ac:dyDescent="0.35">
      <c r="A61" s="112"/>
      <c r="B61" s="480" t="s">
        <v>118</v>
      </c>
      <c r="C61" s="480"/>
      <c r="D61" s="480"/>
      <c r="E61" s="480"/>
      <c r="F61" s="480"/>
      <c r="G61" s="480"/>
      <c r="H61" s="480"/>
      <c r="I61" s="480"/>
      <c r="J61" s="480"/>
      <c r="K61" s="480"/>
      <c r="L61" s="481"/>
      <c r="M61" s="142" t="s">
        <v>218</v>
      </c>
      <c r="N61" s="23">
        <f>ROUND(SUM(N35+N43+N51+N59),0)</f>
        <v>0</v>
      </c>
      <c r="O61" s="94"/>
      <c r="Q61" s="22"/>
      <c r="R61" s="22"/>
    </row>
    <row r="62" spans="1:18" ht="15.5" x14ac:dyDescent="0.35">
      <c r="A62" s="112"/>
      <c r="B62" s="286"/>
      <c r="C62" s="143"/>
      <c r="D62" s="143"/>
      <c r="E62" s="143"/>
      <c r="F62" s="143"/>
      <c r="G62" s="143"/>
      <c r="H62" s="143"/>
      <c r="I62" s="143"/>
      <c r="J62" s="143"/>
      <c r="K62" s="143"/>
      <c r="L62" s="26"/>
      <c r="M62" s="112"/>
      <c r="N62" s="112"/>
      <c r="O62" s="583"/>
      <c r="Q62" s="22"/>
      <c r="R62" s="22"/>
    </row>
    <row r="63" spans="1:18" ht="15.5" x14ac:dyDescent="0.25">
      <c r="A63" s="112"/>
      <c r="B63" s="392" t="s">
        <v>29</v>
      </c>
      <c r="C63" s="393"/>
      <c r="D63" s="393"/>
      <c r="E63" s="393"/>
      <c r="F63" s="393"/>
      <c r="G63" s="393"/>
      <c r="H63" s="393"/>
      <c r="I63" s="393"/>
      <c r="J63" s="393"/>
      <c r="K63" s="394"/>
      <c r="L63" s="112"/>
      <c r="M63" s="112"/>
      <c r="N63" s="112"/>
      <c r="O63" s="128"/>
      <c r="Q63" s="22"/>
      <c r="R63" s="22"/>
    </row>
    <row r="64" spans="1:18" ht="14" x14ac:dyDescent="0.25">
      <c r="A64" s="112"/>
      <c r="B64" s="482"/>
      <c r="C64" s="483"/>
      <c r="D64" s="483"/>
      <c r="E64" s="483"/>
      <c r="F64" s="483"/>
      <c r="G64" s="483"/>
      <c r="H64" s="483"/>
      <c r="I64" s="483"/>
      <c r="J64" s="483"/>
      <c r="K64" s="484"/>
      <c r="L64" s="112"/>
      <c r="M64" s="112"/>
      <c r="N64" s="112"/>
      <c r="O64" s="128"/>
      <c r="Q64" s="22"/>
      <c r="R64" s="22"/>
    </row>
    <row r="65" spans="1:18" ht="15.5" x14ac:dyDescent="0.35">
      <c r="A65" s="112"/>
      <c r="B65" s="485"/>
      <c r="C65" s="486"/>
      <c r="D65" s="487" t="s">
        <v>28</v>
      </c>
      <c r="E65" s="487"/>
      <c r="F65" s="144"/>
      <c r="G65" s="488" t="s">
        <v>120</v>
      </c>
      <c r="H65" s="488"/>
      <c r="I65" s="144"/>
      <c r="J65" s="489"/>
      <c r="K65" s="490"/>
      <c r="L65" s="112"/>
      <c r="M65" s="112"/>
      <c r="N65" s="112"/>
      <c r="O65" s="128"/>
      <c r="Q65" s="22"/>
      <c r="R65" s="22"/>
    </row>
    <row r="66" spans="1:18" ht="14" x14ac:dyDescent="0.3">
      <c r="A66" s="112"/>
      <c r="B66" s="491" t="s">
        <v>27</v>
      </c>
      <c r="C66" s="492"/>
      <c r="D66" s="493">
        <f>N61</f>
        <v>0</v>
      </c>
      <c r="E66" s="494"/>
      <c r="F66" s="145" t="s">
        <v>10</v>
      </c>
      <c r="G66" s="434">
        <f>J23</f>
        <v>0</v>
      </c>
      <c r="H66" s="436"/>
      <c r="I66" s="91" t="s">
        <v>11</v>
      </c>
      <c r="J66" s="337">
        <f>IF(D66&gt;0,ROUND(D66/G66,2),)</f>
        <v>0</v>
      </c>
      <c r="K66" s="339"/>
      <c r="L66" s="112"/>
      <c r="M66" s="112"/>
      <c r="N66" s="112"/>
      <c r="O66" s="94"/>
      <c r="Q66" s="22"/>
      <c r="R66" s="22"/>
    </row>
    <row r="67" spans="1:18" ht="31" customHeight="1" x14ac:dyDescent="0.3">
      <c r="A67" s="112"/>
      <c r="B67" s="470"/>
      <c r="C67" s="471"/>
      <c r="D67" s="472" t="s">
        <v>147</v>
      </c>
      <c r="E67" s="473"/>
      <c r="F67" s="146"/>
      <c r="G67" s="474" t="s">
        <v>219</v>
      </c>
      <c r="H67" s="475"/>
      <c r="I67" s="146"/>
      <c r="J67" s="19" t="s">
        <v>6</v>
      </c>
      <c r="K67" s="262" t="s">
        <v>164</v>
      </c>
      <c r="L67" s="280"/>
      <c r="M67" s="280"/>
      <c r="N67" s="280"/>
      <c r="O67" s="209"/>
      <c r="Q67" s="22"/>
      <c r="R67" s="22"/>
    </row>
    <row r="68" spans="1:18" ht="14" x14ac:dyDescent="0.25">
      <c r="A68" s="80"/>
      <c r="B68" s="80"/>
      <c r="C68" s="80"/>
      <c r="D68" s="80"/>
      <c r="E68" s="80"/>
      <c r="F68" s="80"/>
      <c r="G68" s="80"/>
      <c r="H68" s="80"/>
      <c r="I68" s="80"/>
      <c r="J68" s="80"/>
      <c r="K68" s="80"/>
      <c r="L68" s="22"/>
      <c r="M68" s="218"/>
      <c r="N68" s="218"/>
      <c r="O68" s="582"/>
      <c r="P68" s="77"/>
    </row>
    <row r="69" spans="1:18" ht="16" customHeight="1" thickBot="1" x14ac:dyDescent="0.3">
      <c r="A69" s="80"/>
      <c r="B69" s="504" t="s">
        <v>26</v>
      </c>
      <c r="C69" s="505"/>
      <c r="D69" s="505"/>
      <c r="E69" s="505"/>
      <c r="F69" s="505"/>
      <c r="G69" s="505"/>
      <c r="H69" s="505"/>
      <c r="I69" s="505"/>
      <c r="J69" s="505"/>
      <c r="K69" s="505"/>
      <c r="L69" s="505"/>
      <c r="M69" s="505"/>
      <c r="N69" s="505"/>
      <c r="O69" s="506"/>
    </row>
    <row r="70" spans="1:18" ht="13" customHeight="1" x14ac:dyDescent="0.3">
      <c r="A70" s="80"/>
      <c r="B70" s="87"/>
      <c r="C70" s="389" t="s">
        <v>137</v>
      </c>
      <c r="D70" s="390"/>
      <c r="E70" s="391"/>
      <c r="F70" s="80"/>
      <c r="G70" s="389" t="s">
        <v>138</v>
      </c>
      <c r="H70" s="390"/>
      <c r="I70" s="391"/>
      <c r="J70" s="88"/>
      <c r="K70" s="389" t="s">
        <v>139</v>
      </c>
      <c r="L70" s="390"/>
      <c r="M70" s="391"/>
      <c r="N70" s="14"/>
      <c r="O70" s="128"/>
      <c r="P70" s="14"/>
      <c r="Q70" s="14"/>
    </row>
    <row r="71" spans="1:18" ht="14" x14ac:dyDescent="0.3">
      <c r="A71" s="80"/>
      <c r="B71" s="33"/>
      <c r="C71" s="382"/>
      <c r="D71" s="383"/>
      <c r="E71" s="384"/>
      <c r="F71" s="88"/>
      <c r="G71" s="507"/>
      <c r="H71" s="508"/>
      <c r="I71" s="509"/>
      <c r="J71" s="88"/>
      <c r="K71" s="573"/>
      <c r="L71" s="574"/>
      <c r="M71" s="575"/>
      <c r="N71" s="112"/>
      <c r="O71" s="128"/>
      <c r="P71" s="14"/>
      <c r="Q71" s="14"/>
    </row>
    <row r="72" spans="1:18" ht="26.5" thickBot="1" x14ac:dyDescent="0.4">
      <c r="A72" s="80"/>
      <c r="B72" s="155" t="s">
        <v>72</v>
      </c>
      <c r="C72" s="467">
        <v>0</v>
      </c>
      <c r="D72" s="468"/>
      <c r="E72" s="469"/>
      <c r="F72" s="80"/>
      <c r="G72" s="467">
        <v>0</v>
      </c>
      <c r="H72" s="468"/>
      <c r="I72" s="469"/>
      <c r="J72" s="88"/>
      <c r="K72" s="467">
        <v>0</v>
      </c>
      <c r="L72" s="468"/>
      <c r="M72" s="469"/>
      <c r="N72" s="82"/>
      <c r="O72" s="94"/>
      <c r="P72" s="14"/>
      <c r="Q72" s="14"/>
    </row>
    <row r="73" spans="1:18" ht="14" x14ac:dyDescent="0.25">
      <c r="A73" s="80"/>
      <c r="B73" s="83"/>
      <c r="C73" s="80"/>
      <c r="D73" s="80"/>
      <c r="E73" s="80"/>
      <c r="F73" s="80"/>
      <c r="G73" s="80"/>
      <c r="I73" s="80"/>
      <c r="K73" s="80"/>
      <c r="M73" s="80"/>
      <c r="O73" s="128"/>
      <c r="R73" s="14"/>
    </row>
    <row r="74" spans="1:18" ht="38.5" customHeight="1" x14ac:dyDescent="0.35">
      <c r="A74" s="82"/>
      <c r="B74" s="246"/>
      <c r="C74" s="293" t="s">
        <v>73</v>
      </c>
      <c r="D74" s="81"/>
      <c r="E74" s="293" t="s">
        <v>74</v>
      </c>
      <c r="F74" s="81"/>
      <c r="G74" s="293" t="s">
        <v>62</v>
      </c>
      <c r="H74" s="80"/>
      <c r="I74" s="293" t="s">
        <v>75</v>
      </c>
      <c r="J74" s="81"/>
      <c r="K74" s="308" t="s">
        <v>62</v>
      </c>
      <c r="L74" s="80"/>
      <c r="M74" s="308" t="s">
        <v>76</v>
      </c>
      <c r="N74" s="82"/>
      <c r="O74" s="128"/>
      <c r="R74" s="14"/>
    </row>
    <row r="75" spans="1:18" ht="15.5" x14ac:dyDescent="0.35">
      <c r="A75" s="82"/>
      <c r="B75" s="246"/>
      <c r="C75" s="44" t="s">
        <v>112</v>
      </c>
      <c r="D75" s="81"/>
      <c r="E75" s="44" t="s">
        <v>56</v>
      </c>
      <c r="F75" s="81"/>
      <c r="G75" s="44" t="s">
        <v>113</v>
      </c>
      <c r="H75" s="80"/>
      <c r="I75" s="44" t="s">
        <v>60</v>
      </c>
      <c r="J75" s="81"/>
      <c r="K75" s="44" t="s">
        <v>114</v>
      </c>
      <c r="L75" s="80"/>
      <c r="M75" s="44" t="s">
        <v>61</v>
      </c>
      <c r="N75" s="82"/>
      <c r="O75" s="128"/>
    </row>
    <row r="76" spans="1:18" ht="15.5" x14ac:dyDescent="0.35">
      <c r="A76" s="82"/>
      <c r="B76" s="246"/>
      <c r="C76" s="81"/>
      <c r="D76" s="81"/>
      <c r="E76" s="81"/>
      <c r="F76" s="81"/>
      <c r="G76" s="81"/>
      <c r="H76" s="80"/>
      <c r="I76" s="81"/>
      <c r="J76" s="81"/>
      <c r="K76" s="81"/>
      <c r="M76" s="81"/>
      <c r="N76" s="81"/>
      <c r="O76" s="128"/>
    </row>
    <row r="77" spans="1:18" ht="14" x14ac:dyDescent="0.3">
      <c r="A77" s="82"/>
      <c r="B77" s="107"/>
      <c r="C77" s="66"/>
      <c r="D77" s="96"/>
      <c r="E77" s="66"/>
      <c r="F77" s="98"/>
      <c r="G77" s="66"/>
      <c r="H77" s="91"/>
      <c r="I77" s="68"/>
      <c r="J77" s="92"/>
      <c r="K77" s="66"/>
      <c r="L77" s="91"/>
      <c r="M77" s="102"/>
      <c r="N77" s="102"/>
      <c r="O77" s="94"/>
    </row>
    <row r="78" spans="1:18" ht="15.5" x14ac:dyDescent="0.35">
      <c r="A78" s="82"/>
      <c r="B78" s="107" t="s">
        <v>161</v>
      </c>
      <c r="C78" s="292">
        <f>G6+G7</f>
        <v>0</v>
      </c>
      <c r="D78" s="126" t="s">
        <v>20</v>
      </c>
      <c r="E78" s="297">
        <f>VLOOKUP(C72,'NDH Rates'!A5:AI30,2,FALSE)</f>
        <v>15.02</v>
      </c>
      <c r="F78" s="122" t="s">
        <v>12</v>
      </c>
      <c r="G78" s="292">
        <f>J6+J7</f>
        <v>0</v>
      </c>
      <c r="H78" s="91" t="s">
        <v>20</v>
      </c>
      <c r="I78" s="297">
        <f>VLOOKUP(G72,'NDH Rates'!A5:AI30,14,FALSE)</f>
        <v>15.02</v>
      </c>
      <c r="J78" s="91" t="s">
        <v>12</v>
      </c>
      <c r="K78" s="307">
        <f>M6+M7</f>
        <v>0</v>
      </c>
      <c r="L78" s="91" t="s">
        <v>20</v>
      </c>
      <c r="M78" s="312">
        <f>VLOOKUP(K72,'NDH Rates'!A5:AI30,26,FALSE)</f>
        <v>15.02</v>
      </c>
      <c r="O78" s="128"/>
    </row>
    <row r="79" spans="1:18" ht="14" x14ac:dyDescent="0.3">
      <c r="A79" s="82"/>
      <c r="B79" s="107"/>
      <c r="C79" s="65"/>
      <c r="D79" s="100"/>
      <c r="E79" s="68"/>
      <c r="F79" s="92"/>
      <c r="G79" s="65"/>
      <c r="H79" s="91"/>
      <c r="I79" s="68"/>
      <c r="J79" s="92"/>
      <c r="K79" s="65"/>
      <c r="L79" s="102"/>
      <c r="M79" s="124"/>
      <c r="N79" s="112"/>
      <c r="O79" s="128"/>
    </row>
    <row r="80" spans="1:18" ht="15.5" x14ac:dyDescent="0.35">
      <c r="A80" s="82"/>
      <c r="B80" s="193" t="s">
        <v>142</v>
      </c>
      <c r="C80" s="292">
        <f>G9+G10</f>
        <v>0</v>
      </c>
      <c r="D80" s="126" t="s">
        <v>20</v>
      </c>
      <c r="E80" s="297">
        <f>VLOOKUP(C72,'NDH Rates'!A5:AI30,4,FALSE)</f>
        <v>14.52</v>
      </c>
      <c r="F80" s="122" t="s">
        <v>12</v>
      </c>
      <c r="G80" s="292">
        <f>J9+J10</f>
        <v>0</v>
      </c>
      <c r="H80" s="91" t="s">
        <v>20</v>
      </c>
      <c r="I80" s="297">
        <f>VLOOKUP(G72,'NDH Rates'!A5:AI30,16,FALSE)</f>
        <v>14.52</v>
      </c>
      <c r="J80" s="91" t="s">
        <v>12</v>
      </c>
      <c r="K80" s="307">
        <f>M9+M10</f>
        <v>0</v>
      </c>
      <c r="L80" s="91" t="s">
        <v>20</v>
      </c>
      <c r="M80" s="312">
        <f>VLOOKUP(K72,'NDH Rates'!A$5:AI30,28,FALSE)</f>
        <v>14.52</v>
      </c>
      <c r="N80" s="80"/>
      <c r="O80" s="128"/>
    </row>
    <row r="81" spans="1:15" ht="15.5" x14ac:dyDescent="0.35">
      <c r="A81" s="82"/>
      <c r="B81" s="107"/>
      <c r="C81" s="66"/>
      <c r="D81" s="126"/>
      <c r="E81" s="66"/>
      <c r="F81" s="122"/>
      <c r="G81" s="296"/>
      <c r="H81" s="91"/>
      <c r="I81" s="66"/>
      <c r="J81" s="91"/>
      <c r="K81" s="66"/>
      <c r="L81" s="91"/>
      <c r="M81" s="125"/>
      <c r="N81" s="112"/>
      <c r="O81" s="128"/>
    </row>
    <row r="82" spans="1:15" ht="15.5" x14ac:dyDescent="0.35">
      <c r="A82" s="82"/>
      <c r="B82" s="107" t="s">
        <v>66</v>
      </c>
      <c r="C82" s="292">
        <f>G12</f>
        <v>0</v>
      </c>
      <c r="D82" s="126" t="s">
        <v>20</v>
      </c>
      <c r="E82" s="297">
        <f>VLOOKUP(C72,'NDH Rates'!A5:AI30,6,FALSE)</f>
        <v>10.66</v>
      </c>
      <c r="F82" s="122" t="s">
        <v>12</v>
      </c>
      <c r="G82" s="292">
        <f>J12</f>
        <v>0</v>
      </c>
      <c r="H82" s="91" t="s">
        <v>20</v>
      </c>
      <c r="I82" s="297">
        <f>VLOOKUP(G72,'NDH Rates'!A5:AI30,18,FALSE)</f>
        <v>10.66</v>
      </c>
      <c r="J82" s="91" t="s">
        <v>12</v>
      </c>
      <c r="K82" s="307">
        <f>M12</f>
        <v>0</v>
      </c>
      <c r="L82" s="91" t="s">
        <v>20</v>
      </c>
      <c r="M82" s="312">
        <f>VLOOKUP(K72,'NDH Rates'!A5:AI30,30,FALSE)</f>
        <v>10.66</v>
      </c>
      <c r="N82" s="112"/>
      <c r="O82" s="94"/>
    </row>
    <row r="83" spans="1:15" ht="14" x14ac:dyDescent="0.3">
      <c r="A83" s="82"/>
      <c r="B83" s="107"/>
      <c r="C83" s="65"/>
      <c r="D83" s="100"/>
      <c r="E83" s="68"/>
      <c r="F83" s="92"/>
      <c r="G83" s="65"/>
      <c r="H83" s="91"/>
      <c r="I83" s="68"/>
      <c r="J83" s="92"/>
      <c r="K83" s="65"/>
      <c r="L83" s="102"/>
      <c r="M83" s="124"/>
      <c r="N83" s="112"/>
      <c r="O83" s="128"/>
    </row>
    <row r="84" spans="1:15" ht="15.5" x14ac:dyDescent="0.35">
      <c r="A84" s="82"/>
      <c r="B84" s="107" t="s">
        <v>69</v>
      </c>
      <c r="C84" s="292">
        <f>G13</f>
        <v>0</v>
      </c>
      <c r="D84" s="126" t="s">
        <v>20</v>
      </c>
      <c r="E84" s="297">
        <f>VLOOKUP(C72,'NDH Rates'!A5:AI30,7,FALSE)</f>
        <v>10.66</v>
      </c>
      <c r="F84" s="122" t="s">
        <v>12</v>
      </c>
      <c r="G84" s="292">
        <f>J13</f>
        <v>0</v>
      </c>
      <c r="H84" s="91" t="s">
        <v>20</v>
      </c>
      <c r="I84" s="297">
        <f>VLOOKUP(G72,'NDH Rates'!A5:AI30,19,FALSE)</f>
        <v>10.66</v>
      </c>
      <c r="J84" s="91" t="s">
        <v>12</v>
      </c>
      <c r="K84" s="307">
        <f>M13</f>
        <v>0</v>
      </c>
      <c r="L84" s="91" t="s">
        <v>20</v>
      </c>
      <c r="M84" s="306">
        <f>VLOOKUP(K72,'NDH Rates'!A5:AI30,31,FALSE)</f>
        <v>10.66</v>
      </c>
      <c r="N84" s="80"/>
      <c r="O84" s="128"/>
    </row>
    <row r="85" spans="1:15" ht="15.5" x14ac:dyDescent="0.35">
      <c r="A85" s="82"/>
      <c r="B85" s="107"/>
      <c r="C85" s="66"/>
      <c r="D85" s="126"/>
      <c r="E85" s="66"/>
      <c r="F85" s="122"/>
      <c r="G85" s="296"/>
      <c r="H85" s="91"/>
      <c r="I85" s="294"/>
      <c r="J85" s="91"/>
      <c r="K85" s="310"/>
      <c r="L85" s="91"/>
      <c r="M85" s="125"/>
      <c r="N85" s="112"/>
      <c r="O85" s="128"/>
    </row>
    <row r="86" spans="1:15" ht="15.5" x14ac:dyDescent="0.35">
      <c r="A86" s="82"/>
      <c r="B86" s="107" t="s">
        <v>67</v>
      </c>
      <c r="C86" s="292">
        <f>G15</f>
        <v>0</v>
      </c>
      <c r="D86" s="126" t="s">
        <v>20</v>
      </c>
      <c r="E86" s="297">
        <f>VLOOKUP(C72,'NDH Rates'!A5:AI30,8,FALSE)</f>
        <v>19.07</v>
      </c>
      <c r="F86" s="122" t="s">
        <v>12</v>
      </c>
      <c r="G86" s="292">
        <f>J15</f>
        <v>0</v>
      </c>
      <c r="H86" s="91" t="s">
        <v>20</v>
      </c>
      <c r="I86" s="297">
        <f>VLOOKUP(G72,'NDH Rates'!A5:AI30,20,FALSE)</f>
        <v>19.07</v>
      </c>
      <c r="J86" s="91" t="s">
        <v>12</v>
      </c>
      <c r="K86" s="307">
        <f>M15</f>
        <v>0</v>
      </c>
      <c r="L86" s="91" t="s">
        <v>20</v>
      </c>
      <c r="M86" s="312">
        <f>VLOOKUP(K72,'NDH Rates'!A5:AI30,32,FALSE)</f>
        <v>19.07</v>
      </c>
      <c r="N86" s="112"/>
      <c r="O86" s="128"/>
    </row>
    <row r="87" spans="1:15" ht="14" x14ac:dyDescent="0.3">
      <c r="A87" s="82"/>
      <c r="B87" s="107"/>
      <c r="C87" s="65"/>
      <c r="D87" s="100"/>
      <c r="E87" s="68"/>
      <c r="F87" s="92"/>
      <c r="G87" s="65"/>
      <c r="H87" s="91"/>
      <c r="I87" s="68"/>
      <c r="J87" s="92"/>
      <c r="K87" s="65"/>
      <c r="L87" s="102"/>
      <c r="M87" s="124"/>
      <c r="N87" s="112"/>
      <c r="O87" s="128"/>
    </row>
    <row r="88" spans="1:15" ht="15.5" x14ac:dyDescent="0.35">
      <c r="A88" s="82"/>
      <c r="B88" s="107" t="s">
        <v>70</v>
      </c>
      <c r="C88" s="292">
        <f>G16</f>
        <v>0</v>
      </c>
      <c r="D88" s="126" t="s">
        <v>20</v>
      </c>
      <c r="E88" s="297">
        <f>VLOOKUP(C72,'NDH Rates'!A5:AI30,9,FALSE)</f>
        <v>19.07</v>
      </c>
      <c r="F88" s="122" t="s">
        <v>12</v>
      </c>
      <c r="G88" s="292">
        <f>J16</f>
        <v>0</v>
      </c>
      <c r="H88" s="91" t="s">
        <v>20</v>
      </c>
      <c r="I88" s="297">
        <f>VLOOKUP(G72,'NDH Rates'!A5:AI30,21,FALSE)</f>
        <v>19.07</v>
      </c>
      <c r="J88" s="91" t="s">
        <v>12</v>
      </c>
      <c r="K88" s="307">
        <f>M16</f>
        <v>0</v>
      </c>
      <c r="L88" s="91" t="s">
        <v>20</v>
      </c>
      <c r="M88" s="312">
        <f>VLOOKUP(K72,'NDH Rates'!A5:AI30,33,FALSE)</f>
        <v>19.07</v>
      </c>
      <c r="N88" s="80"/>
      <c r="O88" s="94"/>
    </row>
    <row r="89" spans="1:15" ht="15.5" x14ac:dyDescent="0.35">
      <c r="A89" s="82"/>
      <c r="B89" s="107"/>
      <c r="C89" s="66"/>
      <c r="D89" s="126"/>
      <c r="E89" s="66"/>
      <c r="F89" s="122"/>
      <c r="G89" s="66"/>
      <c r="H89" s="91"/>
      <c r="I89" s="66"/>
      <c r="J89" s="91"/>
      <c r="K89" s="66"/>
      <c r="L89" s="91"/>
      <c r="M89" s="125"/>
      <c r="N89" s="112"/>
      <c r="O89" s="128"/>
    </row>
    <row r="90" spans="1:15" ht="15.5" x14ac:dyDescent="0.35">
      <c r="A90" s="82"/>
      <c r="B90" s="107" t="s">
        <v>68</v>
      </c>
      <c r="C90" s="292">
        <f>G18</f>
        <v>0</v>
      </c>
      <c r="D90" s="126" t="s">
        <v>20</v>
      </c>
      <c r="E90" s="297">
        <f>VLOOKUP(C72,'NDH Rates'!A5:AI30,10,FALSE)</f>
        <v>19.07</v>
      </c>
      <c r="F90" s="122" t="s">
        <v>12</v>
      </c>
      <c r="G90" s="292">
        <f>J18</f>
        <v>0</v>
      </c>
      <c r="H90" s="91" t="s">
        <v>20</v>
      </c>
      <c r="I90" s="297">
        <f>VLOOKUP(G72,'NDH Rates'!A$5:AI30,22,FALSE)</f>
        <v>19.07</v>
      </c>
      <c r="J90" s="91" t="s">
        <v>12</v>
      </c>
      <c r="K90" s="307">
        <f>M18</f>
        <v>0</v>
      </c>
      <c r="L90" s="91" t="s">
        <v>20</v>
      </c>
      <c r="M90" s="312">
        <f>VLOOKUP(K72,'NDH Rates'!A5:AI30,34,FALSE)</f>
        <v>19.07</v>
      </c>
      <c r="N90" s="112"/>
      <c r="O90" s="128"/>
    </row>
    <row r="91" spans="1:15" ht="14" x14ac:dyDescent="0.3">
      <c r="A91" s="82"/>
      <c r="B91" s="107"/>
      <c r="C91" s="65"/>
      <c r="D91" s="100"/>
      <c r="E91" s="68"/>
      <c r="F91" s="92"/>
      <c r="G91" s="65"/>
      <c r="H91" s="91"/>
      <c r="I91" s="68"/>
      <c r="J91" s="92"/>
      <c r="K91" s="65"/>
      <c r="L91" s="102"/>
      <c r="M91" s="124"/>
      <c r="O91" s="94"/>
    </row>
    <row r="92" spans="1:15" ht="15.5" x14ac:dyDescent="0.35">
      <c r="A92" s="82"/>
      <c r="B92" s="107" t="s">
        <v>71</v>
      </c>
      <c r="C92" s="292">
        <f>G19</f>
        <v>0</v>
      </c>
      <c r="D92" s="126" t="s">
        <v>20</v>
      </c>
      <c r="E92" s="297">
        <f>VLOOKUP(C72,'NDH Rates'!A5:AI30,11,FALSE)</f>
        <v>19.07</v>
      </c>
      <c r="F92" s="122" t="s">
        <v>12</v>
      </c>
      <c r="G92" s="292">
        <f>J19</f>
        <v>0</v>
      </c>
      <c r="H92" s="91" t="s">
        <v>20</v>
      </c>
      <c r="I92" s="297">
        <f>VLOOKUP(G72,'NDH Rates'!A5:AI30,23,FALSE)</f>
        <v>19.07</v>
      </c>
      <c r="J92" s="91" t="s">
        <v>12</v>
      </c>
      <c r="K92" s="307">
        <f>M19</f>
        <v>0</v>
      </c>
      <c r="L92" s="91" t="s">
        <v>20</v>
      </c>
      <c r="M92" s="312">
        <f>VLOOKUP(K72,'NDH Rates'!A5:AI30,35,FALSE)</f>
        <v>19.07</v>
      </c>
      <c r="N92" s="106" t="s">
        <v>11</v>
      </c>
      <c r="O92" s="128"/>
    </row>
    <row r="93" spans="1:15" ht="14" x14ac:dyDescent="0.3">
      <c r="A93" s="82"/>
      <c r="B93" s="99"/>
      <c r="C93" s="120"/>
      <c r="D93" s="120"/>
      <c r="E93" s="121"/>
      <c r="F93" s="121"/>
      <c r="G93" s="207"/>
      <c r="H93" s="106"/>
      <c r="I93" s="121"/>
      <c r="J93" s="121"/>
      <c r="K93" s="129"/>
      <c r="L93" s="82"/>
      <c r="M93" s="295"/>
      <c r="N93" s="82"/>
      <c r="O93" s="128"/>
    </row>
    <row r="94" spans="1:15" ht="28" x14ac:dyDescent="0.3">
      <c r="A94" s="82"/>
      <c r="B94" s="114" t="s">
        <v>91</v>
      </c>
      <c r="C94" s="141">
        <f>IFERROR(ROUND((((C72*0.05*(C78+C82+C86+C90+C80+C84+C88+C92))+((G72*0.05)*(G78+G82+G86+G90+G80+G84+G88+G92))+((K72*0.05)*(K78+K82+K86+K90+K80+K84+K88+K92))))/(C78+C82+C86+C90+C80+C84+C88+C92+G78+G82+G86+G90+G80+G84+G88+G92+K78+K82+K86+K90+K80+K84+K88+K92),2),0)</f>
        <v>0</v>
      </c>
      <c r="D94" s="93"/>
      <c r="E94" s="93"/>
      <c r="F94" s="80"/>
      <c r="G94" s="80"/>
      <c r="H94" s="264"/>
      <c r="I94" s="455"/>
      <c r="J94" s="455"/>
      <c r="K94" s="455"/>
      <c r="L94" s="500">
        <f>ROUND((C78*E78)+(G78*I78)+(K78*M78)+(C82*E82)+(G82*I82)+(K82*M82)+(C86*E86)+(G86*I86)+(K86*M86)+(C90*E90)+(G90*I90)+(K90*M90)+(C80*E80)+(G80*I80)+(K80*M80)+(C84*E84)+(G84*I84)+(K84*M84)+(C88*E88)+(G88*I88)+(K88*M88)+(C92*E92)+(G92*I92)+(K92*M92),2)</f>
        <v>0</v>
      </c>
      <c r="M94" s="500"/>
      <c r="N94" s="264"/>
      <c r="O94" s="94"/>
    </row>
    <row r="95" spans="1:15" ht="14" x14ac:dyDescent="0.3">
      <c r="A95" s="82"/>
      <c r="B95" s="151"/>
      <c r="C95" s="93"/>
      <c r="D95" s="93"/>
      <c r="E95" s="456"/>
      <c r="F95" s="456"/>
      <c r="G95" s="82"/>
      <c r="H95" s="106"/>
      <c r="I95" s="457"/>
      <c r="J95" s="457"/>
      <c r="K95" s="457"/>
      <c r="L95" s="19" t="s">
        <v>7</v>
      </c>
      <c r="M95" s="19" t="s">
        <v>92</v>
      </c>
      <c r="N95" s="264"/>
      <c r="O95" s="13"/>
    </row>
    <row r="96" spans="1:15" ht="14" x14ac:dyDescent="0.3">
      <c r="A96" s="82"/>
      <c r="B96" s="99"/>
      <c r="C96" s="458">
        <f>L94</f>
        <v>0</v>
      </c>
      <c r="D96" s="459"/>
      <c r="E96" s="153" t="s">
        <v>10</v>
      </c>
      <c r="F96" s="460">
        <f>M23</f>
        <v>0</v>
      </c>
      <c r="G96" s="438"/>
      <c r="H96" s="95" t="s">
        <v>11</v>
      </c>
      <c r="I96" s="461">
        <f>IF(C94&gt;0,ROUND(C96/F96,2),0)</f>
        <v>0</v>
      </c>
      <c r="J96" s="462"/>
      <c r="K96" s="295"/>
      <c r="L96" s="264"/>
      <c r="M96" s="264"/>
      <c r="N96" s="264"/>
      <c r="O96" s="20"/>
    </row>
    <row r="97" spans="1:19" ht="19.5" customHeight="1" x14ac:dyDescent="0.3">
      <c r="A97" s="82"/>
      <c r="B97" s="99"/>
      <c r="C97" s="463" t="s">
        <v>116</v>
      </c>
      <c r="D97" s="351"/>
      <c r="E97" s="152"/>
      <c r="F97" s="464" t="s">
        <v>220</v>
      </c>
      <c r="G97" s="465"/>
      <c r="H97" s="95"/>
      <c r="I97" s="464" t="s">
        <v>221</v>
      </c>
      <c r="J97" s="438"/>
      <c r="K97" s="295"/>
      <c r="L97" s="264"/>
      <c r="M97" s="264"/>
      <c r="N97" s="264"/>
      <c r="O97" s="94"/>
    </row>
    <row r="98" spans="1:19" ht="14" x14ac:dyDescent="0.3">
      <c r="A98" s="82"/>
      <c r="B98" s="104"/>
      <c r="C98" s="97"/>
      <c r="D98" s="97"/>
      <c r="E98" s="97"/>
      <c r="F98" s="119"/>
      <c r="G98" s="119"/>
      <c r="H98" s="105"/>
      <c r="I98" s="245"/>
      <c r="J98" s="245"/>
      <c r="K98" s="245"/>
      <c r="L98" s="265"/>
      <c r="M98" s="265"/>
      <c r="N98" s="265"/>
      <c r="O98" s="209"/>
    </row>
    <row r="99" spans="1:19" x14ac:dyDescent="0.25">
      <c r="A99" s="80"/>
      <c r="B99" s="77"/>
      <c r="C99" s="77"/>
      <c r="D99" s="77"/>
      <c r="E99" s="77"/>
      <c r="F99" s="77"/>
      <c r="G99" s="77"/>
      <c r="H99" s="77"/>
      <c r="I99" s="77"/>
      <c r="J99" s="77"/>
      <c r="K99" s="77"/>
      <c r="L99" s="77"/>
      <c r="M99" s="77"/>
      <c r="N99" s="77"/>
      <c r="O99" s="77"/>
      <c r="P99" s="77"/>
    </row>
    <row r="100" spans="1:19" ht="15.5" x14ac:dyDescent="0.25">
      <c r="A100" s="80"/>
      <c r="B100" s="369" t="s">
        <v>25</v>
      </c>
      <c r="C100" s="370"/>
      <c r="D100" s="370"/>
      <c r="E100" s="370"/>
      <c r="F100" s="370"/>
      <c r="G100" s="370"/>
      <c r="H100" s="370"/>
      <c r="I100" s="370"/>
      <c r="J100" s="370"/>
      <c r="K100" s="370"/>
      <c r="L100" s="370"/>
      <c r="M100" s="370"/>
      <c r="N100" s="407"/>
      <c r="O100" s="77"/>
      <c r="P100" s="77"/>
      <c r="R100"/>
    </row>
    <row r="101" spans="1:19" ht="14" x14ac:dyDescent="0.25">
      <c r="A101" s="80"/>
      <c r="B101" s="83"/>
      <c r="C101" s="80"/>
      <c r="D101" s="80"/>
      <c r="E101" s="80"/>
      <c r="F101" s="437">
        <f>I96</f>
        <v>0</v>
      </c>
      <c r="G101" s="438"/>
      <c r="H101" s="80"/>
      <c r="I101" s="439">
        <v>0.9</v>
      </c>
      <c r="J101" s="440"/>
      <c r="K101" s="441"/>
      <c r="L101" s="80"/>
      <c r="M101" s="445">
        <f>ROUND(F101*I101,2)</f>
        <v>0</v>
      </c>
      <c r="N101" s="446"/>
      <c r="O101" s="77"/>
      <c r="P101" s="77"/>
    </row>
    <row r="102" spans="1:19" ht="34" customHeight="1" x14ac:dyDescent="0.25">
      <c r="A102" s="80"/>
      <c r="B102" s="83"/>
      <c r="C102" s="80"/>
      <c r="D102" s="80"/>
      <c r="E102" s="80"/>
      <c r="F102" s="447" t="s">
        <v>146</v>
      </c>
      <c r="G102" s="448"/>
      <c r="H102" s="80"/>
      <c r="I102" s="442"/>
      <c r="J102" s="443"/>
      <c r="K102" s="444"/>
      <c r="L102" s="80"/>
      <c r="M102" s="17" t="s">
        <v>9</v>
      </c>
      <c r="N102" s="216" t="s">
        <v>174</v>
      </c>
      <c r="O102" s="77"/>
      <c r="P102" s="77"/>
    </row>
    <row r="103" spans="1:19" ht="1" hidden="1" customHeight="1" x14ac:dyDescent="0.25">
      <c r="A103" s="80"/>
      <c r="B103" s="208"/>
      <c r="C103" s="210"/>
      <c r="D103" s="210"/>
      <c r="E103" s="210"/>
      <c r="F103" s="211"/>
      <c r="G103" s="213"/>
      <c r="H103" s="210"/>
      <c r="I103" s="214"/>
      <c r="J103" s="215"/>
      <c r="K103" s="214"/>
      <c r="L103" s="210"/>
      <c r="M103" s="212"/>
      <c r="N103" s="209"/>
      <c r="O103" s="77"/>
      <c r="P103" s="77"/>
    </row>
    <row r="104" spans="1:19" x14ac:dyDescent="0.25">
      <c r="A104" s="80"/>
      <c r="B104" s="80"/>
      <c r="C104" s="80"/>
      <c r="D104" s="80"/>
      <c r="E104" s="80"/>
      <c r="F104" s="80"/>
      <c r="G104" s="80"/>
      <c r="H104" s="80"/>
      <c r="I104" s="80"/>
      <c r="J104" s="80"/>
      <c r="K104" s="80"/>
      <c r="L104" s="80"/>
      <c r="M104" s="80"/>
      <c r="N104" s="80"/>
      <c r="O104" s="77"/>
      <c r="P104" s="77"/>
      <c r="R104" s="14"/>
      <c r="S104" s="14"/>
    </row>
    <row r="105" spans="1:19" ht="15.5" x14ac:dyDescent="0.25">
      <c r="A105" s="80"/>
      <c r="B105" s="369" t="s">
        <v>23</v>
      </c>
      <c r="C105" s="370"/>
      <c r="D105" s="370"/>
      <c r="E105" s="370"/>
      <c r="F105" s="370"/>
      <c r="G105" s="370"/>
      <c r="H105" s="370"/>
      <c r="I105" s="370"/>
      <c r="J105" s="370"/>
      <c r="K105" s="370"/>
      <c r="L105" s="370"/>
      <c r="M105" s="370"/>
      <c r="N105" s="407"/>
      <c r="O105" s="77"/>
      <c r="P105" s="77"/>
      <c r="R105"/>
    </row>
    <row r="106" spans="1:19" x14ac:dyDescent="0.25">
      <c r="A106" s="80"/>
      <c r="B106" s="83"/>
      <c r="C106" s="80"/>
      <c r="D106" s="80"/>
      <c r="E106" s="80"/>
      <c r="F106" s="80"/>
      <c r="G106" s="80"/>
      <c r="H106" s="80"/>
      <c r="I106" s="80"/>
      <c r="J106" s="80"/>
      <c r="K106" s="80"/>
      <c r="L106" s="80"/>
      <c r="M106" s="80"/>
      <c r="N106" s="94"/>
      <c r="O106" s="77"/>
      <c r="P106" s="77"/>
    </row>
    <row r="107" spans="1:19" ht="15.5" x14ac:dyDescent="0.3">
      <c r="A107" s="82"/>
      <c r="B107" s="99"/>
      <c r="C107" s="449">
        <f>M101</f>
        <v>0</v>
      </c>
      <c r="D107" s="450"/>
      <c r="E107" s="250" t="s">
        <v>246</v>
      </c>
      <c r="F107" s="451">
        <f>J66</f>
        <v>0</v>
      </c>
      <c r="G107" s="452"/>
      <c r="H107" s="199"/>
      <c r="I107" s="250" t="s">
        <v>11</v>
      </c>
      <c r="J107" s="453">
        <f>IF(C107-F107&gt;C94,C94,IF(C107-F107&lt;0,0,C107-F107))</f>
        <v>0</v>
      </c>
      <c r="K107" s="454"/>
      <c r="L107" s="77"/>
      <c r="M107" s="80"/>
      <c r="N107" s="94"/>
      <c r="O107" s="77"/>
      <c r="R107"/>
      <c r="S107"/>
    </row>
    <row r="108" spans="1:19" ht="33" customHeight="1" x14ac:dyDescent="0.3">
      <c r="A108" s="82"/>
      <c r="B108" s="99"/>
      <c r="C108" s="432" t="s">
        <v>115</v>
      </c>
      <c r="D108" s="433"/>
      <c r="E108" s="200"/>
      <c r="F108" s="388" t="s">
        <v>111</v>
      </c>
      <c r="G108" s="388"/>
      <c r="H108" s="121"/>
      <c r="I108" s="95"/>
      <c r="J108" s="19" t="s">
        <v>17</v>
      </c>
      <c r="K108" s="198" t="s">
        <v>90</v>
      </c>
      <c r="L108" s="77"/>
      <c r="M108" s="80"/>
      <c r="N108" s="94"/>
      <c r="O108" s="77"/>
      <c r="P108" s="77"/>
      <c r="Q108" s="16"/>
      <c r="R108" s="16"/>
      <c r="S108" s="16"/>
    </row>
    <row r="109" spans="1:19" ht="14" x14ac:dyDescent="0.3">
      <c r="A109" s="82"/>
      <c r="B109" s="99"/>
      <c r="C109" s="206"/>
      <c r="D109" s="206"/>
      <c r="E109" s="106"/>
      <c r="F109" s="217"/>
      <c r="G109" s="217"/>
      <c r="H109" s="121"/>
      <c r="I109" s="245"/>
      <c r="J109" s="217"/>
      <c r="K109" s="217"/>
      <c r="L109" s="106"/>
      <c r="M109" s="154"/>
      <c r="N109" s="253"/>
      <c r="O109" s="77"/>
      <c r="P109" s="77"/>
      <c r="R109" s="16"/>
      <c r="S109" s="16"/>
    </row>
    <row r="110" spans="1:19" ht="14" x14ac:dyDescent="0.3">
      <c r="A110" s="82"/>
      <c r="B110" s="99"/>
      <c r="C110" s="93"/>
      <c r="D110" s="93"/>
      <c r="E110" s="93"/>
      <c r="F110" s="337">
        <f>IF(J107&gt;0,J107,0)</f>
        <v>0</v>
      </c>
      <c r="G110" s="339"/>
      <c r="H110" s="250" t="s">
        <v>20</v>
      </c>
      <c r="I110" s="434">
        <f>'Non-Day Hab Worksheet'!M23</f>
        <v>0</v>
      </c>
      <c r="J110" s="435"/>
      <c r="K110" s="436"/>
      <c r="L110" s="250" t="s">
        <v>11</v>
      </c>
      <c r="M110" s="337">
        <f>ROUND(F110*I110,2)</f>
        <v>0</v>
      </c>
      <c r="N110" s="339"/>
      <c r="O110" s="77"/>
      <c r="P110" s="77"/>
      <c r="R110"/>
      <c r="S110"/>
    </row>
    <row r="111" spans="1:19" ht="28" customHeight="1" x14ac:dyDescent="0.3">
      <c r="A111" s="82"/>
      <c r="B111" s="104"/>
      <c r="C111" s="97"/>
      <c r="D111" s="97"/>
      <c r="E111" s="131"/>
      <c r="F111" s="364" t="s">
        <v>17</v>
      </c>
      <c r="G111" s="365"/>
      <c r="H111" s="105"/>
      <c r="I111" s="372" t="s">
        <v>78</v>
      </c>
      <c r="J111" s="373"/>
      <c r="K111" s="374"/>
      <c r="L111" s="105"/>
      <c r="M111" s="19" t="s">
        <v>222</v>
      </c>
      <c r="N111" s="198" t="s">
        <v>19</v>
      </c>
      <c r="O111" s="77"/>
      <c r="P111" s="77"/>
      <c r="R111" s="16"/>
      <c r="S111" s="52"/>
    </row>
    <row r="112" spans="1:19" x14ac:dyDescent="0.25">
      <c r="A112" s="77"/>
      <c r="B112" s="132"/>
      <c r="C112" s="132"/>
      <c r="D112" s="132"/>
      <c r="E112" s="132"/>
      <c r="F112" s="133"/>
      <c r="G112" s="133"/>
      <c r="H112" s="133"/>
      <c r="I112" s="133"/>
      <c r="J112" s="133"/>
      <c r="K112" s="133"/>
      <c r="L112" s="77"/>
      <c r="M112" s="77"/>
      <c r="N112" s="77"/>
      <c r="O112" s="77"/>
      <c r="P112" s="77"/>
    </row>
    <row r="113" spans="1:19" ht="15.5" x14ac:dyDescent="0.35">
      <c r="A113" s="77"/>
      <c r="B113" s="347" t="s">
        <v>121</v>
      </c>
      <c r="C113" s="348"/>
      <c r="D113" s="348"/>
      <c r="E113" s="348"/>
      <c r="F113" s="348"/>
      <c r="G113" s="348"/>
      <c r="H113" s="348"/>
      <c r="I113" s="348"/>
      <c r="J113" s="348"/>
      <c r="K113" s="349"/>
      <c r="L113" s="77"/>
      <c r="M113" s="77"/>
      <c r="N113" s="77"/>
      <c r="O113" s="77"/>
      <c r="P113" s="77"/>
    </row>
    <row r="114" spans="1:19" ht="14" x14ac:dyDescent="0.25">
      <c r="A114" s="77"/>
      <c r="B114" s="130"/>
      <c r="C114" s="147"/>
      <c r="D114" s="150"/>
      <c r="E114" s="150"/>
      <c r="F114" s="147"/>
      <c r="G114" s="150"/>
      <c r="H114" s="150"/>
      <c r="I114" s="147"/>
      <c r="J114" s="150"/>
      <c r="K114" s="149"/>
      <c r="L114" s="77"/>
      <c r="M114" s="77"/>
      <c r="N114" s="77"/>
      <c r="O114" s="77"/>
      <c r="P114" s="77"/>
    </row>
    <row r="115" spans="1:19" ht="14" x14ac:dyDescent="0.25">
      <c r="A115" s="77"/>
      <c r="B115" s="130"/>
      <c r="C115" s="148"/>
      <c r="D115" s="350">
        <f>M110</f>
        <v>0</v>
      </c>
      <c r="E115" s="351"/>
      <c r="F115" s="352" t="s">
        <v>10</v>
      </c>
      <c r="G115" s="354">
        <f>J91</f>
        <v>0</v>
      </c>
      <c r="H115" s="355"/>
      <c r="I115" s="352" t="s">
        <v>11</v>
      </c>
      <c r="J115" s="356">
        <f>IFERROR(SUM(D115/G115),0)</f>
        <v>0</v>
      </c>
      <c r="K115" s="357"/>
      <c r="L115" s="77"/>
      <c r="M115" s="77"/>
      <c r="N115" s="77"/>
      <c r="O115" s="77"/>
      <c r="P115" s="77"/>
    </row>
    <row r="116" spans="1:19" ht="23.15" customHeight="1" x14ac:dyDescent="0.25">
      <c r="A116" s="77"/>
      <c r="B116" s="136"/>
      <c r="C116" s="149"/>
      <c r="D116" s="358" t="s">
        <v>230</v>
      </c>
      <c r="E116" s="359"/>
      <c r="F116" s="353"/>
      <c r="G116" s="360" t="s">
        <v>223</v>
      </c>
      <c r="H116" s="361"/>
      <c r="I116" s="353"/>
      <c r="J116" s="358" t="s">
        <v>122</v>
      </c>
      <c r="K116" s="359"/>
      <c r="L116" s="77"/>
      <c r="M116" s="77"/>
      <c r="N116" s="77"/>
      <c r="O116" s="77"/>
      <c r="P116" s="77"/>
    </row>
    <row r="117" spans="1:19" x14ac:dyDescent="0.25">
      <c r="A117" s="77"/>
      <c r="B117" s="132"/>
      <c r="C117" s="132"/>
      <c r="D117" s="132"/>
      <c r="E117" s="132"/>
      <c r="F117" s="133"/>
      <c r="G117" s="133"/>
      <c r="H117" s="133"/>
      <c r="I117" s="133"/>
      <c r="J117" s="133"/>
      <c r="K117" s="133"/>
      <c r="L117" s="77"/>
      <c r="M117" s="77"/>
      <c r="N117" s="77"/>
      <c r="O117" s="77"/>
      <c r="P117" s="77"/>
    </row>
    <row r="118" spans="1:19" x14ac:dyDescent="0.25">
      <c r="A118" s="132"/>
      <c r="B118" s="332" t="s">
        <v>232</v>
      </c>
      <c r="C118" s="333"/>
      <c r="D118" s="333"/>
      <c r="E118" s="333"/>
      <c r="F118" s="333"/>
      <c r="G118" s="333"/>
      <c r="H118" s="333"/>
      <c r="I118" s="333"/>
      <c r="J118" s="333"/>
      <c r="K118" s="333"/>
      <c r="L118" s="333"/>
      <c r="M118" s="333"/>
      <c r="N118" s="334"/>
      <c r="O118" s="77"/>
      <c r="P118" s="77"/>
    </row>
    <row r="119" spans="1:19" x14ac:dyDescent="0.25">
      <c r="A119" s="132"/>
      <c r="B119" s="132"/>
      <c r="C119" s="132"/>
      <c r="D119" s="132"/>
      <c r="E119" s="132"/>
      <c r="F119" s="132"/>
      <c r="G119" s="132"/>
      <c r="H119" s="132"/>
      <c r="I119" s="132"/>
      <c r="J119" s="132"/>
      <c r="K119" s="132"/>
      <c r="L119" s="132"/>
      <c r="M119" s="132"/>
      <c r="N119" s="132"/>
      <c r="P119" s="77"/>
    </row>
    <row r="120" spans="1:19" x14ac:dyDescent="0.25">
      <c r="A120" s="134"/>
      <c r="B120" s="332" t="s">
        <v>18</v>
      </c>
      <c r="C120" s="333"/>
      <c r="D120" s="333"/>
      <c r="E120" s="333"/>
      <c r="F120" s="333"/>
      <c r="G120" s="333"/>
      <c r="H120" s="333"/>
      <c r="I120" s="333"/>
      <c r="J120" s="333"/>
      <c r="K120" s="333"/>
      <c r="L120" s="333"/>
      <c r="M120" s="333"/>
      <c r="N120" s="334"/>
      <c r="P120" s="77"/>
      <c r="R120" s="12"/>
      <c r="S120" s="12"/>
    </row>
    <row r="121" spans="1:19" x14ac:dyDescent="0.25">
      <c r="A121" s="77"/>
      <c r="B121" s="77"/>
      <c r="C121" s="77"/>
      <c r="D121" s="77"/>
      <c r="E121" s="77"/>
      <c r="F121" s="77"/>
      <c r="G121" s="77"/>
      <c r="H121" s="77"/>
      <c r="I121" s="77"/>
      <c r="J121" s="77"/>
      <c r="K121" s="77"/>
      <c r="L121" s="77"/>
      <c r="M121" s="77"/>
      <c r="N121" s="77"/>
      <c r="P121" s="77"/>
    </row>
  </sheetData>
  <sheetProtection algorithmName="SHA-512" hashValue="I6M5TNV+9dZZgvJKl9ADUb1f6m1DGKehla5D4hfgDjXRVC/UelLjs/ILErJJhXSG5WkGGvXSeTT9pvFYjNX6PA==" saltValue="KYiKrwAEFowcexHy6fO3Kg==" spinCount="100000" sheet="1" objects="1" scenarios="1"/>
  <mergeCells count="115">
    <mergeCell ref="B69:O69"/>
    <mergeCell ref="K72:M72"/>
    <mergeCell ref="K70:M70"/>
    <mergeCell ref="B3:N3"/>
    <mergeCell ref="B1:N2"/>
    <mergeCell ref="B7:E7"/>
    <mergeCell ref="B13:E13"/>
    <mergeCell ref="B14:E14"/>
    <mergeCell ref="B9:E9"/>
    <mergeCell ref="B11:E11"/>
    <mergeCell ref="B12:E12"/>
    <mergeCell ref="B10:E10"/>
    <mergeCell ref="B8:E8"/>
    <mergeCell ref="L24:M24"/>
    <mergeCell ref="B18:E18"/>
    <mergeCell ref="B19:E19"/>
    <mergeCell ref="B20:E20"/>
    <mergeCell ref="B15:E15"/>
    <mergeCell ref="B16:E16"/>
    <mergeCell ref="B17:E17"/>
    <mergeCell ref="A23:H23"/>
    <mergeCell ref="I24:J24"/>
    <mergeCell ref="B31:L31"/>
    <mergeCell ref="B32:L32"/>
    <mergeCell ref="B33:L33"/>
    <mergeCell ref="B6:E6"/>
    <mergeCell ref="F5:G5"/>
    <mergeCell ref="I5:J5"/>
    <mergeCell ref="F4:G4"/>
    <mergeCell ref="I4:J4"/>
    <mergeCell ref="L4:M4"/>
    <mergeCell ref="B34:M34"/>
    <mergeCell ref="B35:M35"/>
    <mergeCell ref="B27:N27"/>
    <mergeCell ref="B28:N28"/>
    <mergeCell ref="B29:N29"/>
    <mergeCell ref="B30:L30"/>
    <mergeCell ref="B42:M42"/>
    <mergeCell ref="B43:M43"/>
    <mergeCell ref="B45:N45"/>
    <mergeCell ref="B46:L46"/>
    <mergeCell ref="B47:L47"/>
    <mergeCell ref="B37:N37"/>
    <mergeCell ref="B38:L38"/>
    <mergeCell ref="B39:L39"/>
    <mergeCell ref="B40:L40"/>
    <mergeCell ref="B41:L41"/>
    <mergeCell ref="B54:L54"/>
    <mergeCell ref="B55:L55"/>
    <mergeCell ref="B56:L56"/>
    <mergeCell ref="B57:L57"/>
    <mergeCell ref="B58:M58"/>
    <mergeCell ref="B48:L48"/>
    <mergeCell ref="B49:L49"/>
    <mergeCell ref="B50:M50"/>
    <mergeCell ref="B51:M51"/>
    <mergeCell ref="B53:N53"/>
    <mergeCell ref="B66:C66"/>
    <mergeCell ref="D66:E66"/>
    <mergeCell ref="G66:H66"/>
    <mergeCell ref="J66:K66"/>
    <mergeCell ref="B67:C67"/>
    <mergeCell ref="D67:E67"/>
    <mergeCell ref="G67:H67"/>
    <mergeCell ref="B59:M59"/>
    <mergeCell ref="B61:L61"/>
    <mergeCell ref="B63:K63"/>
    <mergeCell ref="B64:K64"/>
    <mergeCell ref="B65:C65"/>
    <mergeCell ref="D65:E65"/>
    <mergeCell ref="G65:H65"/>
    <mergeCell ref="J65:K65"/>
    <mergeCell ref="C71:E71"/>
    <mergeCell ref="G71:I71"/>
    <mergeCell ref="C72:E72"/>
    <mergeCell ref="G72:I72"/>
    <mergeCell ref="C70:E70"/>
    <mergeCell ref="G70:I70"/>
    <mergeCell ref="I94:K94"/>
    <mergeCell ref="L94:M94"/>
    <mergeCell ref="E95:F95"/>
    <mergeCell ref="I95:K95"/>
    <mergeCell ref="B100:N100"/>
    <mergeCell ref="F101:G101"/>
    <mergeCell ref="I101:K102"/>
    <mergeCell ref="M101:N101"/>
    <mergeCell ref="F102:G102"/>
    <mergeCell ref="C96:D96"/>
    <mergeCell ref="F96:G96"/>
    <mergeCell ref="I96:J96"/>
    <mergeCell ref="C97:D97"/>
    <mergeCell ref="F97:G97"/>
    <mergeCell ref="I97:J97"/>
    <mergeCell ref="F110:G110"/>
    <mergeCell ref="I110:K110"/>
    <mergeCell ref="M110:N110"/>
    <mergeCell ref="F111:G111"/>
    <mergeCell ref="I111:K111"/>
    <mergeCell ref="B105:N105"/>
    <mergeCell ref="C107:D107"/>
    <mergeCell ref="F107:G107"/>
    <mergeCell ref="J107:K107"/>
    <mergeCell ref="C108:D108"/>
    <mergeCell ref="F108:G108"/>
    <mergeCell ref="B118:N118"/>
    <mergeCell ref="B120:N120"/>
    <mergeCell ref="B113:K113"/>
    <mergeCell ref="D115:E115"/>
    <mergeCell ref="F115:F116"/>
    <mergeCell ref="G115:H115"/>
    <mergeCell ref="I115:I116"/>
    <mergeCell ref="J115:K115"/>
    <mergeCell ref="D116:E116"/>
    <mergeCell ref="G116:H116"/>
    <mergeCell ref="J116:K116"/>
  </mergeCells>
  <pageMargins left="0.25" right="0.25" top="0.5" bottom="0.5" header="0.3" footer="0.3"/>
  <pageSetup scale="83" orientation="portrait" r:id="rId1"/>
  <headerFooter alignWithMargins="0">
    <oddFooter>&amp;C&amp;12&amp;A&amp;R&amp;N</oddFooter>
  </headerFooter>
  <rowBreaks count="1" manualBreakCount="1">
    <brk id="2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E31"/>
  <sheetViews>
    <sheetView zoomScale="98" zoomScaleNormal="98" workbookViewId="0">
      <pane ySplit="4" topLeftCell="A5" activePane="bottomLeft" state="frozen"/>
      <selection pane="bottomLeft" activeCell="G10" sqref="G10"/>
    </sheetView>
  </sheetViews>
  <sheetFormatPr defaultRowHeight="12.5" x14ac:dyDescent="0.25"/>
  <cols>
    <col min="1" max="1" width="13.54296875" customWidth="1"/>
    <col min="2" max="2" width="9.54296875" customWidth="1"/>
    <col min="3" max="3" width="9.453125" customWidth="1"/>
    <col min="4" max="4" width="8.81640625" customWidth="1"/>
    <col min="9" max="9" width="13.453125" customWidth="1"/>
  </cols>
  <sheetData>
    <row r="1" spans="1:31" ht="53.5" customHeight="1" x14ac:dyDescent="0.25">
      <c r="A1" s="525" t="s">
        <v>240</v>
      </c>
      <c r="B1" s="525"/>
      <c r="C1" s="525"/>
      <c r="D1" s="525"/>
      <c r="E1" s="525"/>
      <c r="F1" s="525"/>
      <c r="G1" s="525"/>
      <c r="H1" s="525"/>
      <c r="I1" s="525"/>
      <c r="J1" s="525"/>
      <c r="K1" s="525"/>
      <c r="L1" s="525"/>
      <c r="M1" s="525"/>
      <c r="N1" s="525"/>
      <c r="O1" s="525"/>
      <c r="P1" s="525"/>
      <c r="Q1" s="525"/>
      <c r="R1" s="525"/>
      <c r="S1" s="525"/>
      <c r="T1" s="525"/>
      <c r="U1" s="525"/>
      <c r="V1" s="525"/>
      <c r="W1" s="525"/>
      <c r="X1" s="525"/>
      <c r="Y1" s="525"/>
      <c r="Z1" s="525"/>
      <c r="AA1" s="525"/>
      <c r="AB1" s="525"/>
      <c r="AC1" s="525"/>
      <c r="AD1" s="525"/>
      <c r="AE1" s="525"/>
    </row>
    <row r="2" spans="1:31" ht="53.5" customHeight="1" x14ac:dyDescent="0.25">
      <c r="A2" s="191"/>
      <c r="B2" s="515" t="s">
        <v>204</v>
      </c>
      <c r="C2" s="518" t="s">
        <v>205</v>
      </c>
      <c r="D2" s="518" t="s">
        <v>206</v>
      </c>
      <c r="E2" s="518" t="s">
        <v>207</v>
      </c>
      <c r="F2" s="518" t="s">
        <v>208</v>
      </c>
      <c r="G2" s="512" t="s">
        <v>132</v>
      </c>
      <c r="H2" s="138"/>
      <c r="I2" s="140"/>
      <c r="J2" s="515" t="s">
        <v>175</v>
      </c>
      <c r="K2" s="518" t="s">
        <v>176</v>
      </c>
      <c r="L2" s="518" t="s">
        <v>177</v>
      </c>
      <c r="M2" s="518" t="s">
        <v>178</v>
      </c>
      <c r="N2" s="518" t="s">
        <v>179</v>
      </c>
      <c r="O2" s="518" t="s">
        <v>132</v>
      </c>
      <c r="P2" s="138"/>
      <c r="Q2" s="191"/>
      <c r="R2" s="529" t="s">
        <v>180</v>
      </c>
      <c r="S2" s="521" t="s">
        <v>181</v>
      </c>
      <c r="T2" s="521" t="s">
        <v>182</v>
      </c>
      <c r="U2" s="521" t="s">
        <v>183</v>
      </c>
      <c r="V2" s="521" t="s">
        <v>184</v>
      </c>
      <c r="W2" s="523" t="s">
        <v>132</v>
      </c>
    </row>
    <row r="3" spans="1:31" ht="43" customHeight="1" x14ac:dyDescent="0.25">
      <c r="A3" s="266"/>
      <c r="B3" s="516"/>
      <c r="C3" s="519"/>
      <c r="D3" s="519"/>
      <c r="E3" s="519"/>
      <c r="F3" s="519"/>
      <c r="G3" s="513"/>
      <c r="H3" s="267"/>
      <c r="I3" s="266"/>
      <c r="J3" s="516"/>
      <c r="K3" s="519"/>
      <c r="L3" s="519"/>
      <c r="M3" s="519"/>
      <c r="N3" s="519"/>
      <c r="O3" s="519"/>
      <c r="P3" s="267"/>
      <c r="Q3" s="266"/>
      <c r="R3" s="529"/>
      <c r="S3" s="521"/>
      <c r="T3" s="521"/>
      <c r="U3" s="521"/>
      <c r="V3" s="521"/>
      <c r="W3" s="523"/>
    </row>
    <row r="4" spans="1:31" ht="31.5" customHeight="1" x14ac:dyDescent="0.35">
      <c r="A4" s="190" t="s">
        <v>49</v>
      </c>
      <c r="B4" s="517"/>
      <c r="C4" s="520"/>
      <c r="D4" s="520"/>
      <c r="E4" s="520"/>
      <c r="F4" s="520"/>
      <c r="G4" s="514"/>
      <c r="H4" s="139"/>
      <c r="I4" s="189" t="s">
        <v>49</v>
      </c>
      <c r="J4" s="517"/>
      <c r="K4" s="520"/>
      <c r="L4" s="520"/>
      <c r="M4" s="520"/>
      <c r="N4" s="520"/>
      <c r="O4" s="520"/>
      <c r="P4" s="139"/>
      <c r="Q4" s="190" t="s">
        <v>49</v>
      </c>
      <c r="R4" s="530"/>
      <c r="S4" s="522"/>
      <c r="T4" s="522"/>
      <c r="U4" s="522"/>
      <c r="V4" s="522"/>
      <c r="W4" s="524"/>
    </row>
    <row r="5" spans="1:31" ht="14.5" x14ac:dyDescent="0.35">
      <c r="A5" s="188">
        <v>0</v>
      </c>
      <c r="B5" s="186">
        <v>8.6300000000000008</v>
      </c>
      <c r="C5" s="34">
        <v>10.84</v>
      </c>
      <c r="D5" s="34">
        <v>14.73</v>
      </c>
      <c r="E5" s="34">
        <v>23.16</v>
      </c>
      <c r="F5" s="34">
        <v>107.61</v>
      </c>
      <c r="G5" s="34">
        <v>10.61</v>
      </c>
      <c r="H5" s="139"/>
      <c r="I5" s="188">
        <v>0</v>
      </c>
      <c r="J5" s="186">
        <v>8.6300000000000008</v>
      </c>
      <c r="K5" s="34">
        <v>10.84</v>
      </c>
      <c r="L5" s="34">
        <v>14.73</v>
      </c>
      <c r="M5" s="34">
        <v>23.16</v>
      </c>
      <c r="N5" s="34">
        <v>107.61</v>
      </c>
      <c r="O5" s="34">
        <v>10.61</v>
      </c>
      <c r="P5" s="139"/>
      <c r="Q5" s="188">
        <v>0</v>
      </c>
      <c r="R5" s="186">
        <v>8.6300000000000008</v>
      </c>
      <c r="S5" s="34">
        <v>10.84</v>
      </c>
      <c r="T5" s="34">
        <v>14.73</v>
      </c>
      <c r="U5" s="34">
        <v>23.16</v>
      </c>
      <c r="V5" s="34">
        <v>107.61</v>
      </c>
      <c r="W5" s="34">
        <v>10.61</v>
      </c>
    </row>
    <row r="6" spans="1:31" ht="14.5" x14ac:dyDescent="0.35">
      <c r="A6" s="188">
        <v>1</v>
      </c>
      <c r="B6" s="187">
        <f>SUM((A6*0.05)+8.63)</f>
        <v>8.6800000000000015</v>
      </c>
      <c r="C6" s="35">
        <f>SUM((A6*0.05)+10.84)</f>
        <v>10.89</v>
      </c>
      <c r="D6" s="35">
        <f>SUM((A6*0.05)+14.73)</f>
        <v>14.780000000000001</v>
      </c>
      <c r="E6" s="35">
        <f>SUM((A6*0.05)+23.16)</f>
        <v>23.21</v>
      </c>
      <c r="F6" s="35">
        <f>SUM((A6*0.05)+107.61)</f>
        <v>107.66</v>
      </c>
      <c r="G6" s="35">
        <f t="shared" ref="G6" si="0">+G5+0.05</f>
        <v>10.66</v>
      </c>
      <c r="H6" s="139"/>
      <c r="I6" s="188">
        <v>1</v>
      </c>
      <c r="J6" s="187">
        <f>SUM((I6*0.05)+8.63)</f>
        <v>8.6800000000000015</v>
      </c>
      <c r="K6" s="35">
        <f>SUM((I6*0.05)+10.84)</f>
        <v>10.89</v>
      </c>
      <c r="L6" s="35">
        <f>SUM((I6*0.05)+14.73)</f>
        <v>14.780000000000001</v>
      </c>
      <c r="M6" s="35">
        <f>SUM((I6*0.05)+23.16)</f>
        <v>23.21</v>
      </c>
      <c r="N6" s="35">
        <f>SUM((I6*0.05)+107.61)</f>
        <v>107.66</v>
      </c>
      <c r="O6" s="35">
        <f t="shared" ref="O6:O30" si="1">+O5+0.05</f>
        <v>10.66</v>
      </c>
      <c r="P6" s="139"/>
      <c r="Q6" s="188">
        <v>1</v>
      </c>
      <c r="R6" s="187">
        <f>SUM(Q6*0.1)+8.63</f>
        <v>8.73</v>
      </c>
      <c r="S6" s="35">
        <f>SUM(Q6*0.1)+10.84</f>
        <v>10.94</v>
      </c>
      <c r="T6" s="35">
        <f>SUM(Q6*0.1)+14.73</f>
        <v>14.83</v>
      </c>
      <c r="U6" s="35">
        <f>SUM(Q6*0.1)+23.16</f>
        <v>23.26</v>
      </c>
      <c r="V6" s="35">
        <f>SUM(Q6*0.1)+107.61</f>
        <v>107.71</v>
      </c>
      <c r="W6" s="35">
        <f t="shared" ref="W6:W30" si="2">+W5+0.05</f>
        <v>10.66</v>
      </c>
    </row>
    <row r="7" spans="1:31" ht="14.5" x14ac:dyDescent="0.35">
      <c r="A7" s="188">
        <v>2</v>
      </c>
      <c r="B7" s="187">
        <f t="shared" ref="B7:B30" si="3">SUM((A7*0.05)+8.63)</f>
        <v>8.73</v>
      </c>
      <c r="C7" s="35">
        <f t="shared" ref="C7:C30" si="4">SUM((A7*0.05)+10.84)</f>
        <v>10.94</v>
      </c>
      <c r="D7" s="35">
        <f t="shared" ref="D7:D30" si="5">SUM((A7*0.05)+14.73)</f>
        <v>14.83</v>
      </c>
      <c r="E7" s="35">
        <f t="shared" ref="E7:E30" si="6">SUM((A7*0.05)+23.16)</f>
        <v>23.26</v>
      </c>
      <c r="F7" s="35">
        <f t="shared" ref="F7:F30" si="7">SUM((A7*0.05)+107.61)</f>
        <v>107.71</v>
      </c>
      <c r="G7" s="35">
        <f t="shared" ref="G7" si="8">+G6+0.05</f>
        <v>10.71</v>
      </c>
      <c r="H7" s="139"/>
      <c r="I7" s="188">
        <v>2</v>
      </c>
      <c r="J7" s="187">
        <f t="shared" ref="J7:J30" si="9">SUM((I7*0.05)+8.63)</f>
        <v>8.73</v>
      </c>
      <c r="K7" s="35">
        <f t="shared" ref="K7:K30" si="10">SUM((I7*0.05)+10.84)</f>
        <v>10.94</v>
      </c>
      <c r="L7" s="35">
        <f t="shared" ref="L7:L30" si="11">SUM((I7*0.05)+14.73)</f>
        <v>14.83</v>
      </c>
      <c r="M7" s="35">
        <f t="shared" ref="M7:M30" si="12">SUM((I7*0.05)+23.16)</f>
        <v>23.26</v>
      </c>
      <c r="N7" s="35">
        <f t="shared" ref="N7:N30" si="13">SUM((I7*0.05)+107.61)</f>
        <v>107.71</v>
      </c>
      <c r="O7" s="35">
        <f t="shared" si="1"/>
        <v>10.71</v>
      </c>
      <c r="P7" s="139"/>
      <c r="Q7" s="188">
        <v>2</v>
      </c>
      <c r="R7" s="187">
        <f t="shared" ref="R7:R30" si="14">SUM(Q7*0.1)+8.63</f>
        <v>8.83</v>
      </c>
      <c r="S7" s="35">
        <f t="shared" ref="S7:S30" si="15">SUM(Q7*0.1)+10.84</f>
        <v>11.04</v>
      </c>
      <c r="T7" s="35">
        <f t="shared" ref="T7:T30" si="16">SUM(Q7*0.1)+14.73</f>
        <v>14.93</v>
      </c>
      <c r="U7" s="35">
        <f t="shared" ref="U7:U30" si="17">SUM(Q7*0.1)+23.16</f>
        <v>23.36</v>
      </c>
      <c r="V7" s="35">
        <f t="shared" ref="V7:V30" si="18">SUM(Q7*0.1)+107.61</f>
        <v>107.81</v>
      </c>
      <c r="W7" s="35">
        <f t="shared" si="2"/>
        <v>10.71</v>
      </c>
    </row>
    <row r="8" spans="1:31" ht="14.5" x14ac:dyDescent="0.35">
      <c r="A8" s="188">
        <v>3</v>
      </c>
      <c r="B8" s="187">
        <f t="shared" si="3"/>
        <v>8.7800000000000011</v>
      </c>
      <c r="C8" s="35">
        <f t="shared" si="4"/>
        <v>10.99</v>
      </c>
      <c r="D8" s="35">
        <f t="shared" si="5"/>
        <v>14.88</v>
      </c>
      <c r="E8" s="35">
        <f t="shared" si="6"/>
        <v>23.31</v>
      </c>
      <c r="F8" s="35">
        <f t="shared" si="7"/>
        <v>107.76</v>
      </c>
      <c r="G8" s="35">
        <f t="shared" ref="G8" si="19">+G7+0.05</f>
        <v>10.760000000000002</v>
      </c>
      <c r="H8" s="139"/>
      <c r="I8" s="188">
        <v>3</v>
      </c>
      <c r="J8" s="187">
        <f t="shared" si="9"/>
        <v>8.7800000000000011</v>
      </c>
      <c r="K8" s="35">
        <f t="shared" si="10"/>
        <v>10.99</v>
      </c>
      <c r="L8" s="35">
        <f t="shared" si="11"/>
        <v>14.88</v>
      </c>
      <c r="M8" s="35">
        <f t="shared" si="12"/>
        <v>23.31</v>
      </c>
      <c r="N8" s="35">
        <f t="shared" si="13"/>
        <v>107.76</v>
      </c>
      <c r="O8" s="35">
        <f t="shared" si="1"/>
        <v>10.760000000000002</v>
      </c>
      <c r="P8" s="139"/>
      <c r="Q8" s="188">
        <v>3</v>
      </c>
      <c r="R8" s="187">
        <f t="shared" si="14"/>
        <v>8.9300000000000015</v>
      </c>
      <c r="S8" s="35">
        <f t="shared" si="15"/>
        <v>11.14</v>
      </c>
      <c r="T8" s="35">
        <f t="shared" si="16"/>
        <v>15.030000000000001</v>
      </c>
      <c r="U8" s="35">
        <f t="shared" si="17"/>
        <v>23.46</v>
      </c>
      <c r="V8" s="35">
        <f t="shared" si="18"/>
        <v>107.91</v>
      </c>
      <c r="W8" s="35">
        <f t="shared" si="2"/>
        <v>10.760000000000002</v>
      </c>
    </row>
    <row r="9" spans="1:31" ht="14.5" x14ac:dyDescent="0.35">
      <c r="A9" s="188">
        <v>4</v>
      </c>
      <c r="B9" s="187">
        <f t="shared" si="3"/>
        <v>8.83</v>
      </c>
      <c r="C9" s="35">
        <f t="shared" si="4"/>
        <v>11.04</v>
      </c>
      <c r="D9" s="35">
        <f t="shared" si="5"/>
        <v>14.93</v>
      </c>
      <c r="E9" s="35">
        <f t="shared" si="6"/>
        <v>23.36</v>
      </c>
      <c r="F9" s="35">
        <f t="shared" si="7"/>
        <v>107.81</v>
      </c>
      <c r="G9" s="35">
        <f t="shared" ref="G9" si="20">+G8+0.05</f>
        <v>10.810000000000002</v>
      </c>
      <c r="H9" s="139"/>
      <c r="I9" s="188">
        <v>4</v>
      </c>
      <c r="J9" s="187">
        <f t="shared" si="9"/>
        <v>8.83</v>
      </c>
      <c r="K9" s="35">
        <f t="shared" si="10"/>
        <v>11.04</v>
      </c>
      <c r="L9" s="35">
        <f t="shared" si="11"/>
        <v>14.93</v>
      </c>
      <c r="M9" s="35">
        <f t="shared" si="12"/>
        <v>23.36</v>
      </c>
      <c r="N9" s="35">
        <f t="shared" si="13"/>
        <v>107.81</v>
      </c>
      <c r="O9" s="35">
        <f t="shared" si="1"/>
        <v>10.810000000000002</v>
      </c>
      <c r="P9" s="139"/>
      <c r="Q9" s="188">
        <v>4</v>
      </c>
      <c r="R9" s="187">
        <f t="shared" si="14"/>
        <v>9.0300000000000011</v>
      </c>
      <c r="S9" s="35">
        <f t="shared" si="15"/>
        <v>11.24</v>
      </c>
      <c r="T9" s="35">
        <f t="shared" si="16"/>
        <v>15.13</v>
      </c>
      <c r="U9" s="35">
        <f t="shared" si="17"/>
        <v>23.56</v>
      </c>
      <c r="V9" s="35">
        <f t="shared" si="18"/>
        <v>108.01</v>
      </c>
      <c r="W9" s="35">
        <f t="shared" si="2"/>
        <v>10.810000000000002</v>
      </c>
    </row>
    <row r="10" spans="1:31" ht="14.5" x14ac:dyDescent="0.35">
      <c r="A10" s="188">
        <v>5</v>
      </c>
      <c r="B10" s="187">
        <f t="shared" si="3"/>
        <v>8.8800000000000008</v>
      </c>
      <c r="C10" s="35">
        <f t="shared" si="4"/>
        <v>11.09</v>
      </c>
      <c r="D10" s="35">
        <f t="shared" si="5"/>
        <v>14.98</v>
      </c>
      <c r="E10" s="35">
        <f t="shared" si="6"/>
        <v>23.41</v>
      </c>
      <c r="F10" s="35">
        <f t="shared" si="7"/>
        <v>107.86</v>
      </c>
      <c r="G10" s="35">
        <f t="shared" ref="G10" si="21">+G9+0.05</f>
        <v>10.860000000000003</v>
      </c>
      <c r="H10" s="139"/>
      <c r="I10" s="188">
        <v>5</v>
      </c>
      <c r="J10" s="187">
        <f t="shared" si="9"/>
        <v>8.8800000000000008</v>
      </c>
      <c r="K10" s="35">
        <f t="shared" si="10"/>
        <v>11.09</v>
      </c>
      <c r="L10" s="35">
        <f t="shared" si="11"/>
        <v>14.98</v>
      </c>
      <c r="M10" s="35">
        <f t="shared" si="12"/>
        <v>23.41</v>
      </c>
      <c r="N10" s="35">
        <f t="shared" si="13"/>
        <v>107.86</v>
      </c>
      <c r="O10" s="35">
        <f t="shared" si="1"/>
        <v>10.860000000000003</v>
      </c>
      <c r="P10" s="139"/>
      <c r="Q10" s="188">
        <v>5</v>
      </c>
      <c r="R10" s="187">
        <f t="shared" si="14"/>
        <v>9.1300000000000008</v>
      </c>
      <c r="S10" s="35">
        <f t="shared" si="15"/>
        <v>11.34</v>
      </c>
      <c r="T10" s="35">
        <f t="shared" si="16"/>
        <v>15.23</v>
      </c>
      <c r="U10" s="35">
        <f t="shared" si="17"/>
        <v>23.66</v>
      </c>
      <c r="V10" s="35">
        <f t="shared" si="18"/>
        <v>108.11</v>
      </c>
      <c r="W10" s="35">
        <f t="shared" si="2"/>
        <v>10.860000000000003</v>
      </c>
    </row>
    <row r="11" spans="1:31" ht="14.5" x14ac:dyDescent="0.35">
      <c r="A11" s="188">
        <v>6</v>
      </c>
      <c r="B11" s="187">
        <f t="shared" si="3"/>
        <v>8.9300000000000015</v>
      </c>
      <c r="C11" s="35">
        <f t="shared" si="4"/>
        <v>11.14</v>
      </c>
      <c r="D11" s="35">
        <f t="shared" si="5"/>
        <v>15.030000000000001</v>
      </c>
      <c r="E11" s="35">
        <f t="shared" si="6"/>
        <v>23.46</v>
      </c>
      <c r="F11" s="35">
        <f t="shared" si="7"/>
        <v>107.91</v>
      </c>
      <c r="G11" s="35">
        <f t="shared" ref="G11" si="22">+G10+0.05</f>
        <v>10.910000000000004</v>
      </c>
      <c r="H11" s="139"/>
      <c r="I11" s="188">
        <v>6</v>
      </c>
      <c r="J11" s="187">
        <f t="shared" si="9"/>
        <v>8.9300000000000015</v>
      </c>
      <c r="K11" s="35">
        <f t="shared" si="10"/>
        <v>11.14</v>
      </c>
      <c r="L11" s="35">
        <f t="shared" si="11"/>
        <v>15.030000000000001</v>
      </c>
      <c r="M11" s="35">
        <f t="shared" si="12"/>
        <v>23.46</v>
      </c>
      <c r="N11" s="35">
        <f t="shared" si="13"/>
        <v>107.91</v>
      </c>
      <c r="O11" s="35">
        <f t="shared" si="1"/>
        <v>10.910000000000004</v>
      </c>
      <c r="P11" s="139"/>
      <c r="Q11" s="188">
        <v>6</v>
      </c>
      <c r="R11" s="187">
        <f t="shared" si="14"/>
        <v>9.23</v>
      </c>
      <c r="S11" s="35">
        <f t="shared" si="15"/>
        <v>11.44</v>
      </c>
      <c r="T11" s="35">
        <f t="shared" si="16"/>
        <v>15.33</v>
      </c>
      <c r="U11" s="35">
        <f t="shared" si="17"/>
        <v>23.76</v>
      </c>
      <c r="V11" s="35">
        <f t="shared" si="18"/>
        <v>108.21</v>
      </c>
      <c r="W11" s="35">
        <f t="shared" si="2"/>
        <v>10.910000000000004</v>
      </c>
    </row>
    <row r="12" spans="1:31" ht="14.5" x14ac:dyDescent="0.35">
      <c r="A12" s="188">
        <v>7</v>
      </c>
      <c r="B12" s="187">
        <f t="shared" si="3"/>
        <v>8.98</v>
      </c>
      <c r="C12" s="35">
        <f t="shared" si="4"/>
        <v>11.19</v>
      </c>
      <c r="D12" s="35">
        <f t="shared" si="5"/>
        <v>15.08</v>
      </c>
      <c r="E12" s="35">
        <f t="shared" si="6"/>
        <v>23.51</v>
      </c>
      <c r="F12" s="35">
        <f t="shared" si="7"/>
        <v>107.96</v>
      </c>
      <c r="G12" s="35">
        <f t="shared" ref="G12" si="23">+G11+0.05</f>
        <v>10.960000000000004</v>
      </c>
      <c r="H12" s="139"/>
      <c r="I12" s="188">
        <v>7</v>
      </c>
      <c r="J12" s="187">
        <f t="shared" si="9"/>
        <v>8.98</v>
      </c>
      <c r="K12" s="35">
        <f t="shared" si="10"/>
        <v>11.19</v>
      </c>
      <c r="L12" s="35">
        <f t="shared" si="11"/>
        <v>15.08</v>
      </c>
      <c r="M12" s="35">
        <f t="shared" si="12"/>
        <v>23.51</v>
      </c>
      <c r="N12" s="35">
        <f t="shared" si="13"/>
        <v>107.96</v>
      </c>
      <c r="O12" s="35">
        <f t="shared" si="1"/>
        <v>10.960000000000004</v>
      </c>
      <c r="P12" s="139"/>
      <c r="Q12" s="188">
        <v>7</v>
      </c>
      <c r="R12" s="187">
        <f t="shared" si="14"/>
        <v>9.33</v>
      </c>
      <c r="S12" s="35">
        <f t="shared" si="15"/>
        <v>11.54</v>
      </c>
      <c r="T12" s="35">
        <f t="shared" si="16"/>
        <v>15.43</v>
      </c>
      <c r="U12" s="35">
        <f t="shared" si="17"/>
        <v>23.86</v>
      </c>
      <c r="V12" s="35">
        <f t="shared" si="18"/>
        <v>108.31</v>
      </c>
      <c r="W12" s="35">
        <f t="shared" si="2"/>
        <v>10.960000000000004</v>
      </c>
    </row>
    <row r="13" spans="1:31" ht="14.5" x14ac:dyDescent="0.35">
      <c r="A13" s="188">
        <v>8</v>
      </c>
      <c r="B13" s="187">
        <f t="shared" si="3"/>
        <v>9.0300000000000011</v>
      </c>
      <c r="C13" s="35">
        <f t="shared" si="4"/>
        <v>11.24</v>
      </c>
      <c r="D13" s="35">
        <f t="shared" si="5"/>
        <v>15.13</v>
      </c>
      <c r="E13" s="35">
        <f t="shared" si="6"/>
        <v>23.56</v>
      </c>
      <c r="F13" s="35">
        <f t="shared" si="7"/>
        <v>108.01</v>
      </c>
      <c r="G13" s="35">
        <f t="shared" ref="G13" si="24">+G12+0.05</f>
        <v>11.010000000000005</v>
      </c>
      <c r="H13" s="139"/>
      <c r="I13" s="188">
        <v>8</v>
      </c>
      <c r="J13" s="187">
        <f t="shared" si="9"/>
        <v>9.0300000000000011</v>
      </c>
      <c r="K13" s="35">
        <f t="shared" si="10"/>
        <v>11.24</v>
      </c>
      <c r="L13" s="35">
        <f t="shared" si="11"/>
        <v>15.13</v>
      </c>
      <c r="M13" s="35">
        <f t="shared" si="12"/>
        <v>23.56</v>
      </c>
      <c r="N13" s="35">
        <f t="shared" si="13"/>
        <v>108.01</v>
      </c>
      <c r="O13" s="35">
        <f t="shared" si="1"/>
        <v>11.010000000000005</v>
      </c>
      <c r="P13" s="139"/>
      <c r="Q13" s="188">
        <v>8</v>
      </c>
      <c r="R13" s="187">
        <f t="shared" si="14"/>
        <v>9.4300000000000015</v>
      </c>
      <c r="S13" s="35">
        <f t="shared" si="15"/>
        <v>11.64</v>
      </c>
      <c r="T13" s="35">
        <f t="shared" si="16"/>
        <v>15.530000000000001</v>
      </c>
      <c r="U13" s="35">
        <f t="shared" si="17"/>
        <v>23.96</v>
      </c>
      <c r="V13" s="35">
        <f t="shared" si="18"/>
        <v>108.41</v>
      </c>
      <c r="W13" s="35">
        <f t="shared" si="2"/>
        <v>11.010000000000005</v>
      </c>
    </row>
    <row r="14" spans="1:31" ht="14.5" x14ac:dyDescent="0.35">
      <c r="A14" s="188">
        <v>9</v>
      </c>
      <c r="B14" s="187">
        <f t="shared" si="3"/>
        <v>9.08</v>
      </c>
      <c r="C14" s="35">
        <f t="shared" si="4"/>
        <v>11.29</v>
      </c>
      <c r="D14" s="35">
        <f t="shared" si="5"/>
        <v>15.18</v>
      </c>
      <c r="E14" s="35">
        <f t="shared" si="6"/>
        <v>23.61</v>
      </c>
      <c r="F14" s="35">
        <f t="shared" si="7"/>
        <v>108.06</v>
      </c>
      <c r="G14" s="35">
        <f t="shared" ref="G14" si="25">+G13+0.05</f>
        <v>11.060000000000006</v>
      </c>
      <c r="H14" s="139"/>
      <c r="I14" s="188">
        <v>9</v>
      </c>
      <c r="J14" s="187">
        <f t="shared" si="9"/>
        <v>9.08</v>
      </c>
      <c r="K14" s="35">
        <f t="shared" si="10"/>
        <v>11.29</v>
      </c>
      <c r="L14" s="35">
        <f t="shared" si="11"/>
        <v>15.18</v>
      </c>
      <c r="M14" s="35">
        <f t="shared" si="12"/>
        <v>23.61</v>
      </c>
      <c r="N14" s="35">
        <f t="shared" si="13"/>
        <v>108.06</v>
      </c>
      <c r="O14" s="35">
        <f t="shared" si="1"/>
        <v>11.060000000000006</v>
      </c>
      <c r="P14" s="139"/>
      <c r="Q14" s="188">
        <v>9</v>
      </c>
      <c r="R14" s="187">
        <f t="shared" si="14"/>
        <v>9.5300000000000011</v>
      </c>
      <c r="S14" s="35">
        <f t="shared" si="15"/>
        <v>11.74</v>
      </c>
      <c r="T14" s="35">
        <f t="shared" si="16"/>
        <v>15.63</v>
      </c>
      <c r="U14" s="35">
        <f t="shared" si="17"/>
        <v>24.06</v>
      </c>
      <c r="V14" s="35">
        <f t="shared" si="18"/>
        <v>108.51</v>
      </c>
      <c r="W14" s="35">
        <f t="shared" si="2"/>
        <v>11.060000000000006</v>
      </c>
    </row>
    <row r="15" spans="1:31" ht="14.5" x14ac:dyDescent="0.35">
      <c r="A15" s="188">
        <v>10</v>
      </c>
      <c r="B15" s="187">
        <f t="shared" si="3"/>
        <v>9.1300000000000008</v>
      </c>
      <c r="C15" s="35">
        <f t="shared" si="4"/>
        <v>11.34</v>
      </c>
      <c r="D15" s="35">
        <f t="shared" si="5"/>
        <v>15.23</v>
      </c>
      <c r="E15" s="35">
        <f t="shared" si="6"/>
        <v>23.66</v>
      </c>
      <c r="F15" s="35">
        <f t="shared" si="7"/>
        <v>108.11</v>
      </c>
      <c r="G15" s="35">
        <f t="shared" ref="G15" si="26">+G14+0.05</f>
        <v>11.110000000000007</v>
      </c>
      <c r="H15" s="139"/>
      <c r="I15" s="188">
        <v>10</v>
      </c>
      <c r="J15" s="187">
        <f t="shared" si="9"/>
        <v>9.1300000000000008</v>
      </c>
      <c r="K15" s="35">
        <f t="shared" si="10"/>
        <v>11.34</v>
      </c>
      <c r="L15" s="35">
        <f t="shared" si="11"/>
        <v>15.23</v>
      </c>
      <c r="M15" s="35">
        <f t="shared" si="12"/>
        <v>23.66</v>
      </c>
      <c r="N15" s="35">
        <f t="shared" si="13"/>
        <v>108.11</v>
      </c>
      <c r="O15" s="35">
        <f t="shared" si="1"/>
        <v>11.110000000000007</v>
      </c>
      <c r="P15" s="139"/>
      <c r="Q15" s="188">
        <v>10</v>
      </c>
      <c r="R15" s="187">
        <f t="shared" si="14"/>
        <v>9.6300000000000008</v>
      </c>
      <c r="S15" s="35">
        <f t="shared" si="15"/>
        <v>11.84</v>
      </c>
      <c r="T15" s="35">
        <f t="shared" si="16"/>
        <v>15.73</v>
      </c>
      <c r="U15" s="35">
        <f t="shared" si="17"/>
        <v>24.16</v>
      </c>
      <c r="V15" s="35">
        <f t="shared" si="18"/>
        <v>108.61</v>
      </c>
      <c r="W15" s="35">
        <f t="shared" si="2"/>
        <v>11.110000000000007</v>
      </c>
    </row>
    <row r="16" spans="1:31" ht="14.5" x14ac:dyDescent="0.35">
      <c r="A16" s="188">
        <v>11</v>
      </c>
      <c r="B16" s="187">
        <f t="shared" si="3"/>
        <v>9.1800000000000015</v>
      </c>
      <c r="C16" s="35">
        <f t="shared" si="4"/>
        <v>11.39</v>
      </c>
      <c r="D16" s="35">
        <f t="shared" si="5"/>
        <v>15.280000000000001</v>
      </c>
      <c r="E16" s="35">
        <f t="shared" si="6"/>
        <v>23.71</v>
      </c>
      <c r="F16" s="35">
        <f t="shared" si="7"/>
        <v>108.16</v>
      </c>
      <c r="G16" s="35">
        <f t="shared" ref="G16" si="27">+G15+0.05</f>
        <v>11.160000000000007</v>
      </c>
      <c r="H16" s="139"/>
      <c r="I16" s="188">
        <v>11</v>
      </c>
      <c r="J16" s="187">
        <f t="shared" si="9"/>
        <v>9.1800000000000015</v>
      </c>
      <c r="K16" s="35">
        <f t="shared" si="10"/>
        <v>11.39</v>
      </c>
      <c r="L16" s="35">
        <f t="shared" si="11"/>
        <v>15.280000000000001</v>
      </c>
      <c r="M16" s="35">
        <f t="shared" si="12"/>
        <v>23.71</v>
      </c>
      <c r="N16" s="35">
        <f t="shared" si="13"/>
        <v>108.16</v>
      </c>
      <c r="O16" s="35">
        <f t="shared" si="1"/>
        <v>11.160000000000007</v>
      </c>
      <c r="P16" s="139"/>
      <c r="Q16" s="188">
        <v>11</v>
      </c>
      <c r="R16" s="187">
        <f t="shared" si="14"/>
        <v>9.73</v>
      </c>
      <c r="S16" s="35">
        <f t="shared" si="15"/>
        <v>11.94</v>
      </c>
      <c r="T16" s="35">
        <f t="shared" si="16"/>
        <v>15.83</v>
      </c>
      <c r="U16" s="35">
        <f t="shared" si="17"/>
        <v>24.26</v>
      </c>
      <c r="V16" s="35">
        <f t="shared" si="18"/>
        <v>108.71</v>
      </c>
      <c r="W16" s="35">
        <f t="shared" si="2"/>
        <v>11.160000000000007</v>
      </c>
    </row>
    <row r="17" spans="1:31" ht="14.5" x14ac:dyDescent="0.35">
      <c r="A17" s="188">
        <v>12</v>
      </c>
      <c r="B17" s="187">
        <f t="shared" si="3"/>
        <v>9.23</v>
      </c>
      <c r="C17" s="35">
        <f t="shared" si="4"/>
        <v>11.44</v>
      </c>
      <c r="D17" s="35">
        <f t="shared" si="5"/>
        <v>15.33</v>
      </c>
      <c r="E17" s="35">
        <f t="shared" si="6"/>
        <v>23.76</v>
      </c>
      <c r="F17" s="35">
        <f t="shared" si="7"/>
        <v>108.21</v>
      </c>
      <c r="G17" s="35">
        <f t="shared" ref="G17" si="28">+G16+0.05</f>
        <v>11.210000000000008</v>
      </c>
      <c r="H17" s="139"/>
      <c r="I17" s="188">
        <v>12</v>
      </c>
      <c r="J17" s="187">
        <f t="shared" si="9"/>
        <v>9.23</v>
      </c>
      <c r="K17" s="35">
        <f t="shared" si="10"/>
        <v>11.44</v>
      </c>
      <c r="L17" s="35">
        <f t="shared" si="11"/>
        <v>15.33</v>
      </c>
      <c r="M17" s="35">
        <f t="shared" si="12"/>
        <v>23.76</v>
      </c>
      <c r="N17" s="35">
        <f t="shared" si="13"/>
        <v>108.21</v>
      </c>
      <c r="O17" s="35">
        <f t="shared" si="1"/>
        <v>11.210000000000008</v>
      </c>
      <c r="P17" s="139"/>
      <c r="Q17" s="188">
        <v>12</v>
      </c>
      <c r="R17" s="187">
        <f t="shared" si="14"/>
        <v>9.8300000000000018</v>
      </c>
      <c r="S17" s="35">
        <f t="shared" si="15"/>
        <v>12.04</v>
      </c>
      <c r="T17" s="35">
        <f t="shared" si="16"/>
        <v>15.93</v>
      </c>
      <c r="U17" s="35">
        <f t="shared" si="17"/>
        <v>24.36</v>
      </c>
      <c r="V17" s="35">
        <f t="shared" si="18"/>
        <v>108.81</v>
      </c>
      <c r="W17" s="35">
        <f t="shared" si="2"/>
        <v>11.210000000000008</v>
      </c>
    </row>
    <row r="18" spans="1:31" ht="14.5" x14ac:dyDescent="0.35">
      <c r="A18" s="188">
        <v>13</v>
      </c>
      <c r="B18" s="187">
        <f t="shared" si="3"/>
        <v>9.2800000000000011</v>
      </c>
      <c r="C18" s="35">
        <f t="shared" si="4"/>
        <v>11.49</v>
      </c>
      <c r="D18" s="35">
        <f t="shared" si="5"/>
        <v>15.38</v>
      </c>
      <c r="E18" s="35">
        <f t="shared" si="6"/>
        <v>23.81</v>
      </c>
      <c r="F18" s="35">
        <f t="shared" si="7"/>
        <v>108.26</v>
      </c>
      <c r="G18" s="35">
        <f t="shared" ref="G18" si="29">+G17+0.05</f>
        <v>11.260000000000009</v>
      </c>
      <c r="H18" s="139"/>
      <c r="I18" s="188">
        <v>13</v>
      </c>
      <c r="J18" s="187">
        <f t="shared" si="9"/>
        <v>9.2800000000000011</v>
      </c>
      <c r="K18" s="35">
        <f t="shared" si="10"/>
        <v>11.49</v>
      </c>
      <c r="L18" s="35">
        <f t="shared" si="11"/>
        <v>15.38</v>
      </c>
      <c r="M18" s="35">
        <f t="shared" si="12"/>
        <v>23.81</v>
      </c>
      <c r="N18" s="35">
        <f t="shared" si="13"/>
        <v>108.26</v>
      </c>
      <c r="O18" s="35">
        <f t="shared" si="1"/>
        <v>11.260000000000009</v>
      </c>
      <c r="P18" s="139"/>
      <c r="Q18" s="188">
        <v>13</v>
      </c>
      <c r="R18" s="187">
        <f t="shared" si="14"/>
        <v>9.9300000000000015</v>
      </c>
      <c r="S18" s="35">
        <f t="shared" si="15"/>
        <v>12.14</v>
      </c>
      <c r="T18" s="35">
        <f t="shared" si="16"/>
        <v>16.03</v>
      </c>
      <c r="U18" s="35">
        <f t="shared" si="17"/>
        <v>24.46</v>
      </c>
      <c r="V18" s="35">
        <f t="shared" si="18"/>
        <v>108.91</v>
      </c>
      <c r="W18" s="35">
        <f t="shared" si="2"/>
        <v>11.260000000000009</v>
      </c>
    </row>
    <row r="19" spans="1:31" ht="14.5" x14ac:dyDescent="0.35">
      <c r="A19" s="188">
        <v>14</v>
      </c>
      <c r="B19" s="187">
        <f t="shared" si="3"/>
        <v>9.33</v>
      </c>
      <c r="C19" s="35">
        <f t="shared" si="4"/>
        <v>11.54</v>
      </c>
      <c r="D19" s="35">
        <f t="shared" si="5"/>
        <v>15.43</v>
      </c>
      <c r="E19" s="35">
        <f t="shared" si="6"/>
        <v>23.86</v>
      </c>
      <c r="F19" s="35">
        <f t="shared" si="7"/>
        <v>108.31</v>
      </c>
      <c r="G19" s="35">
        <f t="shared" ref="G19" si="30">+G18+0.05</f>
        <v>11.310000000000009</v>
      </c>
      <c r="H19" s="139"/>
      <c r="I19" s="188">
        <v>14</v>
      </c>
      <c r="J19" s="187">
        <f t="shared" si="9"/>
        <v>9.33</v>
      </c>
      <c r="K19" s="35">
        <f t="shared" si="10"/>
        <v>11.54</v>
      </c>
      <c r="L19" s="35">
        <f t="shared" si="11"/>
        <v>15.43</v>
      </c>
      <c r="M19" s="35">
        <f t="shared" si="12"/>
        <v>23.86</v>
      </c>
      <c r="N19" s="35">
        <f t="shared" si="13"/>
        <v>108.31</v>
      </c>
      <c r="O19" s="35">
        <f t="shared" si="1"/>
        <v>11.310000000000009</v>
      </c>
      <c r="P19" s="139"/>
      <c r="Q19" s="188">
        <v>14</v>
      </c>
      <c r="R19" s="187">
        <f t="shared" si="14"/>
        <v>10.030000000000001</v>
      </c>
      <c r="S19" s="35">
        <f t="shared" si="15"/>
        <v>12.24</v>
      </c>
      <c r="T19" s="35">
        <f t="shared" si="16"/>
        <v>16.13</v>
      </c>
      <c r="U19" s="35">
        <f t="shared" si="17"/>
        <v>24.56</v>
      </c>
      <c r="V19" s="35">
        <f t="shared" si="18"/>
        <v>109.01</v>
      </c>
      <c r="W19" s="35">
        <f t="shared" si="2"/>
        <v>11.310000000000009</v>
      </c>
    </row>
    <row r="20" spans="1:31" ht="14.5" x14ac:dyDescent="0.35">
      <c r="A20" s="188">
        <v>15</v>
      </c>
      <c r="B20" s="187">
        <f t="shared" si="3"/>
        <v>9.3800000000000008</v>
      </c>
      <c r="C20" s="35">
        <f t="shared" si="4"/>
        <v>11.59</v>
      </c>
      <c r="D20" s="35">
        <f t="shared" si="5"/>
        <v>15.48</v>
      </c>
      <c r="E20" s="35">
        <f t="shared" si="6"/>
        <v>23.91</v>
      </c>
      <c r="F20" s="35">
        <f t="shared" si="7"/>
        <v>108.36</v>
      </c>
      <c r="G20" s="35">
        <f t="shared" ref="G20" si="31">+G19+0.05</f>
        <v>11.36000000000001</v>
      </c>
      <c r="H20" s="139"/>
      <c r="I20" s="188">
        <v>15</v>
      </c>
      <c r="J20" s="187">
        <f t="shared" si="9"/>
        <v>9.3800000000000008</v>
      </c>
      <c r="K20" s="35">
        <f t="shared" si="10"/>
        <v>11.59</v>
      </c>
      <c r="L20" s="35">
        <f t="shared" si="11"/>
        <v>15.48</v>
      </c>
      <c r="M20" s="35">
        <f t="shared" si="12"/>
        <v>23.91</v>
      </c>
      <c r="N20" s="35">
        <f t="shared" si="13"/>
        <v>108.36</v>
      </c>
      <c r="O20" s="35">
        <f t="shared" si="1"/>
        <v>11.36000000000001</v>
      </c>
      <c r="P20" s="139"/>
      <c r="Q20" s="188">
        <v>15</v>
      </c>
      <c r="R20" s="187">
        <f t="shared" si="14"/>
        <v>10.130000000000001</v>
      </c>
      <c r="S20" s="35">
        <f t="shared" si="15"/>
        <v>12.34</v>
      </c>
      <c r="T20" s="35">
        <f t="shared" si="16"/>
        <v>16.23</v>
      </c>
      <c r="U20" s="35">
        <f t="shared" si="17"/>
        <v>24.66</v>
      </c>
      <c r="V20" s="35">
        <f t="shared" si="18"/>
        <v>109.11</v>
      </c>
      <c r="W20" s="35">
        <f t="shared" si="2"/>
        <v>11.36000000000001</v>
      </c>
    </row>
    <row r="21" spans="1:31" ht="14.5" x14ac:dyDescent="0.35">
      <c r="A21" s="188">
        <v>16</v>
      </c>
      <c r="B21" s="187">
        <f t="shared" si="3"/>
        <v>9.4300000000000015</v>
      </c>
      <c r="C21" s="35">
        <f t="shared" si="4"/>
        <v>11.64</v>
      </c>
      <c r="D21" s="35">
        <f t="shared" si="5"/>
        <v>15.530000000000001</v>
      </c>
      <c r="E21" s="35">
        <f t="shared" si="6"/>
        <v>23.96</v>
      </c>
      <c r="F21" s="35">
        <f t="shared" si="7"/>
        <v>108.41</v>
      </c>
      <c r="G21" s="35">
        <f t="shared" ref="G21" si="32">+G20+0.05</f>
        <v>11.410000000000011</v>
      </c>
      <c r="H21" s="139"/>
      <c r="I21" s="188">
        <v>16</v>
      </c>
      <c r="J21" s="187">
        <f t="shared" si="9"/>
        <v>9.4300000000000015</v>
      </c>
      <c r="K21" s="35">
        <f t="shared" si="10"/>
        <v>11.64</v>
      </c>
      <c r="L21" s="35">
        <f t="shared" si="11"/>
        <v>15.530000000000001</v>
      </c>
      <c r="M21" s="35">
        <f t="shared" si="12"/>
        <v>23.96</v>
      </c>
      <c r="N21" s="35">
        <f t="shared" si="13"/>
        <v>108.41</v>
      </c>
      <c r="O21" s="35">
        <f t="shared" si="1"/>
        <v>11.410000000000011</v>
      </c>
      <c r="P21" s="139"/>
      <c r="Q21" s="188">
        <v>16</v>
      </c>
      <c r="R21" s="187">
        <f t="shared" si="14"/>
        <v>10.23</v>
      </c>
      <c r="S21" s="35">
        <f t="shared" si="15"/>
        <v>12.44</v>
      </c>
      <c r="T21" s="35">
        <f t="shared" si="16"/>
        <v>16.330000000000002</v>
      </c>
      <c r="U21" s="35">
        <f t="shared" si="17"/>
        <v>24.76</v>
      </c>
      <c r="V21" s="35">
        <f t="shared" si="18"/>
        <v>109.21</v>
      </c>
      <c r="W21" s="35">
        <f t="shared" si="2"/>
        <v>11.410000000000011</v>
      </c>
    </row>
    <row r="22" spans="1:31" ht="14.5" x14ac:dyDescent="0.35">
      <c r="A22" s="188">
        <v>17</v>
      </c>
      <c r="B22" s="187">
        <f t="shared" si="3"/>
        <v>9.48</v>
      </c>
      <c r="C22" s="35">
        <f t="shared" si="4"/>
        <v>11.69</v>
      </c>
      <c r="D22" s="35">
        <f t="shared" si="5"/>
        <v>15.58</v>
      </c>
      <c r="E22" s="35">
        <f t="shared" si="6"/>
        <v>24.01</v>
      </c>
      <c r="F22" s="35">
        <f t="shared" si="7"/>
        <v>108.46</v>
      </c>
      <c r="G22" s="35">
        <f t="shared" ref="G22" si="33">+G21+0.05</f>
        <v>11.460000000000012</v>
      </c>
      <c r="H22" s="139"/>
      <c r="I22" s="188">
        <v>17</v>
      </c>
      <c r="J22" s="187">
        <f t="shared" si="9"/>
        <v>9.48</v>
      </c>
      <c r="K22" s="35">
        <f t="shared" si="10"/>
        <v>11.69</v>
      </c>
      <c r="L22" s="35">
        <f t="shared" si="11"/>
        <v>15.58</v>
      </c>
      <c r="M22" s="35">
        <f t="shared" si="12"/>
        <v>24.01</v>
      </c>
      <c r="N22" s="35">
        <f t="shared" si="13"/>
        <v>108.46</v>
      </c>
      <c r="O22" s="35">
        <f t="shared" si="1"/>
        <v>11.460000000000012</v>
      </c>
      <c r="P22" s="139"/>
      <c r="Q22" s="188">
        <v>17</v>
      </c>
      <c r="R22" s="187">
        <f t="shared" si="14"/>
        <v>10.330000000000002</v>
      </c>
      <c r="S22" s="35">
        <f t="shared" si="15"/>
        <v>12.54</v>
      </c>
      <c r="T22" s="35">
        <f t="shared" si="16"/>
        <v>16.43</v>
      </c>
      <c r="U22" s="35">
        <f t="shared" si="17"/>
        <v>24.86</v>
      </c>
      <c r="V22" s="35">
        <f t="shared" si="18"/>
        <v>109.31</v>
      </c>
      <c r="W22" s="35">
        <f t="shared" si="2"/>
        <v>11.460000000000012</v>
      </c>
    </row>
    <row r="23" spans="1:31" ht="14.5" x14ac:dyDescent="0.35">
      <c r="A23" s="188">
        <v>18</v>
      </c>
      <c r="B23" s="187">
        <f t="shared" si="3"/>
        <v>9.5300000000000011</v>
      </c>
      <c r="C23" s="35">
        <f t="shared" si="4"/>
        <v>11.74</v>
      </c>
      <c r="D23" s="35">
        <f t="shared" si="5"/>
        <v>15.63</v>
      </c>
      <c r="E23" s="35">
        <f t="shared" si="6"/>
        <v>24.06</v>
      </c>
      <c r="F23" s="35">
        <f t="shared" si="7"/>
        <v>108.51</v>
      </c>
      <c r="G23" s="35">
        <f t="shared" ref="G23" si="34">+G22+0.05</f>
        <v>11.510000000000012</v>
      </c>
      <c r="H23" s="139"/>
      <c r="I23" s="188">
        <v>18</v>
      </c>
      <c r="J23" s="187">
        <f t="shared" si="9"/>
        <v>9.5300000000000011</v>
      </c>
      <c r="K23" s="35">
        <f t="shared" si="10"/>
        <v>11.74</v>
      </c>
      <c r="L23" s="35">
        <f t="shared" si="11"/>
        <v>15.63</v>
      </c>
      <c r="M23" s="35">
        <f t="shared" si="12"/>
        <v>24.06</v>
      </c>
      <c r="N23" s="35">
        <f t="shared" si="13"/>
        <v>108.51</v>
      </c>
      <c r="O23" s="35">
        <f t="shared" si="1"/>
        <v>11.510000000000012</v>
      </c>
      <c r="P23" s="139"/>
      <c r="Q23" s="188">
        <v>18</v>
      </c>
      <c r="R23" s="187">
        <f t="shared" si="14"/>
        <v>10.430000000000001</v>
      </c>
      <c r="S23" s="35">
        <f t="shared" si="15"/>
        <v>12.64</v>
      </c>
      <c r="T23" s="35">
        <f t="shared" si="16"/>
        <v>16.53</v>
      </c>
      <c r="U23" s="35">
        <f t="shared" si="17"/>
        <v>24.96</v>
      </c>
      <c r="V23" s="35">
        <f t="shared" si="18"/>
        <v>109.41</v>
      </c>
      <c r="W23" s="35">
        <f t="shared" si="2"/>
        <v>11.510000000000012</v>
      </c>
    </row>
    <row r="24" spans="1:31" ht="14.5" x14ac:dyDescent="0.35">
      <c r="A24" s="188">
        <v>19</v>
      </c>
      <c r="B24" s="187">
        <f t="shared" si="3"/>
        <v>9.58</v>
      </c>
      <c r="C24" s="35">
        <f t="shared" si="4"/>
        <v>11.79</v>
      </c>
      <c r="D24" s="35">
        <f t="shared" si="5"/>
        <v>15.68</v>
      </c>
      <c r="E24" s="35">
        <f t="shared" si="6"/>
        <v>24.11</v>
      </c>
      <c r="F24" s="35">
        <f t="shared" si="7"/>
        <v>108.56</v>
      </c>
      <c r="G24" s="35">
        <f t="shared" ref="G24" si="35">+G23+0.05</f>
        <v>11.560000000000013</v>
      </c>
      <c r="H24" s="139"/>
      <c r="I24" s="188">
        <v>19</v>
      </c>
      <c r="J24" s="187">
        <f t="shared" si="9"/>
        <v>9.58</v>
      </c>
      <c r="K24" s="35">
        <f t="shared" si="10"/>
        <v>11.79</v>
      </c>
      <c r="L24" s="35">
        <f t="shared" si="11"/>
        <v>15.68</v>
      </c>
      <c r="M24" s="35">
        <f t="shared" si="12"/>
        <v>24.11</v>
      </c>
      <c r="N24" s="35">
        <f t="shared" si="13"/>
        <v>108.56</v>
      </c>
      <c r="O24" s="35">
        <f t="shared" si="1"/>
        <v>11.560000000000013</v>
      </c>
      <c r="P24" s="139"/>
      <c r="Q24" s="188">
        <v>19</v>
      </c>
      <c r="R24" s="187">
        <f t="shared" si="14"/>
        <v>10.530000000000001</v>
      </c>
      <c r="S24" s="35">
        <f t="shared" si="15"/>
        <v>12.74</v>
      </c>
      <c r="T24" s="35">
        <f t="shared" si="16"/>
        <v>16.63</v>
      </c>
      <c r="U24" s="35">
        <f t="shared" si="17"/>
        <v>25.06</v>
      </c>
      <c r="V24" s="35">
        <f t="shared" si="18"/>
        <v>109.51</v>
      </c>
      <c r="W24" s="35">
        <f t="shared" si="2"/>
        <v>11.560000000000013</v>
      </c>
    </row>
    <row r="25" spans="1:31" ht="14.5" x14ac:dyDescent="0.35">
      <c r="A25" s="188">
        <v>20</v>
      </c>
      <c r="B25" s="187">
        <f t="shared" si="3"/>
        <v>9.6300000000000008</v>
      </c>
      <c r="C25" s="35">
        <f t="shared" si="4"/>
        <v>11.84</v>
      </c>
      <c r="D25" s="35">
        <f t="shared" si="5"/>
        <v>15.73</v>
      </c>
      <c r="E25" s="35">
        <f t="shared" si="6"/>
        <v>24.16</v>
      </c>
      <c r="F25" s="35">
        <f t="shared" si="7"/>
        <v>108.61</v>
      </c>
      <c r="G25" s="35">
        <f t="shared" ref="G25" si="36">+G24+0.05</f>
        <v>11.610000000000014</v>
      </c>
      <c r="H25" s="139"/>
      <c r="I25" s="188">
        <v>20</v>
      </c>
      <c r="J25" s="187">
        <f t="shared" si="9"/>
        <v>9.6300000000000008</v>
      </c>
      <c r="K25" s="35">
        <f t="shared" si="10"/>
        <v>11.84</v>
      </c>
      <c r="L25" s="35">
        <f t="shared" si="11"/>
        <v>15.73</v>
      </c>
      <c r="M25" s="35">
        <f t="shared" si="12"/>
        <v>24.16</v>
      </c>
      <c r="N25" s="35">
        <f t="shared" si="13"/>
        <v>108.61</v>
      </c>
      <c r="O25" s="35">
        <f t="shared" si="1"/>
        <v>11.610000000000014</v>
      </c>
      <c r="P25" s="139"/>
      <c r="Q25" s="188">
        <v>20</v>
      </c>
      <c r="R25" s="187">
        <f t="shared" si="14"/>
        <v>10.63</v>
      </c>
      <c r="S25" s="35">
        <f t="shared" si="15"/>
        <v>12.84</v>
      </c>
      <c r="T25" s="35">
        <f t="shared" si="16"/>
        <v>16.73</v>
      </c>
      <c r="U25" s="35">
        <f t="shared" si="17"/>
        <v>25.16</v>
      </c>
      <c r="V25" s="35">
        <f t="shared" si="18"/>
        <v>109.61</v>
      </c>
      <c r="W25" s="35">
        <f t="shared" si="2"/>
        <v>11.610000000000014</v>
      </c>
    </row>
    <row r="26" spans="1:31" ht="14.5" x14ac:dyDescent="0.35">
      <c r="A26" s="188">
        <v>21</v>
      </c>
      <c r="B26" s="187">
        <f t="shared" si="3"/>
        <v>9.6800000000000015</v>
      </c>
      <c r="C26" s="35">
        <f t="shared" si="4"/>
        <v>11.89</v>
      </c>
      <c r="D26" s="35">
        <f t="shared" si="5"/>
        <v>15.780000000000001</v>
      </c>
      <c r="E26" s="35">
        <f t="shared" si="6"/>
        <v>24.21</v>
      </c>
      <c r="F26" s="35">
        <f t="shared" si="7"/>
        <v>108.66</v>
      </c>
      <c r="G26" s="35">
        <f t="shared" ref="G26" si="37">+G25+0.05</f>
        <v>11.660000000000014</v>
      </c>
      <c r="H26" s="139"/>
      <c r="I26" s="188">
        <v>21</v>
      </c>
      <c r="J26" s="187">
        <f t="shared" si="9"/>
        <v>9.6800000000000015</v>
      </c>
      <c r="K26" s="35">
        <f t="shared" si="10"/>
        <v>11.89</v>
      </c>
      <c r="L26" s="35">
        <f t="shared" si="11"/>
        <v>15.780000000000001</v>
      </c>
      <c r="M26" s="35">
        <f t="shared" si="12"/>
        <v>24.21</v>
      </c>
      <c r="N26" s="35">
        <f t="shared" si="13"/>
        <v>108.66</v>
      </c>
      <c r="O26" s="35">
        <f t="shared" si="1"/>
        <v>11.660000000000014</v>
      </c>
      <c r="P26" s="139"/>
      <c r="Q26" s="188">
        <v>21</v>
      </c>
      <c r="R26" s="187">
        <f t="shared" si="14"/>
        <v>10.73</v>
      </c>
      <c r="S26" s="35">
        <f t="shared" si="15"/>
        <v>12.94</v>
      </c>
      <c r="T26" s="35">
        <f t="shared" si="16"/>
        <v>16.830000000000002</v>
      </c>
      <c r="U26" s="35">
        <f t="shared" si="17"/>
        <v>25.26</v>
      </c>
      <c r="V26" s="35">
        <f t="shared" si="18"/>
        <v>109.71</v>
      </c>
      <c r="W26" s="35">
        <f t="shared" si="2"/>
        <v>11.660000000000014</v>
      </c>
    </row>
    <row r="27" spans="1:31" ht="14.5" x14ac:dyDescent="0.35">
      <c r="A27" s="188">
        <v>22</v>
      </c>
      <c r="B27" s="187">
        <f t="shared" si="3"/>
        <v>9.73</v>
      </c>
      <c r="C27" s="35">
        <f t="shared" si="4"/>
        <v>11.94</v>
      </c>
      <c r="D27" s="35">
        <f t="shared" si="5"/>
        <v>15.83</v>
      </c>
      <c r="E27" s="35">
        <f t="shared" si="6"/>
        <v>24.26</v>
      </c>
      <c r="F27" s="35">
        <f t="shared" si="7"/>
        <v>108.71</v>
      </c>
      <c r="G27" s="35">
        <f t="shared" ref="G27" si="38">+G26+0.05</f>
        <v>11.710000000000015</v>
      </c>
      <c r="H27" s="139"/>
      <c r="I27" s="188">
        <v>22</v>
      </c>
      <c r="J27" s="187">
        <f t="shared" si="9"/>
        <v>9.73</v>
      </c>
      <c r="K27" s="35">
        <f t="shared" si="10"/>
        <v>11.94</v>
      </c>
      <c r="L27" s="35">
        <f t="shared" si="11"/>
        <v>15.83</v>
      </c>
      <c r="M27" s="35">
        <f t="shared" si="12"/>
        <v>24.26</v>
      </c>
      <c r="N27" s="35">
        <f t="shared" si="13"/>
        <v>108.71</v>
      </c>
      <c r="O27" s="35">
        <f t="shared" si="1"/>
        <v>11.710000000000015</v>
      </c>
      <c r="P27" s="139"/>
      <c r="Q27" s="188">
        <v>22</v>
      </c>
      <c r="R27" s="187">
        <f t="shared" si="14"/>
        <v>10.830000000000002</v>
      </c>
      <c r="S27" s="35">
        <f t="shared" si="15"/>
        <v>13.04</v>
      </c>
      <c r="T27" s="35">
        <f t="shared" si="16"/>
        <v>16.93</v>
      </c>
      <c r="U27" s="35">
        <f t="shared" si="17"/>
        <v>25.36</v>
      </c>
      <c r="V27" s="35">
        <f t="shared" si="18"/>
        <v>109.81</v>
      </c>
      <c r="W27" s="35">
        <f t="shared" si="2"/>
        <v>11.710000000000015</v>
      </c>
    </row>
    <row r="28" spans="1:31" ht="14.5" x14ac:dyDescent="0.35">
      <c r="A28" s="188">
        <v>23</v>
      </c>
      <c r="B28" s="187">
        <f t="shared" si="3"/>
        <v>9.7800000000000011</v>
      </c>
      <c r="C28" s="35">
        <f t="shared" si="4"/>
        <v>11.99</v>
      </c>
      <c r="D28" s="35">
        <f t="shared" si="5"/>
        <v>15.88</v>
      </c>
      <c r="E28" s="35">
        <f t="shared" si="6"/>
        <v>24.31</v>
      </c>
      <c r="F28" s="35">
        <f t="shared" si="7"/>
        <v>108.76</v>
      </c>
      <c r="G28" s="35">
        <f t="shared" ref="G28" si="39">+G27+0.05</f>
        <v>11.760000000000016</v>
      </c>
      <c r="H28" s="139"/>
      <c r="I28" s="188">
        <v>23</v>
      </c>
      <c r="J28" s="187">
        <f t="shared" si="9"/>
        <v>9.7800000000000011</v>
      </c>
      <c r="K28" s="35">
        <f t="shared" si="10"/>
        <v>11.99</v>
      </c>
      <c r="L28" s="35">
        <f t="shared" si="11"/>
        <v>15.88</v>
      </c>
      <c r="M28" s="35">
        <f t="shared" si="12"/>
        <v>24.31</v>
      </c>
      <c r="N28" s="35">
        <f t="shared" si="13"/>
        <v>108.76</v>
      </c>
      <c r="O28" s="35">
        <f t="shared" si="1"/>
        <v>11.760000000000016</v>
      </c>
      <c r="P28" s="139"/>
      <c r="Q28" s="188">
        <v>23</v>
      </c>
      <c r="R28" s="187">
        <f t="shared" si="14"/>
        <v>10.930000000000001</v>
      </c>
      <c r="S28" s="35">
        <f t="shared" si="15"/>
        <v>13.14</v>
      </c>
      <c r="T28" s="35">
        <f t="shared" si="16"/>
        <v>17.03</v>
      </c>
      <c r="U28" s="35">
        <f t="shared" si="17"/>
        <v>25.46</v>
      </c>
      <c r="V28" s="35">
        <f t="shared" si="18"/>
        <v>109.91</v>
      </c>
      <c r="W28" s="35">
        <f t="shared" si="2"/>
        <v>11.760000000000016</v>
      </c>
    </row>
    <row r="29" spans="1:31" ht="14.5" x14ac:dyDescent="0.35">
      <c r="A29" s="188">
        <v>24</v>
      </c>
      <c r="B29" s="187">
        <f t="shared" si="3"/>
        <v>9.8300000000000018</v>
      </c>
      <c r="C29" s="35">
        <f t="shared" si="4"/>
        <v>12.04</v>
      </c>
      <c r="D29" s="35">
        <f t="shared" si="5"/>
        <v>15.93</v>
      </c>
      <c r="E29" s="35">
        <f t="shared" si="6"/>
        <v>24.36</v>
      </c>
      <c r="F29" s="35">
        <f t="shared" si="7"/>
        <v>108.81</v>
      </c>
      <c r="G29" s="35">
        <f t="shared" ref="G29" si="40">+G28+0.05</f>
        <v>11.810000000000016</v>
      </c>
      <c r="H29" s="139"/>
      <c r="I29" s="188">
        <v>24</v>
      </c>
      <c r="J29" s="187">
        <f t="shared" si="9"/>
        <v>9.8300000000000018</v>
      </c>
      <c r="K29" s="35">
        <f t="shared" si="10"/>
        <v>12.04</v>
      </c>
      <c r="L29" s="35">
        <f t="shared" si="11"/>
        <v>15.93</v>
      </c>
      <c r="M29" s="35">
        <f t="shared" si="12"/>
        <v>24.36</v>
      </c>
      <c r="N29" s="35">
        <f t="shared" si="13"/>
        <v>108.81</v>
      </c>
      <c r="O29" s="35">
        <f t="shared" si="1"/>
        <v>11.810000000000016</v>
      </c>
      <c r="P29" s="139"/>
      <c r="Q29" s="188">
        <v>24</v>
      </c>
      <c r="R29" s="187">
        <f t="shared" si="14"/>
        <v>11.030000000000001</v>
      </c>
      <c r="S29" s="35">
        <f t="shared" si="15"/>
        <v>13.24</v>
      </c>
      <c r="T29" s="35">
        <f t="shared" si="16"/>
        <v>17.130000000000003</v>
      </c>
      <c r="U29" s="35">
        <f t="shared" si="17"/>
        <v>25.560000000000002</v>
      </c>
      <c r="V29" s="35">
        <f t="shared" si="18"/>
        <v>110.01</v>
      </c>
      <c r="W29" s="35">
        <f t="shared" si="2"/>
        <v>11.810000000000016</v>
      </c>
    </row>
    <row r="30" spans="1:31" ht="14.5" x14ac:dyDescent="0.35">
      <c r="A30" s="222">
        <v>25</v>
      </c>
      <c r="B30" s="187">
        <f t="shared" si="3"/>
        <v>9.8800000000000008</v>
      </c>
      <c r="C30" s="35">
        <f t="shared" si="4"/>
        <v>12.09</v>
      </c>
      <c r="D30" s="35">
        <f t="shared" si="5"/>
        <v>15.98</v>
      </c>
      <c r="E30" s="35">
        <f t="shared" si="6"/>
        <v>24.41</v>
      </c>
      <c r="F30" s="35">
        <f t="shared" si="7"/>
        <v>108.86</v>
      </c>
      <c r="G30" s="223">
        <f t="shared" ref="G30" si="41">+G29+0.05</f>
        <v>11.860000000000017</v>
      </c>
      <c r="H30" s="135"/>
      <c r="I30" s="222">
        <v>25</v>
      </c>
      <c r="J30" s="187">
        <f t="shared" si="9"/>
        <v>9.8800000000000008</v>
      </c>
      <c r="K30" s="35">
        <f t="shared" si="10"/>
        <v>12.09</v>
      </c>
      <c r="L30" s="35">
        <f t="shared" si="11"/>
        <v>15.98</v>
      </c>
      <c r="M30" s="35">
        <f t="shared" si="12"/>
        <v>24.41</v>
      </c>
      <c r="N30" s="35">
        <f t="shared" si="13"/>
        <v>108.86</v>
      </c>
      <c r="O30" s="223">
        <f t="shared" si="1"/>
        <v>11.860000000000017</v>
      </c>
      <c r="P30" s="135"/>
      <c r="Q30" s="222">
        <v>25</v>
      </c>
      <c r="R30" s="187">
        <f t="shared" si="14"/>
        <v>11.13</v>
      </c>
      <c r="S30" s="35">
        <f t="shared" si="15"/>
        <v>13.34</v>
      </c>
      <c r="T30" s="35">
        <f t="shared" si="16"/>
        <v>17.23</v>
      </c>
      <c r="U30" s="35">
        <f t="shared" si="17"/>
        <v>25.66</v>
      </c>
      <c r="V30" s="35">
        <f t="shared" si="18"/>
        <v>110.11</v>
      </c>
      <c r="W30" s="223">
        <f t="shared" si="2"/>
        <v>11.860000000000017</v>
      </c>
    </row>
    <row r="31" spans="1:31" ht="52.5" customHeight="1" x14ac:dyDescent="0.25">
      <c r="A31" s="526" t="s">
        <v>50</v>
      </c>
      <c r="B31" s="527"/>
      <c r="C31" s="527"/>
      <c r="D31" s="527"/>
      <c r="E31" s="527"/>
      <c r="F31" s="527"/>
      <c r="G31" s="527"/>
      <c r="H31" s="527"/>
      <c r="I31" s="527"/>
      <c r="J31" s="527"/>
      <c r="K31" s="527"/>
      <c r="L31" s="527"/>
      <c r="M31" s="527"/>
      <c r="N31" s="527"/>
      <c r="O31" s="527"/>
      <c r="P31" s="527"/>
      <c r="Q31" s="527"/>
      <c r="R31" s="527"/>
      <c r="S31" s="527"/>
      <c r="T31" s="527"/>
      <c r="U31" s="527"/>
      <c r="V31" s="527"/>
      <c r="W31" s="527"/>
      <c r="X31" s="527"/>
      <c r="Y31" s="527"/>
      <c r="Z31" s="527"/>
      <c r="AA31" s="527"/>
      <c r="AB31" s="527"/>
      <c r="AC31" s="527"/>
      <c r="AD31" s="527"/>
      <c r="AE31" s="528"/>
    </row>
  </sheetData>
  <sheetProtection algorithmName="SHA-512" hashValue="sEm2tmo/cXXvFm/vniLJsnfmMriwpqhpoLLzmiwOm9o6TAlLOxQ/rYSLFoNEFDWaPbmfaPh5WnByJr1IcDFWjw==" saltValue="TYDOucpIdKB54KinwRg5DQ==" spinCount="100000" sheet="1" objects="1" scenarios="1"/>
  <mergeCells count="20">
    <mergeCell ref="W2:W4"/>
    <mergeCell ref="A1:AE1"/>
    <mergeCell ref="A31:AE31"/>
    <mergeCell ref="O2:O4"/>
    <mergeCell ref="R2:R4"/>
    <mergeCell ref="S2:S4"/>
    <mergeCell ref="T2:T4"/>
    <mergeCell ref="U2:U4"/>
    <mergeCell ref="J2:J4"/>
    <mergeCell ref="K2:K4"/>
    <mergeCell ref="L2:L4"/>
    <mergeCell ref="M2:M4"/>
    <mergeCell ref="N2:N4"/>
    <mergeCell ref="E2:E4"/>
    <mergeCell ref="F2:F4"/>
    <mergeCell ref="G2:G4"/>
    <mergeCell ref="B2:B4"/>
    <mergeCell ref="C2:C4"/>
    <mergeCell ref="D2:D4"/>
    <mergeCell ref="V2:V4"/>
  </mergeCells>
  <pageMargins left="0.7" right="0.7" top="0.75" bottom="0.75" header="0.3" footer="0.3"/>
  <pageSetup scale="80" orientation="landscape" r:id="rId1"/>
  <headerFooter>
    <oddFooter>&amp;C&amp;A&amp;R&amp;N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379FE-D610-4CDD-9009-1F207BC3AC5E}">
  <dimension ref="A1:AA33"/>
  <sheetViews>
    <sheetView workbookViewId="0">
      <pane ySplit="4" topLeftCell="A5" activePane="bottomLeft" state="frozen"/>
      <selection pane="bottomLeft" activeCell="L22" sqref="L22"/>
    </sheetView>
  </sheetViews>
  <sheetFormatPr defaultRowHeight="12.5" x14ac:dyDescent="0.25"/>
  <cols>
    <col min="1" max="1" width="10.54296875" customWidth="1"/>
    <col min="2" max="3" width="11.7265625" bestFit="1" customWidth="1"/>
    <col min="4" max="4" width="9.453125" customWidth="1"/>
    <col min="5" max="5" width="9.54296875" customWidth="1"/>
    <col min="6" max="6" width="9.453125" customWidth="1"/>
    <col min="7" max="7" width="4.54296875" customWidth="1"/>
    <col min="8" max="9" width="10.81640625" customWidth="1"/>
    <col min="10" max="10" width="9.453125" customWidth="1"/>
    <col min="11" max="11" width="9.81640625" customWidth="1"/>
    <col min="12" max="12" width="8.81640625" customWidth="1"/>
    <col min="13" max="13" width="9.54296875" customWidth="1"/>
    <col min="14" max="14" width="4.1796875" customWidth="1"/>
    <col min="15" max="15" width="10.81640625" customWidth="1"/>
    <col min="21" max="21" width="4.81640625" customWidth="1"/>
    <col min="22" max="22" width="10.81640625" customWidth="1"/>
  </cols>
  <sheetData>
    <row r="1" spans="1:27" ht="62.25" customHeight="1" x14ac:dyDescent="0.25">
      <c r="A1" s="534" t="s">
        <v>237</v>
      </c>
      <c r="B1" s="535"/>
      <c r="C1" s="535"/>
      <c r="D1" s="535"/>
      <c r="E1" s="535"/>
      <c r="F1" s="535"/>
      <c r="G1" s="535"/>
      <c r="H1" s="535"/>
      <c r="I1" s="535"/>
      <c r="J1" s="535"/>
      <c r="K1" s="535"/>
      <c r="L1" s="535"/>
      <c r="M1" s="535"/>
      <c r="N1" s="535"/>
      <c r="O1" s="535"/>
      <c r="P1" s="535"/>
      <c r="Q1" s="535"/>
      <c r="R1" s="535"/>
      <c r="S1" s="535"/>
      <c r="T1" s="535"/>
      <c r="U1" s="535"/>
      <c r="V1" s="535"/>
      <c r="W1" s="535"/>
      <c r="X1" s="535"/>
      <c r="Y1" s="535"/>
      <c r="Z1" s="535"/>
      <c r="AA1" s="536"/>
    </row>
    <row r="2" spans="1:27" ht="24.75" customHeight="1" x14ac:dyDescent="0.25"/>
    <row r="3" spans="1:27" ht="12.75" customHeight="1" x14ac:dyDescent="0.25">
      <c r="A3" s="183"/>
      <c r="B3" s="531" t="s">
        <v>51</v>
      </c>
      <c r="C3" s="532"/>
      <c r="D3" s="532"/>
      <c r="E3" s="532"/>
      <c r="F3" s="532"/>
      <c r="G3" s="532"/>
      <c r="H3" s="532"/>
      <c r="I3" s="532"/>
      <c r="J3" s="532"/>
      <c r="K3" s="532"/>
      <c r="L3" s="532"/>
      <c r="M3" s="532"/>
      <c r="N3" s="532"/>
      <c r="O3" s="532"/>
      <c r="P3" s="532"/>
      <c r="Q3" s="532"/>
      <c r="R3" s="532"/>
      <c r="S3" s="532"/>
      <c r="T3" s="532"/>
      <c r="U3" s="532"/>
      <c r="V3" s="532"/>
      <c r="W3" s="532"/>
      <c r="X3" s="532"/>
      <c r="Y3" s="532"/>
      <c r="Z3" s="532"/>
      <c r="AA3" s="533"/>
    </row>
    <row r="4" spans="1:27" ht="100" x14ac:dyDescent="0.25">
      <c r="A4" s="192" t="s">
        <v>217</v>
      </c>
      <c r="B4" s="252" t="s">
        <v>192</v>
      </c>
      <c r="C4" s="252" t="s">
        <v>193</v>
      </c>
      <c r="D4" s="252" t="s">
        <v>194</v>
      </c>
      <c r="E4" s="252" t="s">
        <v>195</v>
      </c>
      <c r="F4" s="252" t="s">
        <v>196</v>
      </c>
      <c r="H4" s="192" t="s">
        <v>217</v>
      </c>
      <c r="I4" s="298" t="s">
        <v>242</v>
      </c>
      <c r="J4" s="298" t="s">
        <v>241</v>
      </c>
      <c r="K4" s="298" t="s">
        <v>243</v>
      </c>
      <c r="L4" s="298" t="s">
        <v>244</v>
      </c>
      <c r="M4" s="298" t="s">
        <v>245</v>
      </c>
      <c r="O4" s="192" t="s">
        <v>217</v>
      </c>
      <c r="P4" s="298" t="s">
        <v>187</v>
      </c>
      <c r="Q4" s="298" t="s">
        <v>188</v>
      </c>
      <c r="R4" s="298" t="s">
        <v>189</v>
      </c>
      <c r="S4" s="298" t="s">
        <v>190</v>
      </c>
      <c r="T4" s="298" t="s">
        <v>191</v>
      </c>
    </row>
    <row r="5" spans="1:27" ht="12.75" customHeight="1" x14ac:dyDescent="0.25">
      <c r="A5" s="181">
        <v>0</v>
      </c>
      <c r="B5" s="36">
        <v>62.44</v>
      </c>
      <c r="C5" s="36">
        <v>69.680000000000007</v>
      </c>
      <c r="D5" s="36">
        <v>80.260000000000005</v>
      </c>
      <c r="E5" s="36">
        <v>98.31</v>
      </c>
      <c r="F5" s="36">
        <v>171.65</v>
      </c>
      <c r="H5" s="181">
        <v>0</v>
      </c>
      <c r="I5" s="36">
        <f>SUM(62.44+4.06)</f>
        <v>66.5</v>
      </c>
      <c r="J5" s="36">
        <f>SUM(69.68+4.53)</f>
        <v>74.210000000000008</v>
      </c>
      <c r="K5" s="36">
        <f>SUM(80.26+5.22)</f>
        <v>85.48</v>
      </c>
      <c r="L5" s="36">
        <f>SUM(98.31+6.04)</f>
        <v>104.35000000000001</v>
      </c>
      <c r="M5" s="36">
        <f>SUM(171.65+8.45)</f>
        <v>180.1</v>
      </c>
      <c r="O5" s="181">
        <v>0</v>
      </c>
      <c r="P5" s="36">
        <f>SUM(62.44+4.06)</f>
        <v>66.5</v>
      </c>
      <c r="Q5" s="36">
        <f>SUM(69.68+4.53)</f>
        <v>74.210000000000008</v>
      </c>
      <c r="R5" s="36">
        <f>SUM(80.26+5.22)</f>
        <v>85.48</v>
      </c>
      <c r="S5" s="36">
        <f>SUM(98.31+6.04)</f>
        <v>104.35000000000001</v>
      </c>
      <c r="T5" s="36">
        <f>SUM(171.65+8.45)</f>
        <v>180.1</v>
      </c>
    </row>
    <row r="6" spans="1:27" x14ac:dyDescent="0.25">
      <c r="A6" s="181">
        <v>1</v>
      </c>
      <c r="B6" s="38">
        <f>SUM((A6*0.05)+62.44)</f>
        <v>62.489999999999995</v>
      </c>
      <c r="C6" s="38">
        <f>SUM((A6*0.05)+69.68)</f>
        <v>69.73</v>
      </c>
      <c r="D6" s="38">
        <f>SUM((A6*0.05)+80.26)</f>
        <v>80.31</v>
      </c>
      <c r="E6" s="38">
        <f>SUM((A6*0.05)+98.31)</f>
        <v>98.36</v>
      </c>
      <c r="F6" s="38">
        <f>SUM((A6*0.05)+171.65)</f>
        <v>171.70000000000002</v>
      </c>
      <c r="H6" s="181">
        <v>1</v>
      </c>
      <c r="I6" s="38">
        <f>SUM((H6*0.05)+62.44+4.06)</f>
        <v>66.55</v>
      </c>
      <c r="J6" s="38">
        <f>SUM((H6*0.05)+69.68+4.53)</f>
        <v>74.260000000000005</v>
      </c>
      <c r="K6" s="38">
        <f>SUM((H6*0.05)+80.26+5.22)</f>
        <v>85.53</v>
      </c>
      <c r="L6" s="38">
        <f>SUM((H6*0.05)+98.31+6.04)</f>
        <v>104.4</v>
      </c>
      <c r="M6" s="38">
        <f>SUM((H6*0.05)+171.65+8.45)</f>
        <v>180.15</v>
      </c>
      <c r="O6" s="181">
        <v>1</v>
      </c>
      <c r="P6" s="38">
        <f>SUM((O6*0.4)+62.44+4.06)</f>
        <v>66.899999999999991</v>
      </c>
      <c r="Q6" s="38">
        <f>SUM((O6*0.4)+69.68+4.53)</f>
        <v>74.610000000000014</v>
      </c>
      <c r="R6" s="38">
        <f>SUM((O6*0.4)+80.26+5.22)</f>
        <v>85.88000000000001</v>
      </c>
      <c r="S6" s="38">
        <f>SUM((O6*0.4)+98.31+6.04)</f>
        <v>104.75000000000001</v>
      </c>
      <c r="T6" s="38">
        <f>SUM((O6*0.4)+171.65+8.45)</f>
        <v>180.5</v>
      </c>
    </row>
    <row r="7" spans="1:27" x14ac:dyDescent="0.25">
      <c r="A7" s="181">
        <v>2</v>
      </c>
      <c r="B7" s="38">
        <f t="shared" ref="B7:B30" si="0">SUM((A7*0.05)+62.44)</f>
        <v>62.54</v>
      </c>
      <c r="C7" s="38">
        <f t="shared" ref="C7:C30" si="1">SUM((A7*0.05)+69.68)</f>
        <v>69.78</v>
      </c>
      <c r="D7" s="38">
        <f t="shared" ref="D7:D30" si="2">SUM((A7*0.05)+80.26)</f>
        <v>80.36</v>
      </c>
      <c r="E7" s="38">
        <f t="shared" ref="E7:E30" si="3">SUM((A7*0.05)+98.31)</f>
        <v>98.41</v>
      </c>
      <c r="F7" s="38">
        <f t="shared" ref="F7:F30" si="4">SUM((A7*0.05)+171.65)</f>
        <v>171.75</v>
      </c>
      <c r="H7" s="181">
        <v>2</v>
      </c>
      <c r="I7" s="38">
        <f t="shared" ref="I7:I30" si="5">SUM((H7*0.05)+62.44+4.06)</f>
        <v>66.599999999999994</v>
      </c>
      <c r="J7" s="38">
        <f t="shared" ref="J7:J30" si="6">SUM((H7*0.05)+69.68+4.53)</f>
        <v>74.31</v>
      </c>
      <c r="K7" s="38">
        <f t="shared" ref="K7:K30" si="7">SUM((H7*0.05)+80.26+5.22)</f>
        <v>85.58</v>
      </c>
      <c r="L7" s="38">
        <f t="shared" ref="L7:L30" si="8">SUM((H7*0.05)+98.31+6.04)</f>
        <v>104.45</v>
      </c>
      <c r="M7" s="38">
        <f t="shared" ref="M7:M30" si="9">SUM((H7*0.05)+171.65+8.45)</f>
        <v>180.2</v>
      </c>
      <c r="O7" s="181">
        <v>2</v>
      </c>
      <c r="P7" s="38">
        <f t="shared" ref="P7:P30" si="10">SUM(O7*0.4)+62.44+4.06</f>
        <v>67.3</v>
      </c>
      <c r="Q7" s="38">
        <f t="shared" ref="Q7:Q30" si="11">SUM((O7*0.4)+69.68+4.53)</f>
        <v>75.010000000000005</v>
      </c>
      <c r="R7" s="38">
        <f t="shared" ref="R7:R30" si="12">SUM((O7*0.4)+80.26+5.22)</f>
        <v>86.28</v>
      </c>
      <c r="S7" s="38">
        <f t="shared" ref="S7:S30" si="13">SUM((O7*0.4)+98.31+6.04)</f>
        <v>105.15</v>
      </c>
      <c r="T7" s="38">
        <f t="shared" ref="T7:T30" si="14">SUM((O7*0.4)+171.65+8.45)</f>
        <v>180.9</v>
      </c>
    </row>
    <row r="8" spans="1:27" x14ac:dyDescent="0.25">
      <c r="A8" s="181">
        <v>3</v>
      </c>
      <c r="B8" s="38">
        <f t="shared" si="0"/>
        <v>62.589999999999996</v>
      </c>
      <c r="C8" s="38">
        <f t="shared" si="1"/>
        <v>69.830000000000013</v>
      </c>
      <c r="D8" s="38">
        <f t="shared" si="2"/>
        <v>80.410000000000011</v>
      </c>
      <c r="E8" s="38">
        <f t="shared" si="3"/>
        <v>98.460000000000008</v>
      </c>
      <c r="F8" s="38">
        <f t="shared" si="4"/>
        <v>171.8</v>
      </c>
      <c r="H8" s="181">
        <v>3</v>
      </c>
      <c r="I8" s="38">
        <f t="shared" si="5"/>
        <v>66.649999999999991</v>
      </c>
      <c r="J8" s="38">
        <f t="shared" si="6"/>
        <v>74.360000000000014</v>
      </c>
      <c r="K8" s="38">
        <f t="shared" si="7"/>
        <v>85.63000000000001</v>
      </c>
      <c r="L8" s="38">
        <f t="shared" si="8"/>
        <v>104.50000000000001</v>
      </c>
      <c r="M8" s="38">
        <f t="shared" si="9"/>
        <v>180.25</v>
      </c>
      <c r="O8" s="181">
        <v>3</v>
      </c>
      <c r="P8" s="38">
        <f t="shared" si="10"/>
        <v>67.7</v>
      </c>
      <c r="Q8" s="38">
        <f t="shared" si="11"/>
        <v>75.410000000000011</v>
      </c>
      <c r="R8" s="38">
        <f t="shared" si="12"/>
        <v>86.68</v>
      </c>
      <c r="S8" s="38">
        <f t="shared" si="13"/>
        <v>105.55000000000001</v>
      </c>
      <c r="T8" s="38">
        <f t="shared" si="14"/>
        <v>181.29999999999998</v>
      </c>
    </row>
    <row r="9" spans="1:27" x14ac:dyDescent="0.25">
      <c r="A9" s="181">
        <v>4</v>
      </c>
      <c r="B9" s="38">
        <f t="shared" si="0"/>
        <v>62.64</v>
      </c>
      <c r="C9" s="38">
        <f t="shared" si="1"/>
        <v>69.88000000000001</v>
      </c>
      <c r="D9" s="38">
        <f t="shared" si="2"/>
        <v>80.460000000000008</v>
      </c>
      <c r="E9" s="38">
        <f t="shared" si="3"/>
        <v>98.51</v>
      </c>
      <c r="F9" s="38">
        <f t="shared" si="4"/>
        <v>171.85</v>
      </c>
      <c r="H9" s="181">
        <v>4</v>
      </c>
      <c r="I9" s="38">
        <f t="shared" si="5"/>
        <v>66.7</v>
      </c>
      <c r="J9" s="38">
        <f t="shared" si="6"/>
        <v>74.410000000000011</v>
      </c>
      <c r="K9" s="38">
        <f t="shared" si="7"/>
        <v>85.68</v>
      </c>
      <c r="L9" s="38">
        <f t="shared" si="8"/>
        <v>104.55000000000001</v>
      </c>
      <c r="M9" s="38">
        <f t="shared" si="9"/>
        <v>180.29999999999998</v>
      </c>
      <c r="O9" s="181">
        <v>4</v>
      </c>
      <c r="P9" s="38">
        <f t="shared" si="10"/>
        <v>68.099999999999994</v>
      </c>
      <c r="Q9" s="38">
        <f t="shared" si="11"/>
        <v>75.81</v>
      </c>
      <c r="R9" s="38">
        <f t="shared" si="12"/>
        <v>87.08</v>
      </c>
      <c r="S9" s="38">
        <f t="shared" si="13"/>
        <v>105.95</v>
      </c>
      <c r="T9" s="38">
        <f t="shared" si="14"/>
        <v>181.7</v>
      </c>
    </row>
    <row r="10" spans="1:27" x14ac:dyDescent="0.25">
      <c r="A10" s="181">
        <v>5</v>
      </c>
      <c r="B10" s="38">
        <f t="shared" si="0"/>
        <v>62.69</v>
      </c>
      <c r="C10" s="38">
        <f t="shared" si="1"/>
        <v>69.930000000000007</v>
      </c>
      <c r="D10" s="38">
        <f t="shared" si="2"/>
        <v>80.510000000000005</v>
      </c>
      <c r="E10" s="38">
        <f t="shared" si="3"/>
        <v>98.56</v>
      </c>
      <c r="F10" s="38">
        <f t="shared" si="4"/>
        <v>171.9</v>
      </c>
      <c r="H10" s="181">
        <v>5</v>
      </c>
      <c r="I10" s="38">
        <f t="shared" si="5"/>
        <v>66.75</v>
      </c>
      <c r="J10" s="38">
        <f t="shared" si="6"/>
        <v>74.460000000000008</v>
      </c>
      <c r="K10" s="38">
        <f t="shared" si="7"/>
        <v>85.73</v>
      </c>
      <c r="L10" s="38">
        <f t="shared" si="8"/>
        <v>104.60000000000001</v>
      </c>
      <c r="M10" s="38">
        <f t="shared" si="9"/>
        <v>180.35</v>
      </c>
      <c r="O10" s="181">
        <v>5</v>
      </c>
      <c r="P10" s="38">
        <f t="shared" si="10"/>
        <v>68.5</v>
      </c>
      <c r="Q10" s="38">
        <f t="shared" si="11"/>
        <v>76.210000000000008</v>
      </c>
      <c r="R10" s="38">
        <f t="shared" si="12"/>
        <v>87.48</v>
      </c>
      <c r="S10" s="38">
        <f t="shared" si="13"/>
        <v>106.35000000000001</v>
      </c>
      <c r="T10" s="38">
        <f t="shared" si="14"/>
        <v>182.1</v>
      </c>
    </row>
    <row r="11" spans="1:27" x14ac:dyDescent="0.25">
      <c r="A11" s="181">
        <v>6</v>
      </c>
      <c r="B11" s="38">
        <f t="shared" si="0"/>
        <v>62.739999999999995</v>
      </c>
      <c r="C11" s="38">
        <f t="shared" si="1"/>
        <v>69.98</v>
      </c>
      <c r="D11" s="38">
        <f t="shared" si="2"/>
        <v>80.56</v>
      </c>
      <c r="E11" s="38">
        <f t="shared" si="3"/>
        <v>98.61</v>
      </c>
      <c r="F11" s="38">
        <f t="shared" si="4"/>
        <v>171.95000000000002</v>
      </c>
      <c r="H11" s="181">
        <v>6</v>
      </c>
      <c r="I11" s="38">
        <f t="shared" si="5"/>
        <v>66.8</v>
      </c>
      <c r="J11" s="38">
        <f t="shared" si="6"/>
        <v>74.510000000000005</v>
      </c>
      <c r="K11" s="38">
        <f t="shared" si="7"/>
        <v>85.78</v>
      </c>
      <c r="L11" s="38">
        <f t="shared" si="8"/>
        <v>104.65</v>
      </c>
      <c r="M11" s="38">
        <f t="shared" si="9"/>
        <v>180.4</v>
      </c>
      <c r="O11" s="181">
        <v>6</v>
      </c>
      <c r="P11" s="38">
        <f t="shared" si="10"/>
        <v>68.900000000000006</v>
      </c>
      <c r="Q11" s="38">
        <f t="shared" si="11"/>
        <v>76.610000000000014</v>
      </c>
      <c r="R11" s="38">
        <f t="shared" si="12"/>
        <v>87.88000000000001</v>
      </c>
      <c r="S11" s="38">
        <f t="shared" si="13"/>
        <v>106.75000000000001</v>
      </c>
      <c r="T11" s="38">
        <f t="shared" si="14"/>
        <v>182.5</v>
      </c>
    </row>
    <row r="12" spans="1:27" x14ac:dyDescent="0.25">
      <c r="A12" s="181">
        <v>7</v>
      </c>
      <c r="B12" s="38">
        <f t="shared" si="0"/>
        <v>62.79</v>
      </c>
      <c r="C12" s="38">
        <f t="shared" si="1"/>
        <v>70.03</v>
      </c>
      <c r="D12" s="38">
        <f t="shared" si="2"/>
        <v>80.61</v>
      </c>
      <c r="E12" s="38">
        <f t="shared" si="3"/>
        <v>98.66</v>
      </c>
      <c r="F12" s="38">
        <f t="shared" si="4"/>
        <v>172</v>
      </c>
      <c r="H12" s="181">
        <v>7</v>
      </c>
      <c r="I12" s="38">
        <f t="shared" si="5"/>
        <v>66.849999999999994</v>
      </c>
      <c r="J12" s="38">
        <f t="shared" si="6"/>
        <v>74.56</v>
      </c>
      <c r="K12" s="38">
        <f t="shared" si="7"/>
        <v>85.83</v>
      </c>
      <c r="L12" s="38">
        <f t="shared" si="8"/>
        <v>104.7</v>
      </c>
      <c r="M12" s="38">
        <f t="shared" si="9"/>
        <v>180.45</v>
      </c>
      <c r="O12" s="181">
        <v>7</v>
      </c>
      <c r="P12" s="38">
        <f t="shared" si="10"/>
        <v>69.3</v>
      </c>
      <c r="Q12" s="38">
        <f t="shared" si="11"/>
        <v>77.010000000000005</v>
      </c>
      <c r="R12" s="38">
        <f t="shared" si="12"/>
        <v>88.28</v>
      </c>
      <c r="S12" s="38">
        <f t="shared" si="13"/>
        <v>107.15</v>
      </c>
      <c r="T12" s="38">
        <f t="shared" si="14"/>
        <v>182.9</v>
      </c>
    </row>
    <row r="13" spans="1:27" x14ac:dyDescent="0.25">
      <c r="A13" s="181">
        <v>8</v>
      </c>
      <c r="B13" s="38">
        <f t="shared" si="0"/>
        <v>62.839999999999996</v>
      </c>
      <c r="C13" s="38">
        <f t="shared" si="1"/>
        <v>70.080000000000013</v>
      </c>
      <c r="D13" s="38">
        <f t="shared" si="2"/>
        <v>80.660000000000011</v>
      </c>
      <c r="E13" s="38">
        <f t="shared" si="3"/>
        <v>98.710000000000008</v>
      </c>
      <c r="F13" s="38">
        <f t="shared" si="4"/>
        <v>172.05</v>
      </c>
      <c r="H13" s="181">
        <v>8</v>
      </c>
      <c r="I13" s="38">
        <f t="shared" si="5"/>
        <v>66.899999999999991</v>
      </c>
      <c r="J13" s="38">
        <f t="shared" si="6"/>
        <v>74.610000000000014</v>
      </c>
      <c r="K13" s="38">
        <f t="shared" si="7"/>
        <v>85.88000000000001</v>
      </c>
      <c r="L13" s="38">
        <f t="shared" si="8"/>
        <v>104.75000000000001</v>
      </c>
      <c r="M13" s="38">
        <f t="shared" si="9"/>
        <v>180.5</v>
      </c>
      <c r="O13" s="181">
        <v>8</v>
      </c>
      <c r="P13" s="38">
        <f t="shared" si="10"/>
        <v>69.7</v>
      </c>
      <c r="Q13" s="38">
        <f t="shared" si="11"/>
        <v>77.410000000000011</v>
      </c>
      <c r="R13" s="38">
        <f t="shared" si="12"/>
        <v>88.68</v>
      </c>
      <c r="S13" s="38">
        <f t="shared" si="13"/>
        <v>107.55000000000001</v>
      </c>
      <c r="T13" s="38">
        <f t="shared" si="14"/>
        <v>183.29999999999998</v>
      </c>
    </row>
    <row r="14" spans="1:27" x14ac:dyDescent="0.25">
      <c r="A14" s="181">
        <v>9</v>
      </c>
      <c r="B14" s="38">
        <f t="shared" si="0"/>
        <v>62.89</v>
      </c>
      <c r="C14" s="38">
        <f t="shared" si="1"/>
        <v>70.13000000000001</v>
      </c>
      <c r="D14" s="38">
        <f t="shared" si="2"/>
        <v>80.710000000000008</v>
      </c>
      <c r="E14" s="38">
        <f t="shared" si="3"/>
        <v>98.76</v>
      </c>
      <c r="F14" s="38">
        <f t="shared" si="4"/>
        <v>172.1</v>
      </c>
      <c r="H14" s="181">
        <v>9</v>
      </c>
      <c r="I14" s="38">
        <f t="shared" si="5"/>
        <v>66.95</v>
      </c>
      <c r="J14" s="38">
        <f t="shared" si="6"/>
        <v>74.660000000000011</v>
      </c>
      <c r="K14" s="38">
        <f t="shared" si="7"/>
        <v>85.93</v>
      </c>
      <c r="L14" s="38">
        <f t="shared" si="8"/>
        <v>104.80000000000001</v>
      </c>
      <c r="M14" s="38">
        <f t="shared" si="9"/>
        <v>180.54999999999998</v>
      </c>
      <c r="O14" s="181">
        <v>9</v>
      </c>
      <c r="P14" s="38">
        <f t="shared" si="10"/>
        <v>70.099999999999994</v>
      </c>
      <c r="Q14" s="38">
        <f t="shared" si="11"/>
        <v>77.81</v>
      </c>
      <c r="R14" s="38">
        <f t="shared" si="12"/>
        <v>89.08</v>
      </c>
      <c r="S14" s="38">
        <f t="shared" si="13"/>
        <v>107.95</v>
      </c>
      <c r="T14" s="38">
        <f t="shared" si="14"/>
        <v>183.7</v>
      </c>
    </row>
    <row r="15" spans="1:27" x14ac:dyDescent="0.25">
      <c r="A15" s="181">
        <v>10</v>
      </c>
      <c r="B15" s="38">
        <f t="shared" si="0"/>
        <v>62.94</v>
      </c>
      <c r="C15" s="38">
        <f t="shared" si="1"/>
        <v>70.180000000000007</v>
      </c>
      <c r="D15" s="38">
        <f t="shared" si="2"/>
        <v>80.760000000000005</v>
      </c>
      <c r="E15" s="38">
        <f t="shared" si="3"/>
        <v>98.81</v>
      </c>
      <c r="F15" s="38">
        <f t="shared" si="4"/>
        <v>172.15</v>
      </c>
      <c r="H15" s="181">
        <v>10</v>
      </c>
      <c r="I15" s="38">
        <f t="shared" si="5"/>
        <v>67</v>
      </c>
      <c r="J15" s="38">
        <f t="shared" si="6"/>
        <v>74.710000000000008</v>
      </c>
      <c r="K15" s="38">
        <f t="shared" si="7"/>
        <v>85.98</v>
      </c>
      <c r="L15" s="38">
        <f t="shared" si="8"/>
        <v>104.85000000000001</v>
      </c>
      <c r="M15" s="38">
        <f t="shared" si="9"/>
        <v>180.6</v>
      </c>
      <c r="O15" s="181">
        <v>10</v>
      </c>
      <c r="P15" s="38">
        <f t="shared" si="10"/>
        <v>70.5</v>
      </c>
      <c r="Q15" s="38">
        <f t="shared" si="11"/>
        <v>78.210000000000008</v>
      </c>
      <c r="R15" s="38">
        <f t="shared" si="12"/>
        <v>89.48</v>
      </c>
      <c r="S15" s="38">
        <f t="shared" si="13"/>
        <v>108.35000000000001</v>
      </c>
      <c r="T15" s="38">
        <f t="shared" si="14"/>
        <v>184.1</v>
      </c>
    </row>
    <row r="16" spans="1:27" x14ac:dyDescent="0.25">
      <c r="A16" s="181">
        <v>11</v>
      </c>
      <c r="B16" s="38">
        <f t="shared" si="0"/>
        <v>62.989999999999995</v>
      </c>
      <c r="C16" s="38">
        <f t="shared" si="1"/>
        <v>70.23</v>
      </c>
      <c r="D16" s="38">
        <f t="shared" si="2"/>
        <v>80.81</v>
      </c>
      <c r="E16" s="38">
        <f t="shared" si="3"/>
        <v>98.86</v>
      </c>
      <c r="F16" s="38">
        <f t="shared" si="4"/>
        <v>172.20000000000002</v>
      </c>
      <c r="H16" s="181">
        <v>11</v>
      </c>
      <c r="I16" s="38">
        <f t="shared" si="5"/>
        <v>67.05</v>
      </c>
      <c r="J16" s="38">
        <f t="shared" si="6"/>
        <v>74.760000000000005</v>
      </c>
      <c r="K16" s="38">
        <f t="shared" si="7"/>
        <v>86.03</v>
      </c>
      <c r="L16" s="38">
        <f t="shared" si="8"/>
        <v>104.9</v>
      </c>
      <c r="M16" s="38">
        <f t="shared" si="9"/>
        <v>180.65</v>
      </c>
      <c r="O16" s="181">
        <v>11</v>
      </c>
      <c r="P16" s="38">
        <f t="shared" si="10"/>
        <v>70.900000000000006</v>
      </c>
      <c r="Q16" s="38">
        <f t="shared" si="11"/>
        <v>78.610000000000014</v>
      </c>
      <c r="R16" s="38">
        <f t="shared" si="12"/>
        <v>89.88000000000001</v>
      </c>
      <c r="S16" s="38">
        <f t="shared" si="13"/>
        <v>108.75000000000001</v>
      </c>
      <c r="T16" s="38">
        <f t="shared" si="14"/>
        <v>184.5</v>
      </c>
    </row>
    <row r="17" spans="1:27" x14ac:dyDescent="0.25">
      <c r="A17" s="181">
        <v>12</v>
      </c>
      <c r="B17" s="38">
        <f t="shared" si="0"/>
        <v>63.04</v>
      </c>
      <c r="C17" s="38">
        <f t="shared" si="1"/>
        <v>70.28</v>
      </c>
      <c r="D17" s="38">
        <f t="shared" si="2"/>
        <v>80.86</v>
      </c>
      <c r="E17" s="38">
        <f t="shared" si="3"/>
        <v>98.91</v>
      </c>
      <c r="F17" s="38">
        <f t="shared" si="4"/>
        <v>172.25</v>
      </c>
      <c r="H17" s="181">
        <v>12</v>
      </c>
      <c r="I17" s="38">
        <f t="shared" si="5"/>
        <v>67.099999999999994</v>
      </c>
      <c r="J17" s="38">
        <f t="shared" si="6"/>
        <v>74.81</v>
      </c>
      <c r="K17" s="38">
        <f t="shared" si="7"/>
        <v>86.08</v>
      </c>
      <c r="L17" s="38">
        <f t="shared" si="8"/>
        <v>104.95</v>
      </c>
      <c r="M17" s="38">
        <f t="shared" si="9"/>
        <v>180.7</v>
      </c>
      <c r="O17" s="181">
        <v>12</v>
      </c>
      <c r="P17" s="38">
        <f t="shared" si="10"/>
        <v>71.3</v>
      </c>
      <c r="Q17" s="38">
        <f t="shared" si="11"/>
        <v>79.010000000000005</v>
      </c>
      <c r="R17" s="38">
        <f t="shared" si="12"/>
        <v>90.28</v>
      </c>
      <c r="S17" s="38">
        <f t="shared" si="13"/>
        <v>109.15</v>
      </c>
      <c r="T17" s="38">
        <f t="shared" si="14"/>
        <v>184.9</v>
      </c>
    </row>
    <row r="18" spans="1:27" x14ac:dyDescent="0.25">
      <c r="A18" s="181">
        <v>13</v>
      </c>
      <c r="B18" s="38">
        <f t="shared" si="0"/>
        <v>63.089999999999996</v>
      </c>
      <c r="C18" s="38">
        <f t="shared" si="1"/>
        <v>70.330000000000013</v>
      </c>
      <c r="D18" s="38">
        <f t="shared" si="2"/>
        <v>80.910000000000011</v>
      </c>
      <c r="E18" s="38">
        <f t="shared" si="3"/>
        <v>98.960000000000008</v>
      </c>
      <c r="F18" s="38">
        <f t="shared" si="4"/>
        <v>172.3</v>
      </c>
      <c r="H18" s="181">
        <v>13</v>
      </c>
      <c r="I18" s="38">
        <f t="shared" si="5"/>
        <v>67.149999999999991</v>
      </c>
      <c r="J18" s="38">
        <f t="shared" si="6"/>
        <v>74.860000000000014</v>
      </c>
      <c r="K18" s="38">
        <f t="shared" si="7"/>
        <v>86.13000000000001</v>
      </c>
      <c r="L18" s="38">
        <f t="shared" si="8"/>
        <v>105.00000000000001</v>
      </c>
      <c r="M18" s="38">
        <f t="shared" si="9"/>
        <v>180.75</v>
      </c>
      <c r="O18" s="181">
        <v>13</v>
      </c>
      <c r="P18" s="38">
        <f t="shared" si="10"/>
        <v>71.7</v>
      </c>
      <c r="Q18" s="38">
        <f t="shared" si="11"/>
        <v>79.410000000000011</v>
      </c>
      <c r="R18" s="38">
        <f t="shared" si="12"/>
        <v>90.68</v>
      </c>
      <c r="S18" s="38">
        <f t="shared" si="13"/>
        <v>109.55000000000001</v>
      </c>
      <c r="T18" s="38">
        <f t="shared" si="14"/>
        <v>185.29999999999998</v>
      </c>
    </row>
    <row r="19" spans="1:27" x14ac:dyDescent="0.25">
      <c r="A19" s="181">
        <v>14</v>
      </c>
      <c r="B19" s="38">
        <f t="shared" si="0"/>
        <v>63.14</v>
      </c>
      <c r="C19" s="38">
        <f t="shared" si="1"/>
        <v>70.38000000000001</v>
      </c>
      <c r="D19" s="38">
        <f t="shared" si="2"/>
        <v>80.960000000000008</v>
      </c>
      <c r="E19" s="38">
        <f t="shared" si="3"/>
        <v>99.01</v>
      </c>
      <c r="F19" s="38">
        <f t="shared" si="4"/>
        <v>172.35</v>
      </c>
      <c r="H19" s="181">
        <v>14</v>
      </c>
      <c r="I19" s="38">
        <f t="shared" si="5"/>
        <v>67.2</v>
      </c>
      <c r="J19" s="38">
        <f t="shared" si="6"/>
        <v>74.910000000000011</v>
      </c>
      <c r="K19" s="38">
        <f t="shared" si="7"/>
        <v>86.18</v>
      </c>
      <c r="L19" s="38">
        <f t="shared" si="8"/>
        <v>105.05000000000001</v>
      </c>
      <c r="M19" s="38">
        <f t="shared" si="9"/>
        <v>180.79999999999998</v>
      </c>
      <c r="O19" s="181">
        <v>14</v>
      </c>
      <c r="P19" s="38">
        <f t="shared" si="10"/>
        <v>72.099999999999994</v>
      </c>
      <c r="Q19" s="38">
        <f t="shared" si="11"/>
        <v>79.81</v>
      </c>
      <c r="R19" s="38">
        <f t="shared" si="12"/>
        <v>91.08</v>
      </c>
      <c r="S19" s="38">
        <f t="shared" si="13"/>
        <v>109.95</v>
      </c>
      <c r="T19" s="38">
        <f t="shared" si="14"/>
        <v>185.7</v>
      </c>
    </row>
    <row r="20" spans="1:27" x14ac:dyDescent="0.25">
      <c r="A20" s="181">
        <v>15</v>
      </c>
      <c r="B20" s="38">
        <f t="shared" si="0"/>
        <v>63.19</v>
      </c>
      <c r="C20" s="38">
        <f t="shared" si="1"/>
        <v>70.430000000000007</v>
      </c>
      <c r="D20" s="38">
        <f t="shared" si="2"/>
        <v>81.010000000000005</v>
      </c>
      <c r="E20" s="38">
        <f t="shared" si="3"/>
        <v>99.06</v>
      </c>
      <c r="F20" s="38">
        <f t="shared" si="4"/>
        <v>172.4</v>
      </c>
      <c r="H20" s="181">
        <v>15</v>
      </c>
      <c r="I20" s="38">
        <f t="shared" si="5"/>
        <v>67.25</v>
      </c>
      <c r="J20" s="38">
        <f t="shared" si="6"/>
        <v>74.960000000000008</v>
      </c>
      <c r="K20" s="38">
        <f t="shared" si="7"/>
        <v>86.23</v>
      </c>
      <c r="L20" s="38">
        <f t="shared" si="8"/>
        <v>105.10000000000001</v>
      </c>
      <c r="M20" s="38">
        <f t="shared" si="9"/>
        <v>180.85</v>
      </c>
      <c r="O20" s="181">
        <v>15</v>
      </c>
      <c r="P20" s="38">
        <f t="shared" si="10"/>
        <v>72.5</v>
      </c>
      <c r="Q20" s="38">
        <f t="shared" si="11"/>
        <v>80.210000000000008</v>
      </c>
      <c r="R20" s="38">
        <f t="shared" si="12"/>
        <v>91.48</v>
      </c>
      <c r="S20" s="38">
        <f t="shared" si="13"/>
        <v>110.35000000000001</v>
      </c>
      <c r="T20" s="38">
        <f t="shared" si="14"/>
        <v>186.1</v>
      </c>
    </row>
    <row r="21" spans="1:27" x14ac:dyDescent="0.25">
      <c r="A21" s="181">
        <v>16</v>
      </c>
      <c r="B21" s="38">
        <f t="shared" si="0"/>
        <v>63.239999999999995</v>
      </c>
      <c r="C21" s="38">
        <f t="shared" si="1"/>
        <v>70.48</v>
      </c>
      <c r="D21" s="38">
        <f t="shared" si="2"/>
        <v>81.06</v>
      </c>
      <c r="E21" s="38">
        <f t="shared" si="3"/>
        <v>99.11</v>
      </c>
      <c r="F21" s="38">
        <f t="shared" si="4"/>
        <v>172.45000000000002</v>
      </c>
      <c r="H21" s="181">
        <v>16</v>
      </c>
      <c r="I21" s="38">
        <f t="shared" si="5"/>
        <v>67.3</v>
      </c>
      <c r="J21" s="38">
        <f t="shared" si="6"/>
        <v>75.010000000000005</v>
      </c>
      <c r="K21" s="38">
        <f t="shared" si="7"/>
        <v>86.28</v>
      </c>
      <c r="L21" s="38">
        <f t="shared" si="8"/>
        <v>105.15</v>
      </c>
      <c r="M21" s="38">
        <f t="shared" si="9"/>
        <v>180.9</v>
      </c>
      <c r="O21" s="181">
        <v>16</v>
      </c>
      <c r="P21" s="38">
        <f t="shared" si="10"/>
        <v>72.900000000000006</v>
      </c>
      <c r="Q21" s="38">
        <f t="shared" si="11"/>
        <v>80.610000000000014</v>
      </c>
      <c r="R21" s="38">
        <f t="shared" si="12"/>
        <v>91.88000000000001</v>
      </c>
      <c r="S21" s="38">
        <f t="shared" si="13"/>
        <v>110.75000000000001</v>
      </c>
      <c r="T21" s="38">
        <f t="shared" si="14"/>
        <v>186.5</v>
      </c>
    </row>
    <row r="22" spans="1:27" x14ac:dyDescent="0.25">
      <c r="A22" s="181">
        <v>17</v>
      </c>
      <c r="B22" s="38">
        <f t="shared" si="0"/>
        <v>63.29</v>
      </c>
      <c r="C22" s="38">
        <f t="shared" si="1"/>
        <v>70.53</v>
      </c>
      <c r="D22" s="38">
        <f t="shared" si="2"/>
        <v>81.11</v>
      </c>
      <c r="E22" s="38">
        <f t="shared" si="3"/>
        <v>99.16</v>
      </c>
      <c r="F22" s="38">
        <f t="shared" si="4"/>
        <v>172.5</v>
      </c>
      <c r="H22" s="181">
        <v>17</v>
      </c>
      <c r="I22" s="38">
        <f t="shared" si="5"/>
        <v>67.349999999999994</v>
      </c>
      <c r="J22" s="38">
        <f t="shared" si="6"/>
        <v>75.06</v>
      </c>
      <c r="K22" s="38">
        <f t="shared" si="7"/>
        <v>86.33</v>
      </c>
      <c r="L22" s="38">
        <f t="shared" si="8"/>
        <v>105.2</v>
      </c>
      <c r="M22" s="38">
        <f t="shared" si="9"/>
        <v>180.95</v>
      </c>
      <c r="O22" s="181">
        <v>17</v>
      </c>
      <c r="P22" s="38">
        <f t="shared" si="10"/>
        <v>73.3</v>
      </c>
      <c r="Q22" s="38">
        <f t="shared" si="11"/>
        <v>81.010000000000005</v>
      </c>
      <c r="R22" s="38">
        <f t="shared" si="12"/>
        <v>92.28</v>
      </c>
      <c r="S22" s="38">
        <f t="shared" si="13"/>
        <v>111.15</v>
      </c>
      <c r="T22" s="38">
        <f t="shared" si="14"/>
        <v>186.9</v>
      </c>
    </row>
    <row r="23" spans="1:27" x14ac:dyDescent="0.25">
      <c r="A23" s="181">
        <v>18</v>
      </c>
      <c r="B23" s="38">
        <f t="shared" si="0"/>
        <v>63.339999999999996</v>
      </c>
      <c r="C23" s="38">
        <f t="shared" si="1"/>
        <v>70.580000000000013</v>
      </c>
      <c r="D23" s="38">
        <f t="shared" si="2"/>
        <v>81.160000000000011</v>
      </c>
      <c r="E23" s="38">
        <f t="shared" si="3"/>
        <v>99.210000000000008</v>
      </c>
      <c r="F23" s="38">
        <f t="shared" si="4"/>
        <v>172.55</v>
      </c>
      <c r="H23" s="181">
        <v>18</v>
      </c>
      <c r="I23" s="38">
        <f t="shared" si="5"/>
        <v>67.399999999999991</v>
      </c>
      <c r="J23" s="38">
        <f t="shared" si="6"/>
        <v>75.110000000000014</v>
      </c>
      <c r="K23" s="38">
        <f t="shared" si="7"/>
        <v>86.38000000000001</v>
      </c>
      <c r="L23" s="38">
        <f t="shared" si="8"/>
        <v>105.25000000000001</v>
      </c>
      <c r="M23" s="38">
        <f t="shared" si="9"/>
        <v>181</v>
      </c>
      <c r="O23" s="181">
        <v>18</v>
      </c>
      <c r="P23" s="38">
        <f t="shared" si="10"/>
        <v>73.7</v>
      </c>
      <c r="Q23" s="38">
        <f t="shared" si="11"/>
        <v>81.410000000000011</v>
      </c>
      <c r="R23" s="38">
        <f t="shared" si="12"/>
        <v>92.68</v>
      </c>
      <c r="S23" s="38">
        <f t="shared" si="13"/>
        <v>111.55000000000001</v>
      </c>
      <c r="T23" s="38">
        <f t="shared" si="14"/>
        <v>187.29999999999998</v>
      </c>
    </row>
    <row r="24" spans="1:27" x14ac:dyDescent="0.25">
      <c r="A24" s="181">
        <v>19</v>
      </c>
      <c r="B24" s="38">
        <f t="shared" si="0"/>
        <v>63.39</v>
      </c>
      <c r="C24" s="38">
        <f t="shared" si="1"/>
        <v>70.63000000000001</v>
      </c>
      <c r="D24" s="38">
        <f t="shared" si="2"/>
        <v>81.210000000000008</v>
      </c>
      <c r="E24" s="38">
        <f t="shared" si="3"/>
        <v>99.26</v>
      </c>
      <c r="F24" s="38">
        <f t="shared" si="4"/>
        <v>172.6</v>
      </c>
      <c r="H24" s="181">
        <v>19</v>
      </c>
      <c r="I24" s="38">
        <f t="shared" si="5"/>
        <v>67.45</v>
      </c>
      <c r="J24" s="38">
        <f t="shared" si="6"/>
        <v>75.160000000000011</v>
      </c>
      <c r="K24" s="38">
        <f t="shared" si="7"/>
        <v>86.43</v>
      </c>
      <c r="L24" s="38">
        <f t="shared" si="8"/>
        <v>105.30000000000001</v>
      </c>
      <c r="M24" s="38">
        <f t="shared" si="9"/>
        <v>181.04999999999998</v>
      </c>
      <c r="O24" s="181">
        <v>19</v>
      </c>
      <c r="P24" s="38">
        <f t="shared" si="10"/>
        <v>74.099999999999994</v>
      </c>
      <c r="Q24" s="38">
        <f t="shared" si="11"/>
        <v>81.81</v>
      </c>
      <c r="R24" s="38">
        <f t="shared" si="12"/>
        <v>93.08</v>
      </c>
      <c r="S24" s="38">
        <f t="shared" si="13"/>
        <v>111.95</v>
      </c>
      <c r="T24" s="38">
        <f t="shared" si="14"/>
        <v>187.7</v>
      </c>
    </row>
    <row r="25" spans="1:27" x14ac:dyDescent="0.25">
      <c r="A25" s="181">
        <v>20</v>
      </c>
      <c r="B25" s="38">
        <f t="shared" si="0"/>
        <v>63.44</v>
      </c>
      <c r="C25" s="38">
        <f t="shared" si="1"/>
        <v>70.680000000000007</v>
      </c>
      <c r="D25" s="38">
        <f t="shared" si="2"/>
        <v>81.260000000000005</v>
      </c>
      <c r="E25" s="38">
        <f t="shared" si="3"/>
        <v>99.31</v>
      </c>
      <c r="F25" s="38">
        <f t="shared" si="4"/>
        <v>172.65</v>
      </c>
      <c r="H25" s="181">
        <v>20</v>
      </c>
      <c r="I25" s="38">
        <f t="shared" si="5"/>
        <v>67.5</v>
      </c>
      <c r="J25" s="38">
        <f t="shared" si="6"/>
        <v>75.210000000000008</v>
      </c>
      <c r="K25" s="38">
        <f t="shared" si="7"/>
        <v>86.48</v>
      </c>
      <c r="L25" s="38">
        <f t="shared" si="8"/>
        <v>105.35000000000001</v>
      </c>
      <c r="M25" s="38">
        <f t="shared" si="9"/>
        <v>181.1</v>
      </c>
      <c r="O25" s="181">
        <v>20</v>
      </c>
      <c r="P25" s="38">
        <f t="shared" si="10"/>
        <v>74.5</v>
      </c>
      <c r="Q25" s="38">
        <f t="shared" si="11"/>
        <v>82.210000000000008</v>
      </c>
      <c r="R25" s="38">
        <f t="shared" si="12"/>
        <v>93.48</v>
      </c>
      <c r="S25" s="38">
        <f t="shared" si="13"/>
        <v>112.35000000000001</v>
      </c>
      <c r="T25" s="38">
        <f t="shared" si="14"/>
        <v>188.1</v>
      </c>
    </row>
    <row r="26" spans="1:27" x14ac:dyDescent="0.25">
      <c r="A26" s="181">
        <v>21</v>
      </c>
      <c r="B26" s="38">
        <f t="shared" si="0"/>
        <v>63.489999999999995</v>
      </c>
      <c r="C26" s="38">
        <f t="shared" si="1"/>
        <v>70.73</v>
      </c>
      <c r="D26" s="38">
        <f t="shared" si="2"/>
        <v>81.31</v>
      </c>
      <c r="E26" s="38">
        <f t="shared" si="3"/>
        <v>99.36</v>
      </c>
      <c r="F26" s="38">
        <f t="shared" si="4"/>
        <v>172.70000000000002</v>
      </c>
      <c r="H26" s="181">
        <v>21</v>
      </c>
      <c r="I26" s="38">
        <f t="shared" si="5"/>
        <v>67.55</v>
      </c>
      <c r="J26" s="38">
        <f t="shared" si="6"/>
        <v>75.260000000000005</v>
      </c>
      <c r="K26" s="38">
        <f t="shared" si="7"/>
        <v>86.53</v>
      </c>
      <c r="L26" s="38">
        <f t="shared" si="8"/>
        <v>105.4</v>
      </c>
      <c r="M26" s="38">
        <f t="shared" si="9"/>
        <v>181.15</v>
      </c>
      <c r="O26" s="181">
        <v>21</v>
      </c>
      <c r="P26" s="38">
        <f t="shared" si="10"/>
        <v>74.900000000000006</v>
      </c>
      <c r="Q26" s="38">
        <f t="shared" si="11"/>
        <v>82.610000000000014</v>
      </c>
      <c r="R26" s="38">
        <f t="shared" si="12"/>
        <v>93.88000000000001</v>
      </c>
      <c r="S26" s="38">
        <f t="shared" si="13"/>
        <v>112.75000000000001</v>
      </c>
      <c r="T26" s="38">
        <f t="shared" si="14"/>
        <v>188.5</v>
      </c>
    </row>
    <row r="27" spans="1:27" x14ac:dyDescent="0.25">
      <c r="A27" s="181">
        <v>22</v>
      </c>
      <c r="B27" s="38">
        <f t="shared" si="0"/>
        <v>63.54</v>
      </c>
      <c r="C27" s="38">
        <f t="shared" si="1"/>
        <v>70.78</v>
      </c>
      <c r="D27" s="38">
        <f t="shared" si="2"/>
        <v>81.36</v>
      </c>
      <c r="E27" s="38">
        <f t="shared" si="3"/>
        <v>99.41</v>
      </c>
      <c r="F27" s="38">
        <f t="shared" si="4"/>
        <v>172.75</v>
      </c>
      <c r="H27" s="181">
        <v>22</v>
      </c>
      <c r="I27" s="38">
        <f t="shared" si="5"/>
        <v>67.599999999999994</v>
      </c>
      <c r="J27" s="38">
        <f t="shared" si="6"/>
        <v>75.31</v>
      </c>
      <c r="K27" s="38">
        <f t="shared" si="7"/>
        <v>86.58</v>
      </c>
      <c r="L27" s="38">
        <f t="shared" si="8"/>
        <v>105.45</v>
      </c>
      <c r="M27" s="38">
        <f t="shared" si="9"/>
        <v>181.2</v>
      </c>
      <c r="O27" s="181">
        <v>22</v>
      </c>
      <c r="P27" s="38">
        <f t="shared" si="10"/>
        <v>75.3</v>
      </c>
      <c r="Q27" s="38">
        <f t="shared" si="11"/>
        <v>83.01</v>
      </c>
      <c r="R27" s="38">
        <f t="shared" si="12"/>
        <v>94.28</v>
      </c>
      <c r="S27" s="38">
        <f t="shared" si="13"/>
        <v>113.15</v>
      </c>
      <c r="T27" s="38">
        <f t="shared" si="14"/>
        <v>188.9</v>
      </c>
    </row>
    <row r="28" spans="1:27" x14ac:dyDescent="0.25">
      <c r="A28" s="181">
        <v>23</v>
      </c>
      <c r="B28" s="38">
        <f t="shared" si="0"/>
        <v>63.589999999999996</v>
      </c>
      <c r="C28" s="38">
        <f t="shared" si="1"/>
        <v>70.830000000000013</v>
      </c>
      <c r="D28" s="38">
        <f t="shared" si="2"/>
        <v>81.410000000000011</v>
      </c>
      <c r="E28" s="38">
        <f t="shared" si="3"/>
        <v>99.460000000000008</v>
      </c>
      <c r="F28" s="38">
        <f t="shared" si="4"/>
        <v>172.8</v>
      </c>
      <c r="H28" s="181">
        <v>23</v>
      </c>
      <c r="I28" s="38">
        <f t="shared" si="5"/>
        <v>67.649999999999991</v>
      </c>
      <c r="J28" s="38">
        <f t="shared" si="6"/>
        <v>75.360000000000014</v>
      </c>
      <c r="K28" s="38">
        <f t="shared" si="7"/>
        <v>86.63000000000001</v>
      </c>
      <c r="L28" s="38">
        <f t="shared" si="8"/>
        <v>105.50000000000001</v>
      </c>
      <c r="M28" s="38">
        <f t="shared" si="9"/>
        <v>181.25</v>
      </c>
      <c r="O28" s="181">
        <v>23</v>
      </c>
      <c r="P28" s="38">
        <f t="shared" si="10"/>
        <v>75.7</v>
      </c>
      <c r="Q28" s="38">
        <f t="shared" si="11"/>
        <v>83.410000000000011</v>
      </c>
      <c r="R28" s="38">
        <f t="shared" si="12"/>
        <v>94.68</v>
      </c>
      <c r="S28" s="38">
        <f t="shared" si="13"/>
        <v>113.55000000000001</v>
      </c>
      <c r="T28" s="38">
        <f t="shared" si="14"/>
        <v>189.29999999999998</v>
      </c>
    </row>
    <row r="29" spans="1:27" x14ac:dyDescent="0.25">
      <c r="A29" s="181">
        <v>24</v>
      </c>
      <c r="B29" s="38">
        <f t="shared" si="0"/>
        <v>63.64</v>
      </c>
      <c r="C29" s="38">
        <f t="shared" si="1"/>
        <v>70.88000000000001</v>
      </c>
      <c r="D29" s="38">
        <f t="shared" si="2"/>
        <v>81.460000000000008</v>
      </c>
      <c r="E29" s="38">
        <f t="shared" si="3"/>
        <v>99.51</v>
      </c>
      <c r="F29" s="38">
        <f t="shared" si="4"/>
        <v>172.85</v>
      </c>
      <c r="H29" s="181">
        <v>24</v>
      </c>
      <c r="I29" s="38">
        <f t="shared" si="5"/>
        <v>67.7</v>
      </c>
      <c r="J29" s="38">
        <f t="shared" si="6"/>
        <v>75.410000000000011</v>
      </c>
      <c r="K29" s="38">
        <f t="shared" si="7"/>
        <v>86.68</v>
      </c>
      <c r="L29" s="38">
        <f t="shared" si="8"/>
        <v>105.55000000000001</v>
      </c>
      <c r="M29" s="38">
        <f t="shared" si="9"/>
        <v>181.29999999999998</v>
      </c>
      <c r="O29" s="181">
        <v>24</v>
      </c>
      <c r="P29" s="38">
        <f t="shared" si="10"/>
        <v>76.099999999999994</v>
      </c>
      <c r="Q29" s="38">
        <f t="shared" si="11"/>
        <v>83.81</v>
      </c>
      <c r="R29" s="38">
        <f t="shared" si="12"/>
        <v>95.080000000000013</v>
      </c>
      <c r="S29" s="38">
        <f t="shared" si="13"/>
        <v>113.95</v>
      </c>
      <c r="T29" s="38">
        <f t="shared" si="14"/>
        <v>189.7</v>
      </c>
    </row>
    <row r="30" spans="1:27" ht="13.5" customHeight="1" x14ac:dyDescent="0.25">
      <c r="A30" s="181">
        <v>25</v>
      </c>
      <c r="B30" s="38">
        <f t="shared" si="0"/>
        <v>63.69</v>
      </c>
      <c r="C30" s="38">
        <f t="shared" si="1"/>
        <v>70.930000000000007</v>
      </c>
      <c r="D30" s="38">
        <f t="shared" si="2"/>
        <v>81.510000000000005</v>
      </c>
      <c r="E30" s="38">
        <f t="shared" si="3"/>
        <v>99.56</v>
      </c>
      <c r="F30" s="38">
        <f t="shared" si="4"/>
        <v>172.9</v>
      </c>
      <c r="H30" s="181">
        <v>25</v>
      </c>
      <c r="I30" s="38">
        <f t="shared" si="5"/>
        <v>67.75</v>
      </c>
      <c r="J30" s="38">
        <f t="shared" si="6"/>
        <v>75.460000000000008</v>
      </c>
      <c r="K30" s="38">
        <f t="shared" si="7"/>
        <v>86.73</v>
      </c>
      <c r="L30" s="38">
        <f t="shared" si="8"/>
        <v>105.60000000000001</v>
      </c>
      <c r="M30" s="38">
        <f t="shared" si="9"/>
        <v>181.35</v>
      </c>
      <c r="O30" s="181">
        <v>25</v>
      </c>
      <c r="P30" s="38">
        <f t="shared" si="10"/>
        <v>76.5</v>
      </c>
      <c r="Q30" s="38">
        <f t="shared" si="11"/>
        <v>84.210000000000008</v>
      </c>
      <c r="R30" s="38">
        <f t="shared" si="12"/>
        <v>95.48</v>
      </c>
      <c r="S30" s="38">
        <f t="shared" si="13"/>
        <v>114.35000000000001</v>
      </c>
      <c r="T30" s="38">
        <f t="shared" si="14"/>
        <v>190.1</v>
      </c>
    </row>
    <row r="31" spans="1:27" ht="13.5" customHeight="1" x14ac:dyDescent="0.25">
      <c r="A31" s="183"/>
      <c r="B31" s="82"/>
      <c r="C31" s="82"/>
      <c r="D31" s="82"/>
      <c r="E31" s="82"/>
      <c r="F31" s="82"/>
      <c r="G31" s="82"/>
      <c r="H31" s="82"/>
      <c r="I31" s="82"/>
      <c r="J31" s="82"/>
      <c r="K31" s="82"/>
      <c r="L31" s="82"/>
      <c r="M31" s="82"/>
    </row>
    <row r="32" spans="1:27" ht="48" customHeight="1" x14ac:dyDescent="0.25">
      <c r="A32" s="537" t="s">
        <v>54</v>
      </c>
      <c r="B32" s="538"/>
      <c r="C32" s="538"/>
      <c r="D32" s="538"/>
      <c r="E32" s="538"/>
      <c r="F32" s="538"/>
      <c r="G32" s="538"/>
      <c r="H32" s="538"/>
      <c r="I32" s="538"/>
      <c r="J32" s="538"/>
      <c r="K32" s="538"/>
      <c r="L32" s="538"/>
      <c r="M32" s="538"/>
      <c r="N32" s="538"/>
      <c r="O32" s="538"/>
      <c r="P32" s="538"/>
      <c r="Q32" s="538"/>
      <c r="R32" s="538"/>
      <c r="S32" s="538"/>
      <c r="T32" s="538"/>
      <c r="U32" s="538"/>
      <c r="V32" s="538"/>
      <c r="W32" s="538"/>
      <c r="X32" s="538"/>
      <c r="Y32" s="538"/>
      <c r="Z32" s="538"/>
      <c r="AA32" s="538"/>
    </row>
    <row r="33" spans="1:13" ht="6.75" customHeight="1" x14ac:dyDescent="0.25">
      <c r="A33" s="178"/>
      <c r="B33" s="178"/>
      <c r="C33" s="178"/>
      <c r="D33" s="178"/>
      <c r="E33" s="178"/>
      <c r="F33" s="178"/>
      <c r="G33" s="178"/>
      <c r="H33" s="178"/>
      <c r="I33" s="178"/>
      <c r="J33" s="178"/>
      <c r="K33" s="178"/>
      <c r="L33" s="178"/>
      <c r="M33" s="178"/>
    </row>
  </sheetData>
  <sheetProtection algorithmName="SHA-512" hashValue="Uh28Q+adYXcpLwJI0zKxdtshM4vtc/xoIUllEBwO8Be9QnLz7HWvbFIjV6eQdTOHUOLLIvsGpLzCskw6Az1Pqg==" saltValue="DZD7Wd9wfN44290W5XWKYQ==" spinCount="100000" sheet="1" objects="1" scenarios="1"/>
  <mergeCells count="3">
    <mergeCell ref="B3:AA3"/>
    <mergeCell ref="A1:AA1"/>
    <mergeCell ref="A32:AA32"/>
  </mergeCells>
  <pageMargins left="0.7" right="0.7" top="0.75" bottom="0.75" header="0.3" footer="0.3"/>
  <pageSetup scale="70" orientation="landscape" r:id="rId1"/>
  <headerFooter>
    <oddFooter>&amp;C&amp;A&amp;R&amp;N</oddFooter>
  </headerFooter>
  <rowBreaks count="1" manualBreakCount="1">
    <brk id="3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94"/>
  <sheetViews>
    <sheetView zoomScale="95" zoomScaleNormal="95" workbookViewId="0">
      <pane ySplit="4" topLeftCell="A5" activePane="bottomLeft" state="frozen"/>
      <selection pane="bottomLeft" activeCell="K5" sqref="K5"/>
    </sheetView>
  </sheetViews>
  <sheetFormatPr defaultRowHeight="12.5" x14ac:dyDescent="0.25"/>
  <cols>
    <col min="1" max="1" width="13.1796875" customWidth="1"/>
    <col min="2" max="2" width="9.54296875" customWidth="1"/>
    <col min="3" max="3" width="9.453125" customWidth="1"/>
    <col min="4" max="4" width="9.54296875" customWidth="1"/>
    <col min="5" max="5" width="9.453125" customWidth="1"/>
    <col min="6" max="6" width="10.453125" customWidth="1"/>
    <col min="7" max="7" width="9.453125" customWidth="1"/>
    <col min="8" max="9" width="10.81640625" customWidth="1"/>
    <col min="10" max="10" width="9.453125" customWidth="1"/>
    <col min="11" max="11" width="8.81640625" customWidth="1"/>
    <col min="12" max="12" width="11.54296875" customWidth="1"/>
    <col min="13" max="13" width="8.81640625" customWidth="1"/>
    <col min="14" max="16" width="9.54296875" customWidth="1"/>
    <col min="23" max="23" width="6.453125" bestFit="1" customWidth="1"/>
    <col min="24" max="24" width="10.81640625" customWidth="1"/>
    <col min="35" max="35" width="6.453125" bestFit="1" customWidth="1"/>
    <col min="36" max="36" width="10.81640625" customWidth="1"/>
  </cols>
  <sheetData>
    <row r="1" spans="1:47" ht="48" customHeight="1" x14ac:dyDescent="0.25">
      <c r="A1" s="541" t="s">
        <v>239</v>
      </c>
      <c r="B1" s="542"/>
      <c r="C1" s="542"/>
      <c r="D1" s="542"/>
      <c r="E1" s="542"/>
      <c r="F1" s="542"/>
      <c r="G1" s="542"/>
      <c r="H1" s="542"/>
      <c r="I1" s="542"/>
      <c r="J1" s="542"/>
      <c r="K1" s="542"/>
      <c r="L1" s="542"/>
      <c r="M1" s="542"/>
      <c r="N1" s="542"/>
      <c r="O1" s="542"/>
      <c r="P1" s="542"/>
      <c r="Q1" s="542"/>
      <c r="R1" s="542"/>
      <c r="S1" s="542"/>
      <c r="T1" s="542"/>
      <c r="U1" s="542"/>
      <c r="V1" s="542"/>
      <c r="W1" s="542"/>
      <c r="X1" s="542"/>
      <c r="Y1" s="542"/>
      <c r="Z1" s="542"/>
      <c r="AA1" s="542"/>
      <c r="AB1" s="542"/>
      <c r="AC1" s="542"/>
      <c r="AD1" s="542"/>
      <c r="AE1" s="542"/>
      <c r="AF1" s="542"/>
      <c r="AG1" s="542"/>
      <c r="AH1" s="542"/>
      <c r="AI1" s="542"/>
      <c r="AJ1" s="542"/>
      <c r="AK1" s="542"/>
      <c r="AL1" s="542"/>
      <c r="AM1" s="542"/>
      <c r="AN1" s="542"/>
      <c r="AO1" s="542"/>
      <c r="AP1" s="542"/>
      <c r="AQ1" s="542"/>
      <c r="AR1" s="542"/>
      <c r="AS1" s="542"/>
      <c r="AT1" s="542"/>
      <c r="AU1" s="543"/>
    </row>
    <row r="2" spans="1:47" ht="24.75" customHeight="1" x14ac:dyDescent="0.25">
      <c r="A2" s="544"/>
      <c r="B2" s="545"/>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545"/>
      <c r="AN2" s="545"/>
      <c r="AO2" s="545"/>
      <c r="AP2" s="545"/>
      <c r="AQ2" s="545"/>
      <c r="AR2" s="545"/>
      <c r="AS2" s="545"/>
      <c r="AT2" s="545"/>
      <c r="AU2" s="546"/>
    </row>
    <row r="3" spans="1:47" ht="12.75" customHeight="1" thickBot="1" x14ac:dyDescent="0.3">
      <c r="A3" s="544"/>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c r="AJ3" s="545"/>
      <c r="AK3" s="545"/>
      <c r="AL3" s="545"/>
      <c r="AM3" s="545"/>
      <c r="AN3" s="545"/>
      <c r="AO3" s="545"/>
      <c r="AP3" s="545"/>
      <c r="AQ3" s="545"/>
      <c r="AR3" s="545"/>
      <c r="AS3" s="545"/>
      <c r="AT3" s="545"/>
      <c r="AU3" s="546"/>
    </row>
    <row r="4" spans="1:47" ht="112.5" x14ac:dyDescent="0.25">
      <c r="A4" s="227" t="s">
        <v>52</v>
      </c>
      <c r="B4" s="226" t="s">
        <v>197</v>
      </c>
      <c r="C4" s="184" t="s">
        <v>186</v>
      </c>
      <c r="D4" s="185" t="s">
        <v>198</v>
      </c>
      <c r="E4" s="226" t="s">
        <v>136</v>
      </c>
      <c r="F4" s="226" t="s">
        <v>199</v>
      </c>
      <c r="G4" s="226" t="s">
        <v>135</v>
      </c>
      <c r="H4" s="226" t="s">
        <v>200</v>
      </c>
      <c r="I4" s="226" t="s">
        <v>134</v>
      </c>
      <c r="J4" s="226" t="s">
        <v>201</v>
      </c>
      <c r="K4" s="226" t="s">
        <v>133</v>
      </c>
      <c r="L4" s="21"/>
      <c r="M4" s="227" t="s">
        <v>52</v>
      </c>
      <c r="N4" s="226" t="s">
        <v>202</v>
      </c>
      <c r="O4" s="184" t="s">
        <v>203</v>
      </c>
      <c r="P4" s="185" t="s">
        <v>198</v>
      </c>
      <c r="Q4" s="226" t="s">
        <v>136</v>
      </c>
      <c r="R4" s="226" t="s">
        <v>215</v>
      </c>
      <c r="S4" s="226" t="s">
        <v>135</v>
      </c>
      <c r="T4" s="226" t="s">
        <v>214</v>
      </c>
      <c r="U4" s="226" t="s">
        <v>134</v>
      </c>
      <c r="V4" s="226" t="s">
        <v>216</v>
      </c>
      <c r="W4" s="226" t="s">
        <v>133</v>
      </c>
      <c r="X4" s="21"/>
      <c r="Y4" s="227" t="s">
        <v>52</v>
      </c>
      <c r="Z4" s="226" t="s">
        <v>213</v>
      </c>
      <c r="AA4" s="184" t="s">
        <v>209</v>
      </c>
      <c r="AB4" s="185" t="s">
        <v>198</v>
      </c>
      <c r="AC4" s="226" t="s">
        <v>136</v>
      </c>
      <c r="AD4" s="226" t="s">
        <v>210</v>
      </c>
      <c r="AE4" s="226" t="s">
        <v>135</v>
      </c>
      <c r="AF4" s="226" t="s">
        <v>211</v>
      </c>
      <c r="AG4" s="226" t="s">
        <v>134</v>
      </c>
      <c r="AH4" s="226" t="s">
        <v>212</v>
      </c>
      <c r="AI4" s="226" t="s">
        <v>133</v>
      </c>
    </row>
    <row r="5" spans="1:47" x14ac:dyDescent="0.25">
      <c r="A5" s="181">
        <v>0</v>
      </c>
      <c r="B5" s="36">
        <v>15.02</v>
      </c>
      <c r="C5" s="36">
        <v>15.02</v>
      </c>
      <c r="D5" s="180">
        <v>14.52</v>
      </c>
      <c r="E5" s="180">
        <v>14.52</v>
      </c>
      <c r="F5" s="36">
        <v>10.66</v>
      </c>
      <c r="G5" s="36">
        <v>10.66</v>
      </c>
      <c r="H5" s="37">
        <v>19.07</v>
      </c>
      <c r="I5" s="37">
        <v>19.07</v>
      </c>
      <c r="J5" s="37">
        <v>19.07</v>
      </c>
      <c r="K5" s="37">
        <v>19.07</v>
      </c>
      <c r="L5" s="21"/>
      <c r="M5" s="181">
        <v>0</v>
      </c>
      <c r="N5" s="36">
        <v>15.02</v>
      </c>
      <c r="O5" s="36">
        <v>15.02</v>
      </c>
      <c r="P5" s="180">
        <v>14.52</v>
      </c>
      <c r="Q5" s="180">
        <f>14.52</f>
        <v>14.52</v>
      </c>
      <c r="R5" s="36">
        <v>10.66</v>
      </c>
      <c r="S5" s="36">
        <v>10.66</v>
      </c>
      <c r="T5" s="37">
        <v>19.07</v>
      </c>
      <c r="U5" s="37">
        <v>19.07</v>
      </c>
      <c r="V5" s="37">
        <v>19.07</v>
      </c>
      <c r="W5" s="37">
        <v>19.07</v>
      </c>
      <c r="X5" s="21"/>
      <c r="Y5" s="181">
        <v>0</v>
      </c>
      <c r="Z5" s="36">
        <v>15.02</v>
      </c>
      <c r="AA5" s="36">
        <v>15.02</v>
      </c>
      <c r="AB5" s="180">
        <v>14.52</v>
      </c>
      <c r="AC5" s="180">
        <f>14.52</f>
        <v>14.52</v>
      </c>
      <c r="AD5" s="36">
        <v>10.66</v>
      </c>
      <c r="AE5" s="36">
        <v>10.66</v>
      </c>
      <c r="AF5" s="37">
        <v>19.07</v>
      </c>
      <c r="AG5" s="37">
        <v>19.07</v>
      </c>
      <c r="AH5" s="37">
        <v>19.07</v>
      </c>
      <c r="AI5" s="37">
        <v>19.07</v>
      </c>
    </row>
    <row r="6" spans="1:47" x14ac:dyDescent="0.25">
      <c r="A6" s="182">
        <v>1</v>
      </c>
      <c r="B6" s="38">
        <f>SUM(A6*0.05)+15.02</f>
        <v>15.07</v>
      </c>
      <c r="C6" s="38">
        <f>(A6*0.05)+15.02</f>
        <v>15.07</v>
      </c>
      <c r="D6" s="38">
        <f>SUM(A6*0.05)+14.52</f>
        <v>14.57</v>
      </c>
      <c r="E6" s="38">
        <f>SUM(A6*0.05)+14.52</f>
        <v>14.57</v>
      </c>
      <c r="F6" s="38">
        <f>SUM(A6*0.05)+10.66</f>
        <v>10.71</v>
      </c>
      <c r="G6" s="38">
        <f>SUM(A6*0.05)+10.66</f>
        <v>10.71</v>
      </c>
      <c r="H6" s="38">
        <f>SUM(A6*0.05)+19.07</f>
        <v>19.12</v>
      </c>
      <c r="I6" s="38">
        <f>(A6*0.05)+19.07</f>
        <v>19.12</v>
      </c>
      <c r="J6" s="38">
        <f>SUM(A6*0.05)+19.07</f>
        <v>19.12</v>
      </c>
      <c r="K6" s="38">
        <f>SUM(A6*0.05)+19.07</f>
        <v>19.12</v>
      </c>
      <c r="L6" s="21"/>
      <c r="M6" s="182">
        <v>1</v>
      </c>
      <c r="N6" s="38">
        <f>SUM(M6*0.05)+15.02</f>
        <v>15.07</v>
      </c>
      <c r="O6" s="38">
        <f>SUM(M6*0.05)+15.02</f>
        <v>15.07</v>
      </c>
      <c r="P6" s="38">
        <f>SUM(M6*0.05)+14.52</f>
        <v>14.57</v>
      </c>
      <c r="Q6" s="38">
        <f>SUM(M6*0.05)+14.52</f>
        <v>14.57</v>
      </c>
      <c r="R6" s="38">
        <f>SUM(M6*0.05)+10.66</f>
        <v>10.71</v>
      </c>
      <c r="S6" s="38">
        <f t="shared" ref="S6:S30" si="0">SUM(M6*0.05)+10.66</f>
        <v>10.71</v>
      </c>
      <c r="T6" s="38">
        <f t="shared" ref="T6:T30" si="1">SUM(M6*0.05)+19.07</f>
        <v>19.12</v>
      </c>
      <c r="U6" s="38">
        <f t="shared" ref="U6:U30" si="2">(M6*0.05)+19.07</f>
        <v>19.12</v>
      </c>
      <c r="V6" s="38">
        <f t="shared" ref="V6:V30" si="3">SUM(M6*0.05)+19.07</f>
        <v>19.12</v>
      </c>
      <c r="W6" s="38">
        <f>SUM(M6*0.05)+19.07</f>
        <v>19.12</v>
      </c>
      <c r="X6" s="21"/>
      <c r="Y6" s="182">
        <v>1</v>
      </c>
      <c r="Z6" s="38">
        <f>SUM(Y6*0.05)+15.02</f>
        <v>15.07</v>
      </c>
      <c r="AA6" s="38">
        <f>SUM(Y6*0.05)+15.02</f>
        <v>15.07</v>
      </c>
      <c r="AB6" s="38">
        <f>SUM(Y6*0.05)+14.52</f>
        <v>14.57</v>
      </c>
      <c r="AC6" s="38">
        <f>SUM(Y6*0.05)+14.52</f>
        <v>14.57</v>
      </c>
      <c r="AD6" s="38">
        <f>SUM(Y6*0.05)+10.66</f>
        <v>10.71</v>
      </c>
      <c r="AE6" s="38">
        <f>SUM(Y6*0.05)+10.66</f>
        <v>10.71</v>
      </c>
      <c r="AF6" s="38">
        <f>SUM(Y6*0.05)+19.07</f>
        <v>19.12</v>
      </c>
      <c r="AG6" s="38">
        <f>(Y6*0.05)+19.07</f>
        <v>19.12</v>
      </c>
      <c r="AH6" s="38">
        <f>SUM(Y6*0.05)+19.07</f>
        <v>19.12</v>
      </c>
      <c r="AI6" s="38">
        <f>SUM(Y6*0.05)+19.07</f>
        <v>19.12</v>
      </c>
    </row>
    <row r="7" spans="1:47" x14ac:dyDescent="0.25">
      <c r="A7" s="181">
        <v>2</v>
      </c>
      <c r="B7" s="38">
        <f t="shared" ref="B7:B30" si="4">SUM(A7*0.05)+15.02</f>
        <v>15.12</v>
      </c>
      <c r="C7" s="38">
        <f t="shared" ref="C7:C30" si="5">(A7*0.05)+15.02</f>
        <v>15.12</v>
      </c>
      <c r="D7" s="38">
        <f t="shared" ref="D7:D30" si="6">SUM(A7*0.05)+14.52</f>
        <v>14.62</v>
      </c>
      <c r="E7" s="38">
        <f t="shared" ref="E7:E30" si="7">SUM(A7*0.05)+14.52</f>
        <v>14.62</v>
      </c>
      <c r="F7" s="38">
        <f t="shared" ref="F7:F30" si="8">SUM(A7*0.05)+10.66</f>
        <v>10.76</v>
      </c>
      <c r="G7" s="38">
        <f t="shared" ref="G7:G30" si="9">SUM(A7*0.05)+10.66</f>
        <v>10.76</v>
      </c>
      <c r="H7" s="38">
        <f t="shared" ref="H7:H30" si="10">SUM(A7*0.05)+19.07</f>
        <v>19.170000000000002</v>
      </c>
      <c r="I7" s="38">
        <f t="shared" ref="I7:I30" si="11">(A7*0.05)+19.07</f>
        <v>19.170000000000002</v>
      </c>
      <c r="J7" s="38">
        <f t="shared" ref="J7:J30" si="12">SUM(A7*0.05)+19.07</f>
        <v>19.170000000000002</v>
      </c>
      <c r="K7" s="38">
        <f t="shared" ref="K7:K30" si="13">SUM(A7*0.05)+19.07</f>
        <v>19.170000000000002</v>
      </c>
      <c r="L7" s="21"/>
      <c r="M7" s="181">
        <v>2</v>
      </c>
      <c r="N7" s="38">
        <f t="shared" ref="N7:N30" si="14">SUM(M7*0.05)+15.02</f>
        <v>15.12</v>
      </c>
      <c r="O7" s="38">
        <f t="shared" ref="O7:O30" si="15">SUM(M7*0.05)+15.02</f>
        <v>15.12</v>
      </c>
      <c r="P7" s="38">
        <f t="shared" ref="P7:P30" si="16">SUM(M7*0.05)+14.52</f>
        <v>14.62</v>
      </c>
      <c r="Q7" s="38">
        <f t="shared" ref="Q7:Q30" si="17">SUM(M7*0.05)+14.52</f>
        <v>14.62</v>
      </c>
      <c r="R7" s="38">
        <f t="shared" ref="R7:R30" si="18">SUM(M7*0.05)+10.66</f>
        <v>10.76</v>
      </c>
      <c r="S7" s="38">
        <f t="shared" si="0"/>
        <v>10.76</v>
      </c>
      <c r="T7" s="38">
        <f t="shared" si="1"/>
        <v>19.170000000000002</v>
      </c>
      <c r="U7" s="38">
        <f t="shared" si="2"/>
        <v>19.170000000000002</v>
      </c>
      <c r="V7" s="38">
        <f t="shared" si="3"/>
        <v>19.170000000000002</v>
      </c>
      <c r="W7" s="38">
        <f t="shared" ref="W7:W30" si="19">SUM(M7*0.05)+19.07</f>
        <v>19.170000000000002</v>
      </c>
      <c r="X7" s="21"/>
      <c r="Y7" s="181">
        <v>2</v>
      </c>
      <c r="Z7" s="38">
        <f t="shared" ref="Z7:Z30" si="20">SUM(Y7*0.05)+15.02</f>
        <v>15.12</v>
      </c>
      <c r="AA7" s="38">
        <f t="shared" ref="AA7:AA30" si="21">SUM(Y7*0.05)+15.02</f>
        <v>15.12</v>
      </c>
      <c r="AB7" s="38">
        <f t="shared" ref="AB7:AB30" si="22">SUM(Y7*0.05)+14.52</f>
        <v>14.62</v>
      </c>
      <c r="AC7" s="38">
        <f t="shared" ref="AC7:AC30" si="23">SUM(Y7*0.05)+14.52</f>
        <v>14.62</v>
      </c>
      <c r="AD7" s="38">
        <f t="shared" ref="AD7:AD30" si="24">SUM(Y7*0.05)+10.66</f>
        <v>10.76</v>
      </c>
      <c r="AE7" s="38">
        <f t="shared" ref="AE7:AE30" si="25">SUM(Y7*0.05)+10.66</f>
        <v>10.76</v>
      </c>
      <c r="AF7" s="38">
        <f t="shared" ref="AF7:AF30" si="26">SUM(Y7*0.05)+19.07</f>
        <v>19.170000000000002</v>
      </c>
      <c r="AG7" s="38">
        <f t="shared" ref="AG7:AG30" si="27">(Y7*0.05)+19.07</f>
        <v>19.170000000000002</v>
      </c>
      <c r="AH7" s="38">
        <f t="shared" ref="AH7:AH30" si="28">SUM(Y7*0.05)+19.07</f>
        <v>19.170000000000002</v>
      </c>
      <c r="AI7" s="38">
        <f t="shared" ref="AI7:AI30" si="29">SUM(Y7*0.05)+19.07</f>
        <v>19.170000000000002</v>
      </c>
    </row>
    <row r="8" spans="1:47" x14ac:dyDescent="0.25">
      <c r="A8" s="181">
        <v>3</v>
      </c>
      <c r="B8" s="38">
        <f t="shared" si="4"/>
        <v>15.17</v>
      </c>
      <c r="C8" s="38">
        <f t="shared" si="5"/>
        <v>15.17</v>
      </c>
      <c r="D8" s="38">
        <f t="shared" si="6"/>
        <v>14.67</v>
      </c>
      <c r="E8" s="38">
        <f t="shared" si="7"/>
        <v>14.67</v>
      </c>
      <c r="F8" s="38">
        <f t="shared" si="8"/>
        <v>10.81</v>
      </c>
      <c r="G8" s="38">
        <f t="shared" si="9"/>
        <v>10.81</v>
      </c>
      <c r="H8" s="38">
        <f t="shared" si="10"/>
        <v>19.22</v>
      </c>
      <c r="I8" s="38">
        <f t="shared" si="11"/>
        <v>19.22</v>
      </c>
      <c r="J8" s="38">
        <f t="shared" si="12"/>
        <v>19.22</v>
      </c>
      <c r="K8" s="38">
        <f t="shared" si="13"/>
        <v>19.22</v>
      </c>
      <c r="L8" s="21"/>
      <c r="M8" s="181">
        <v>3</v>
      </c>
      <c r="N8" s="38">
        <f t="shared" si="14"/>
        <v>15.17</v>
      </c>
      <c r="O8" s="38">
        <f t="shared" si="15"/>
        <v>15.17</v>
      </c>
      <c r="P8" s="38">
        <f t="shared" si="16"/>
        <v>14.67</v>
      </c>
      <c r="Q8" s="38">
        <f t="shared" si="17"/>
        <v>14.67</v>
      </c>
      <c r="R8" s="38">
        <f t="shared" si="18"/>
        <v>10.81</v>
      </c>
      <c r="S8" s="38">
        <f t="shared" si="0"/>
        <v>10.81</v>
      </c>
      <c r="T8" s="38">
        <f t="shared" si="1"/>
        <v>19.22</v>
      </c>
      <c r="U8" s="38">
        <f t="shared" si="2"/>
        <v>19.22</v>
      </c>
      <c r="V8" s="38">
        <f t="shared" si="3"/>
        <v>19.22</v>
      </c>
      <c r="W8" s="38">
        <f t="shared" si="19"/>
        <v>19.22</v>
      </c>
      <c r="X8" s="21"/>
      <c r="Y8" s="181">
        <v>3</v>
      </c>
      <c r="Z8" s="38">
        <f t="shared" si="20"/>
        <v>15.17</v>
      </c>
      <c r="AA8" s="38">
        <f t="shared" si="21"/>
        <v>15.17</v>
      </c>
      <c r="AB8" s="38">
        <f t="shared" si="22"/>
        <v>14.67</v>
      </c>
      <c r="AC8" s="38">
        <f t="shared" si="23"/>
        <v>14.67</v>
      </c>
      <c r="AD8" s="38">
        <f t="shared" si="24"/>
        <v>10.81</v>
      </c>
      <c r="AE8" s="38">
        <f t="shared" si="25"/>
        <v>10.81</v>
      </c>
      <c r="AF8" s="38">
        <f t="shared" si="26"/>
        <v>19.22</v>
      </c>
      <c r="AG8" s="38">
        <f t="shared" si="27"/>
        <v>19.22</v>
      </c>
      <c r="AH8" s="38">
        <f t="shared" si="28"/>
        <v>19.22</v>
      </c>
      <c r="AI8" s="38">
        <f t="shared" si="29"/>
        <v>19.22</v>
      </c>
    </row>
    <row r="9" spans="1:47" x14ac:dyDescent="0.25">
      <c r="A9" s="181">
        <v>4</v>
      </c>
      <c r="B9" s="38">
        <f t="shared" si="4"/>
        <v>15.219999999999999</v>
      </c>
      <c r="C9" s="38">
        <f t="shared" si="5"/>
        <v>15.219999999999999</v>
      </c>
      <c r="D9" s="38">
        <f t="shared" si="6"/>
        <v>14.719999999999999</v>
      </c>
      <c r="E9" s="38">
        <f t="shared" si="7"/>
        <v>14.719999999999999</v>
      </c>
      <c r="F9" s="38">
        <f t="shared" si="8"/>
        <v>10.86</v>
      </c>
      <c r="G9" s="38">
        <f t="shared" si="9"/>
        <v>10.86</v>
      </c>
      <c r="H9" s="38">
        <f t="shared" si="10"/>
        <v>19.27</v>
      </c>
      <c r="I9" s="38">
        <f t="shared" si="11"/>
        <v>19.27</v>
      </c>
      <c r="J9" s="38">
        <f t="shared" si="12"/>
        <v>19.27</v>
      </c>
      <c r="K9" s="38">
        <f t="shared" si="13"/>
        <v>19.27</v>
      </c>
      <c r="L9" s="21"/>
      <c r="M9" s="181">
        <v>4</v>
      </c>
      <c r="N9" s="38">
        <f t="shared" si="14"/>
        <v>15.219999999999999</v>
      </c>
      <c r="O9" s="38">
        <f t="shared" si="15"/>
        <v>15.219999999999999</v>
      </c>
      <c r="P9" s="38">
        <f t="shared" si="16"/>
        <v>14.719999999999999</v>
      </c>
      <c r="Q9" s="38">
        <f t="shared" si="17"/>
        <v>14.719999999999999</v>
      </c>
      <c r="R9" s="38">
        <f t="shared" si="18"/>
        <v>10.86</v>
      </c>
      <c r="S9" s="38">
        <f t="shared" si="0"/>
        <v>10.86</v>
      </c>
      <c r="T9" s="38">
        <f t="shared" si="1"/>
        <v>19.27</v>
      </c>
      <c r="U9" s="38">
        <f t="shared" si="2"/>
        <v>19.27</v>
      </c>
      <c r="V9" s="38">
        <f t="shared" si="3"/>
        <v>19.27</v>
      </c>
      <c r="W9" s="38">
        <f t="shared" si="19"/>
        <v>19.27</v>
      </c>
      <c r="X9" s="21"/>
      <c r="Y9" s="181">
        <v>4</v>
      </c>
      <c r="Z9" s="38">
        <f t="shared" si="20"/>
        <v>15.219999999999999</v>
      </c>
      <c r="AA9" s="38">
        <f t="shared" si="21"/>
        <v>15.219999999999999</v>
      </c>
      <c r="AB9" s="38">
        <f t="shared" si="22"/>
        <v>14.719999999999999</v>
      </c>
      <c r="AC9" s="38">
        <f t="shared" si="23"/>
        <v>14.719999999999999</v>
      </c>
      <c r="AD9" s="38">
        <f t="shared" si="24"/>
        <v>10.86</v>
      </c>
      <c r="AE9" s="38">
        <f t="shared" si="25"/>
        <v>10.86</v>
      </c>
      <c r="AF9" s="38">
        <f t="shared" si="26"/>
        <v>19.27</v>
      </c>
      <c r="AG9" s="38">
        <f t="shared" si="27"/>
        <v>19.27</v>
      </c>
      <c r="AH9" s="38">
        <f t="shared" si="28"/>
        <v>19.27</v>
      </c>
      <c r="AI9" s="38">
        <f t="shared" si="29"/>
        <v>19.27</v>
      </c>
    </row>
    <row r="10" spans="1:47" x14ac:dyDescent="0.25">
      <c r="A10" s="181">
        <v>5</v>
      </c>
      <c r="B10" s="38">
        <f t="shared" si="4"/>
        <v>15.27</v>
      </c>
      <c r="C10" s="38">
        <f t="shared" si="5"/>
        <v>15.27</v>
      </c>
      <c r="D10" s="38">
        <f t="shared" si="6"/>
        <v>14.77</v>
      </c>
      <c r="E10" s="38">
        <f t="shared" si="7"/>
        <v>14.77</v>
      </c>
      <c r="F10" s="38">
        <f t="shared" si="8"/>
        <v>10.91</v>
      </c>
      <c r="G10" s="38">
        <f t="shared" si="9"/>
        <v>10.91</v>
      </c>
      <c r="H10" s="38">
        <f t="shared" si="10"/>
        <v>19.32</v>
      </c>
      <c r="I10" s="38">
        <f t="shared" si="11"/>
        <v>19.32</v>
      </c>
      <c r="J10" s="38">
        <f t="shared" si="12"/>
        <v>19.32</v>
      </c>
      <c r="K10" s="38">
        <f t="shared" si="13"/>
        <v>19.32</v>
      </c>
      <c r="L10" s="21"/>
      <c r="M10" s="181">
        <v>5</v>
      </c>
      <c r="N10" s="38">
        <f t="shared" si="14"/>
        <v>15.27</v>
      </c>
      <c r="O10" s="38">
        <f t="shared" si="15"/>
        <v>15.27</v>
      </c>
      <c r="P10" s="38">
        <f t="shared" si="16"/>
        <v>14.77</v>
      </c>
      <c r="Q10" s="38">
        <f t="shared" si="17"/>
        <v>14.77</v>
      </c>
      <c r="R10" s="38">
        <f t="shared" si="18"/>
        <v>10.91</v>
      </c>
      <c r="S10" s="38">
        <f t="shared" si="0"/>
        <v>10.91</v>
      </c>
      <c r="T10" s="38">
        <f t="shared" si="1"/>
        <v>19.32</v>
      </c>
      <c r="U10" s="38">
        <f t="shared" si="2"/>
        <v>19.32</v>
      </c>
      <c r="V10" s="38">
        <f t="shared" si="3"/>
        <v>19.32</v>
      </c>
      <c r="W10" s="38">
        <f t="shared" si="19"/>
        <v>19.32</v>
      </c>
      <c r="X10" s="21"/>
      <c r="Y10" s="181">
        <v>5</v>
      </c>
      <c r="Z10" s="38">
        <f t="shared" si="20"/>
        <v>15.27</v>
      </c>
      <c r="AA10" s="38">
        <f t="shared" si="21"/>
        <v>15.27</v>
      </c>
      <c r="AB10" s="38">
        <f t="shared" si="22"/>
        <v>14.77</v>
      </c>
      <c r="AC10" s="38">
        <f t="shared" si="23"/>
        <v>14.77</v>
      </c>
      <c r="AD10" s="38">
        <f t="shared" si="24"/>
        <v>10.91</v>
      </c>
      <c r="AE10" s="38">
        <f t="shared" si="25"/>
        <v>10.91</v>
      </c>
      <c r="AF10" s="38">
        <f t="shared" si="26"/>
        <v>19.32</v>
      </c>
      <c r="AG10" s="38">
        <f t="shared" si="27"/>
        <v>19.32</v>
      </c>
      <c r="AH10" s="38">
        <f t="shared" si="28"/>
        <v>19.32</v>
      </c>
      <c r="AI10" s="38">
        <f t="shared" si="29"/>
        <v>19.32</v>
      </c>
    </row>
    <row r="11" spans="1:47" x14ac:dyDescent="0.25">
      <c r="A11" s="181">
        <v>6</v>
      </c>
      <c r="B11" s="38">
        <f t="shared" si="4"/>
        <v>15.32</v>
      </c>
      <c r="C11" s="38">
        <f t="shared" si="5"/>
        <v>15.32</v>
      </c>
      <c r="D11" s="38">
        <f t="shared" si="6"/>
        <v>14.82</v>
      </c>
      <c r="E11" s="38">
        <f t="shared" si="7"/>
        <v>14.82</v>
      </c>
      <c r="F11" s="38">
        <f t="shared" si="8"/>
        <v>10.96</v>
      </c>
      <c r="G11" s="38">
        <f t="shared" si="9"/>
        <v>10.96</v>
      </c>
      <c r="H11" s="38">
        <f t="shared" si="10"/>
        <v>19.37</v>
      </c>
      <c r="I11" s="38">
        <f t="shared" si="11"/>
        <v>19.37</v>
      </c>
      <c r="J11" s="38">
        <f t="shared" si="12"/>
        <v>19.37</v>
      </c>
      <c r="K11" s="38">
        <f t="shared" si="13"/>
        <v>19.37</v>
      </c>
      <c r="L11" s="21"/>
      <c r="M11" s="181">
        <v>6</v>
      </c>
      <c r="N11" s="38">
        <f t="shared" si="14"/>
        <v>15.32</v>
      </c>
      <c r="O11" s="38">
        <f t="shared" si="15"/>
        <v>15.32</v>
      </c>
      <c r="P11" s="38">
        <f t="shared" si="16"/>
        <v>14.82</v>
      </c>
      <c r="Q11" s="38">
        <f t="shared" si="17"/>
        <v>14.82</v>
      </c>
      <c r="R11" s="38">
        <f t="shared" si="18"/>
        <v>10.96</v>
      </c>
      <c r="S11" s="38">
        <f t="shared" si="0"/>
        <v>10.96</v>
      </c>
      <c r="T11" s="38">
        <f t="shared" si="1"/>
        <v>19.37</v>
      </c>
      <c r="U11" s="38">
        <f t="shared" si="2"/>
        <v>19.37</v>
      </c>
      <c r="V11" s="38">
        <f t="shared" si="3"/>
        <v>19.37</v>
      </c>
      <c r="W11" s="38">
        <f t="shared" si="19"/>
        <v>19.37</v>
      </c>
      <c r="X11" s="21"/>
      <c r="Y11" s="181">
        <v>6</v>
      </c>
      <c r="Z11" s="38">
        <f t="shared" si="20"/>
        <v>15.32</v>
      </c>
      <c r="AA11" s="38">
        <f t="shared" si="21"/>
        <v>15.32</v>
      </c>
      <c r="AB11" s="38">
        <f t="shared" si="22"/>
        <v>14.82</v>
      </c>
      <c r="AC11" s="38">
        <f t="shared" si="23"/>
        <v>14.82</v>
      </c>
      <c r="AD11" s="38">
        <f t="shared" si="24"/>
        <v>10.96</v>
      </c>
      <c r="AE11" s="38">
        <f t="shared" si="25"/>
        <v>10.96</v>
      </c>
      <c r="AF11" s="38">
        <f t="shared" si="26"/>
        <v>19.37</v>
      </c>
      <c r="AG11" s="38">
        <f t="shared" si="27"/>
        <v>19.37</v>
      </c>
      <c r="AH11" s="38">
        <f t="shared" si="28"/>
        <v>19.37</v>
      </c>
      <c r="AI11" s="38">
        <f t="shared" si="29"/>
        <v>19.37</v>
      </c>
    </row>
    <row r="12" spans="1:47" x14ac:dyDescent="0.25">
      <c r="A12" s="181">
        <v>7</v>
      </c>
      <c r="B12" s="38">
        <f t="shared" si="4"/>
        <v>15.37</v>
      </c>
      <c r="C12" s="38">
        <f t="shared" si="5"/>
        <v>15.37</v>
      </c>
      <c r="D12" s="38">
        <f t="shared" si="6"/>
        <v>14.87</v>
      </c>
      <c r="E12" s="38">
        <f t="shared" si="7"/>
        <v>14.87</v>
      </c>
      <c r="F12" s="38">
        <f t="shared" si="8"/>
        <v>11.01</v>
      </c>
      <c r="G12" s="38">
        <f t="shared" si="9"/>
        <v>11.01</v>
      </c>
      <c r="H12" s="38">
        <f t="shared" si="10"/>
        <v>19.420000000000002</v>
      </c>
      <c r="I12" s="38">
        <f t="shared" si="11"/>
        <v>19.420000000000002</v>
      </c>
      <c r="J12" s="38">
        <f t="shared" si="12"/>
        <v>19.420000000000002</v>
      </c>
      <c r="K12" s="38">
        <f t="shared" si="13"/>
        <v>19.420000000000002</v>
      </c>
      <c r="L12" s="21"/>
      <c r="M12" s="181">
        <v>7</v>
      </c>
      <c r="N12" s="38">
        <f t="shared" si="14"/>
        <v>15.37</v>
      </c>
      <c r="O12" s="38">
        <f t="shared" si="15"/>
        <v>15.37</v>
      </c>
      <c r="P12" s="38">
        <f t="shared" si="16"/>
        <v>14.87</v>
      </c>
      <c r="Q12" s="38">
        <f t="shared" si="17"/>
        <v>14.87</v>
      </c>
      <c r="R12" s="38">
        <f t="shared" si="18"/>
        <v>11.01</v>
      </c>
      <c r="S12" s="38">
        <f t="shared" si="0"/>
        <v>11.01</v>
      </c>
      <c r="T12" s="38">
        <f t="shared" si="1"/>
        <v>19.420000000000002</v>
      </c>
      <c r="U12" s="38">
        <f t="shared" si="2"/>
        <v>19.420000000000002</v>
      </c>
      <c r="V12" s="38">
        <f t="shared" si="3"/>
        <v>19.420000000000002</v>
      </c>
      <c r="W12" s="38">
        <f t="shared" si="19"/>
        <v>19.420000000000002</v>
      </c>
      <c r="X12" s="21"/>
      <c r="Y12" s="181">
        <v>7</v>
      </c>
      <c r="Z12" s="38">
        <f t="shared" si="20"/>
        <v>15.37</v>
      </c>
      <c r="AA12" s="38">
        <f t="shared" si="21"/>
        <v>15.37</v>
      </c>
      <c r="AB12" s="38">
        <f t="shared" si="22"/>
        <v>14.87</v>
      </c>
      <c r="AC12" s="38">
        <f t="shared" si="23"/>
        <v>14.87</v>
      </c>
      <c r="AD12" s="38">
        <f t="shared" si="24"/>
        <v>11.01</v>
      </c>
      <c r="AE12" s="38">
        <f t="shared" si="25"/>
        <v>11.01</v>
      </c>
      <c r="AF12" s="38">
        <f t="shared" si="26"/>
        <v>19.420000000000002</v>
      </c>
      <c r="AG12" s="38">
        <f t="shared" si="27"/>
        <v>19.420000000000002</v>
      </c>
      <c r="AH12" s="38">
        <f t="shared" si="28"/>
        <v>19.420000000000002</v>
      </c>
      <c r="AI12" s="38">
        <f t="shared" si="29"/>
        <v>19.420000000000002</v>
      </c>
    </row>
    <row r="13" spans="1:47" x14ac:dyDescent="0.25">
      <c r="A13" s="181">
        <v>8</v>
      </c>
      <c r="B13" s="38">
        <f t="shared" si="4"/>
        <v>15.42</v>
      </c>
      <c r="C13" s="38">
        <f t="shared" si="5"/>
        <v>15.42</v>
      </c>
      <c r="D13" s="38">
        <f t="shared" si="6"/>
        <v>14.92</v>
      </c>
      <c r="E13" s="38">
        <f t="shared" si="7"/>
        <v>14.92</v>
      </c>
      <c r="F13" s="38">
        <f t="shared" si="8"/>
        <v>11.06</v>
      </c>
      <c r="G13" s="38">
        <f t="shared" si="9"/>
        <v>11.06</v>
      </c>
      <c r="H13" s="38">
        <f t="shared" si="10"/>
        <v>19.47</v>
      </c>
      <c r="I13" s="38">
        <f t="shared" si="11"/>
        <v>19.47</v>
      </c>
      <c r="J13" s="38">
        <f t="shared" si="12"/>
        <v>19.47</v>
      </c>
      <c r="K13" s="38">
        <f t="shared" si="13"/>
        <v>19.47</v>
      </c>
      <c r="L13" s="21"/>
      <c r="M13" s="181">
        <v>8</v>
      </c>
      <c r="N13" s="38">
        <f t="shared" si="14"/>
        <v>15.42</v>
      </c>
      <c r="O13" s="38">
        <f t="shared" si="15"/>
        <v>15.42</v>
      </c>
      <c r="P13" s="38">
        <f t="shared" si="16"/>
        <v>14.92</v>
      </c>
      <c r="Q13" s="38">
        <f t="shared" si="17"/>
        <v>14.92</v>
      </c>
      <c r="R13" s="38">
        <f t="shared" si="18"/>
        <v>11.06</v>
      </c>
      <c r="S13" s="38">
        <f t="shared" si="0"/>
        <v>11.06</v>
      </c>
      <c r="T13" s="38">
        <f t="shared" si="1"/>
        <v>19.47</v>
      </c>
      <c r="U13" s="38">
        <f t="shared" si="2"/>
        <v>19.47</v>
      </c>
      <c r="V13" s="38">
        <f t="shared" si="3"/>
        <v>19.47</v>
      </c>
      <c r="W13" s="38">
        <f t="shared" si="19"/>
        <v>19.47</v>
      </c>
      <c r="X13" s="21"/>
      <c r="Y13" s="181">
        <v>8</v>
      </c>
      <c r="Z13" s="38">
        <f t="shared" si="20"/>
        <v>15.42</v>
      </c>
      <c r="AA13" s="38">
        <f t="shared" si="21"/>
        <v>15.42</v>
      </c>
      <c r="AB13" s="38">
        <f t="shared" si="22"/>
        <v>14.92</v>
      </c>
      <c r="AC13" s="38">
        <f t="shared" si="23"/>
        <v>14.92</v>
      </c>
      <c r="AD13" s="38">
        <f t="shared" si="24"/>
        <v>11.06</v>
      </c>
      <c r="AE13" s="38">
        <f t="shared" si="25"/>
        <v>11.06</v>
      </c>
      <c r="AF13" s="38">
        <f t="shared" si="26"/>
        <v>19.47</v>
      </c>
      <c r="AG13" s="38">
        <f t="shared" si="27"/>
        <v>19.47</v>
      </c>
      <c r="AH13" s="38">
        <f t="shared" si="28"/>
        <v>19.47</v>
      </c>
      <c r="AI13" s="38">
        <f t="shared" si="29"/>
        <v>19.47</v>
      </c>
    </row>
    <row r="14" spans="1:47" x14ac:dyDescent="0.25">
      <c r="A14" s="181">
        <v>9</v>
      </c>
      <c r="B14" s="38">
        <f t="shared" si="4"/>
        <v>15.469999999999999</v>
      </c>
      <c r="C14" s="38">
        <f t="shared" si="5"/>
        <v>15.469999999999999</v>
      </c>
      <c r="D14" s="38">
        <f t="shared" si="6"/>
        <v>14.969999999999999</v>
      </c>
      <c r="E14" s="38">
        <f t="shared" si="7"/>
        <v>14.969999999999999</v>
      </c>
      <c r="F14" s="38">
        <f t="shared" si="8"/>
        <v>11.11</v>
      </c>
      <c r="G14" s="38">
        <f t="shared" si="9"/>
        <v>11.11</v>
      </c>
      <c r="H14" s="38">
        <f t="shared" si="10"/>
        <v>19.52</v>
      </c>
      <c r="I14" s="38">
        <f t="shared" si="11"/>
        <v>19.52</v>
      </c>
      <c r="J14" s="38">
        <f t="shared" si="12"/>
        <v>19.52</v>
      </c>
      <c r="K14" s="38">
        <f t="shared" si="13"/>
        <v>19.52</v>
      </c>
      <c r="L14" s="21"/>
      <c r="M14" s="181">
        <v>9</v>
      </c>
      <c r="N14" s="38">
        <f t="shared" si="14"/>
        <v>15.469999999999999</v>
      </c>
      <c r="O14" s="38">
        <f t="shared" si="15"/>
        <v>15.469999999999999</v>
      </c>
      <c r="P14" s="38">
        <f t="shared" si="16"/>
        <v>14.969999999999999</v>
      </c>
      <c r="Q14" s="38">
        <f t="shared" si="17"/>
        <v>14.969999999999999</v>
      </c>
      <c r="R14" s="38">
        <f t="shared" si="18"/>
        <v>11.11</v>
      </c>
      <c r="S14" s="38">
        <f t="shared" si="0"/>
        <v>11.11</v>
      </c>
      <c r="T14" s="38">
        <f t="shared" si="1"/>
        <v>19.52</v>
      </c>
      <c r="U14" s="38">
        <f t="shared" si="2"/>
        <v>19.52</v>
      </c>
      <c r="V14" s="38">
        <f t="shared" si="3"/>
        <v>19.52</v>
      </c>
      <c r="W14" s="38">
        <f t="shared" si="19"/>
        <v>19.52</v>
      </c>
      <c r="X14" s="21"/>
      <c r="Y14" s="181">
        <v>9</v>
      </c>
      <c r="Z14" s="38">
        <f t="shared" si="20"/>
        <v>15.469999999999999</v>
      </c>
      <c r="AA14" s="38">
        <f t="shared" si="21"/>
        <v>15.469999999999999</v>
      </c>
      <c r="AB14" s="38">
        <f t="shared" si="22"/>
        <v>14.969999999999999</v>
      </c>
      <c r="AC14" s="38">
        <f t="shared" si="23"/>
        <v>14.969999999999999</v>
      </c>
      <c r="AD14" s="38">
        <f t="shared" si="24"/>
        <v>11.11</v>
      </c>
      <c r="AE14" s="38">
        <f t="shared" si="25"/>
        <v>11.11</v>
      </c>
      <c r="AF14" s="38">
        <f t="shared" si="26"/>
        <v>19.52</v>
      </c>
      <c r="AG14" s="38">
        <f t="shared" si="27"/>
        <v>19.52</v>
      </c>
      <c r="AH14" s="38">
        <f t="shared" si="28"/>
        <v>19.52</v>
      </c>
      <c r="AI14" s="38">
        <f t="shared" si="29"/>
        <v>19.52</v>
      </c>
    </row>
    <row r="15" spans="1:47" x14ac:dyDescent="0.25">
      <c r="A15" s="181">
        <v>10</v>
      </c>
      <c r="B15" s="38">
        <f t="shared" si="4"/>
        <v>15.52</v>
      </c>
      <c r="C15" s="38">
        <f t="shared" si="5"/>
        <v>15.52</v>
      </c>
      <c r="D15" s="38">
        <f t="shared" si="6"/>
        <v>15.02</v>
      </c>
      <c r="E15" s="38">
        <f t="shared" si="7"/>
        <v>15.02</v>
      </c>
      <c r="F15" s="38">
        <f t="shared" si="8"/>
        <v>11.16</v>
      </c>
      <c r="G15" s="38">
        <f t="shared" si="9"/>
        <v>11.16</v>
      </c>
      <c r="H15" s="38">
        <f t="shared" si="10"/>
        <v>19.57</v>
      </c>
      <c r="I15" s="38">
        <f t="shared" si="11"/>
        <v>19.57</v>
      </c>
      <c r="J15" s="38">
        <f t="shared" si="12"/>
        <v>19.57</v>
      </c>
      <c r="K15" s="38">
        <f t="shared" si="13"/>
        <v>19.57</v>
      </c>
      <c r="L15" s="21"/>
      <c r="M15" s="181">
        <v>10</v>
      </c>
      <c r="N15" s="38">
        <f t="shared" si="14"/>
        <v>15.52</v>
      </c>
      <c r="O15" s="38">
        <f t="shared" si="15"/>
        <v>15.52</v>
      </c>
      <c r="P15" s="38">
        <f t="shared" si="16"/>
        <v>15.02</v>
      </c>
      <c r="Q15" s="38">
        <f t="shared" si="17"/>
        <v>15.02</v>
      </c>
      <c r="R15" s="38">
        <f t="shared" si="18"/>
        <v>11.16</v>
      </c>
      <c r="S15" s="38">
        <f t="shared" si="0"/>
        <v>11.16</v>
      </c>
      <c r="T15" s="38">
        <f t="shared" si="1"/>
        <v>19.57</v>
      </c>
      <c r="U15" s="38">
        <f t="shared" si="2"/>
        <v>19.57</v>
      </c>
      <c r="V15" s="38">
        <f t="shared" si="3"/>
        <v>19.57</v>
      </c>
      <c r="W15" s="38">
        <f t="shared" si="19"/>
        <v>19.57</v>
      </c>
      <c r="X15" s="21"/>
      <c r="Y15" s="181">
        <v>10</v>
      </c>
      <c r="Z15" s="38">
        <f t="shared" si="20"/>
        <v>15.52</v>
      </c>
      <c r="AA15" s="38">
        <f t="shared" si="21"/>
        <v>15.52</v>
      </c>
      <c r="AB15" s="38">
        <f t="shared" si="22"/>
        <v>15.02</v>
      </c>
      <c r="AC15" s="38">
        <f t="shared" si="23"/>
        <v>15.02</v>
      </c>
      <c r="AD15" s="38">
        <f t="shared" si="24"/>
        <v>11.16</v>
      </c>
      <c r="AE15" s="38">
        <f t="shared" si="25"/>
        <v>11.16</v>
      </c>
      <c r="AF15" s="38">
        <f t="shared" si="26"/>
        <v>19.57</v>
      </c>
      <c r="AG15" s="38">
        <f t="shared" si="27"/>
        <v>19.57</v>
      </c>
      <c r="AH15" s="38">
        <f t="shared" si="28"/>
        <v>19.57</v>
      </c>
      <c r="AI15" s="38">
        <f t="shared" si="29"/>
        <v>19.57</v>
      </c>
    </row>
    <row r="16" spans="1:47" x14ac:dyDescent="0.25">
      <c r="A16" s="181">
        <v>11</v>
      </c>
      <c r="B16" s="38">
        <f t="shared" si="4"/>
        <v>15.57</v>
      </c>
      <c r="C16" s="38">
        <f t="shared" si="5"/>
        <v>15.57</v>
      </c>
      <c r="D16" s="38">
        <f t="shared" si="6"/>
        <v>15.07</v>
      </c>
      <c r="E16" s="38">
        <f t="shared" si="7"/>
        <v>15.07</v>
      </c>
      <c r="F16" s="38">
        <f t="shared" si="8"/>
        <v>11.21</v>
      </c>
      <c r="G16" s="38">
        <f t="shared" si="9"/>
        <v>11.21</v>
      </c>
      <c r="H16" s="38">
        <f t="shared" si="10"/>
        <v>19.62</v>
      </c>
      <c r="I16" s="38">
        <f t="shared" si="11"/>
        <v>19.62</v>
      </c>
      <c r="J16" s="38">
        <f t="shared" si="12"/>
        <v>19.62</v>
      </c>
      <c r="K16" s="38">
        <f t="shared" si="13"/>
        <v>19.62</v>
      </c>
      <c r="L16" s="21"/>
      <c r="M16" s="181">
        <v>11</v>
      </c>
      <c r="N16" s="38">
        <f t="shared" si="14"/>
        <v>15.57</v>
      </c>
      <c r="O16" s="38">
        <f t="shared" si="15"/>
        <v>15.57</v>
      </c>
      <c r="P16" s="38">
        <f t="shared" si="16"/>
        <v>15.07</v>
      </c>
      <c r="Q16" s="38">
        <f t="shared" si="17"/>
        <v>15.07</v>
      </c>
      <c r="R16" s="38">
        <f t="shared" si="18"/>
        <v>11.21</v>
      </c>
      <c r="S16" s="38">
        <f t="shared" si="0"/>
        <v>11.21</v>
      </c>
      <c r="T16" s="38">
        <f t="shared" si="1"/>
        <v>19.62</v>
      </c>
      <c r="U16" s="38">
        <f t="shared" si="2"/>
        <v>19.62</v>
      </c>
      <c r="V16" s="38">
        <f t="shared" si="3"/>
        <v>19.62</v>
      </c>
      <c r="W16" s="38">
        <f t="shared" si="19"/>
        <v>19.62</v>
      </c>
      <c r="X16" s="21"/>
      <c r="Y16" s="181">
        <v>11</v>
      </c>
      <c r="Z16" s="38">
        <f t="shared" si="20"/>
        <v>15.57</v>
      </c>
      <c r="AA16" s="38">
        <f t="shared" si="21"/>
        <v>15.57</v>
      </c>
      <c r="AB16" s="38">
        <f t="shared" si="22"/>
        <v>15.07</v>
      </c>
      <c r="AC16" s="38">
        <f t="shared" si="23"/>
        <v>15.07</v>
      </c>
      <c r="AD16" s="38">
        <f t="shared" si="24"/>
        <v>11.21</v>
      </c>
      <c r="AE16" s="38">
        <f t="shared" si="25"/>
        <v>11.21</v>
      </c>
      <c r="AF16" s="38">
        <f t="shared" si="26"/>
        <v>19.62</v>
      </c>
      <c r="AG16" s="38">
        <f t="shared" si="27"/>
        <v>19.62</v>
      </c>
      <c r="AH16" s="38">
        <f t="shared" si="28"/>
        <v>19.62</v>
      </c>
      <c r="AI16" s="38">
        <f t="shared" si="29"/>
        <v>19.62</v>
      </c>
    </row>
    <row r="17" spans="1:46" x14ac:dyDescent="0.25">
      <c r="A17" s="181">
        <v>12</v>
      </c>
      <c r="B17" s="38">
        <f t="shared" si="4"/>
        <v>15.62</v>
      </c>
      <c r="C17" s="38">
        <f t="shared" si="5"/>
        <v>15.62</v>
      </c>
      <c r="D17" s="38">
        <f t="shared" si="6"/>
        <v>15.12</v>
      </c>
      <c r="E17" s="38">
        <f t="shared" si="7"/>
        <v>15.12</v>
      </c>
      <c r="F17" s="38">
        <f t="shared" si="8"/>
        <v>11.26</v>
      </c>
      <c r="G17" s="38">
        <f t="shared" si="9"/>
        <v>11.26</v>
      </c>
      <c r="H17" s="38">
        <f t="shared" si="10"/>
        <v>19.670000000000002</v>
      </c>
      <c r="I17" s="38">
        <f t="shared" si="11"/>
        <v>19.670000000000002</v>
      </c>
      <c r="J17" s="38">
        <f t="shared" si="12"/>
        <v>19.670000000000002</v>
      </c>
      <c r="K17" s="38">
        <f t="shared" si="13"/>
        <v>19.670000000000002</v>
      </c>
      <c r="L17" s="21"/>
      <c r="M17" s="181">
        <v>12</v>
      </c>
      <c r="N17" s="38">
        <f t="shared" si="14"/>
        <v>15.62</v>
      </c>
      <c r="O17" s="38">
        <f t="shared" si="15"/>
        <v>15.62</v>
      </c>
      <c r="P17" s="38">
        <f t="shared" si="16"/>
        <v>15.12</v>
      </c>
      <c r="Q17" s="38">
        <f t="shared" si="17"/>
        <v>15.12</v>
      </c>
      <c r="R17" s="38">
        <f t="shared" si="18"/>
        <v>11.26</v>
      </c>
      <c r="S17" s="38">
        <f t="shared" si="0"/>
        <v>11.26</v>
      </c>
      <c r="T17" s="38">
        <f t="shared" si="1"/>
        <v>19.670000000000002</v>
      </c>
      <c r="U17" s="38">
        <f t="shared" si="2"/>
        <v>19.670000000000002</v>
      </c>
      <c r="V17" s="38">
        <f t="shared" si="3"/>
        <v>19.670000000000002</v>
      </c>
      <c r="W17" s="38">
        <f t="shared" si="19"/>
        <v>19.670000000000002</v>
      </c>
      <c r="X17" s="21"/>
      <c r="Y17" s="181">
        <v>12</v>
      </c>
      <c r="Z17" s="38">
        <f t="shared" si="20"/>
        <v>15.62</v>
      </c>
      <c r="AA17" s="38">
        <f t="shared" si="21"/>
        <v>15.62</v>
      </c>
      <c r="AB17" s="38">
        <f t="shared" si="22"/>
        <v>15.12</v>
      </c>
      <c r="AC17" s="38">
        <f t="shared" si="23"/>
        <v>15.12</v>
      </c>
      <c r="AD17" s="38">
        <f t="shared" si="24"/>
        <v>11.26</v>
      </c>
      <c r="AE17" s="38">
        <f t="shared" si="25"/>
        <v>11.26</v>
      </c>
      <c r="AF17" s="38">
        <f t="shared" si="26"/>
        <v>19.670000000000002</v>
      </c>
      <c r="AG17" s="38">
        <f t="shared" si="27"/>
        <v>19.670000000000002</v>
      </c>
      <c r="AH17" s="38">
        <f t="shared" si="28"/>
        <v>19.670000000000002</v>
      </c>
      <c r="AI17" s="38">
        <f t="shared" si="29"/>
        <v>19.670000000000002</v>
      </c>
    </row>
    <row r="18" spans="1:46" x14ac:dyDescent="0.25">
      <c r="A18" s="181">
        <v>13</v>
      </c>
      <c r="B18" s="38">
        <f t="shared" si="4"/>
        <v>15.67</v>
      </c>
      <c r="C18" s="38">
        <f t="shared" si="5"/>
        <v>15.67</v>
      </c>
      <c r="D18" s="38">
        <f t="shared" si="6"/>
        <v>15.17</v>
      </c>
      <c r="E18" s="38">
        <f t="shared" si="7"/>
        <v>15.17</v>
      </c>
      <c r="F18" s="38">
        <f t="shared" si="8"/>
        <v>11.31</v>
      </c>
      <c r="G18" s="38">
        <f t="shared" si="9"/>
        <v>11.31</v>
      </c>
      <c r="H18" s="38">
        <f t="shared" si="10"/>
        <v>19.72</v>
      </c>
      <c r="I18" s="38">
        <f t="shared" si="11"/>
        <v>19.72</v>
      </c>
      <c r="J18" s="38">
        <f t="shared" si="12"/>
        <v>19.72</v>
      </c>
      <c r="K18" s="38">
        <f t="shared" si="13"/>
        <v>19.72</v>
      </c>
      <c r="L18" s="21"/>
      <c r="M18" s="181">
        <v>13</v>
      </c>
      <c r="N18" s="38">
        <f t="shared" si="14"/>
        <v>15.67</v>
      </c>
      <c r="O18" s="38">
        <f t="shared" si="15"/>
        <v>15.67</v>
      </c>
      <c r="P18" s="38">
        <f t="shared" si="16"/>
        <v>15.17</v>
      </c>
      <c r="Q18" s="38">
        <f t="shared" si="17"/>
        <v>15.17</v>
      </c>
      <c r="R18" s="38">
        <f t="shared" si="18"/>
        <v>11.31</v>
      </c>
      <c r="S18" s="38">
        <f t="shared" si="0"/>
        <v>11.31</v>
      </c>
      <c r="T18" s="38">
        <f t="shared" si="1"/>
        <v>19.72</v>
      </c>
      <c r="U18" s="38">
        <f t="shared" si="2"/>
        <v>19.72</v>
      </c>
      <c r="V18" s="38">
        <f t="shared" si="3"/>
        <v>19.72</v>
      </c>
      <c r="W18" s="38">
        <f t="shared" si="19"/>
        <v>19.72</v>
      </c>
      <c r="X18" s="21"/>
      <c r="Y18" s="181">
        <v>13</v>
      </c>
      <c r="Z18" s="38">
        <f t="shared" si="20"/>
        <v>15.67</v>
      </c>
      <c r="AA18" s="38">
        <f t="shared" si="21"/>
        <v>15.67</v>
      </c>
      <c r="AB18" s="38">
        <f t="shared" si="22"/>
        <v>15.17</v>
      </c>
      <c r="AC18" s="38">
        <f t="shared" si="23"/>
        <v>15.17</v>
      </c>
      <c r="AD18" s="38">
        <f t="shared" si="24"/>
        <v>11.31</v>
      </c>
      <c r="AE18" s="38">
        <f t="shared" si="25"/>
        <v>11.31</v>
      </c>
      <c r="AF18" s="38">
        <f t="shared" si="26"/>
        <v>19.72</v>
      </c>
      <c r="AG18" s="38">
        <f t="shared" si="27"/>
        <v>19.72</v>
      </c>
      <c r="AH18" s="38">
        <f t="shared" si="28"/>
        <v>19.72</v>
      </c>
      <c r="AI18" s="38">
        <f t="shared" si="29"/>
        <v>19.72</v>
      </c>
    </row>
    <row r="19" spans="1:46" x14ac:dyDescent="0.25">
      <c r="A19" s="181">
        <v>14</v>
      </c>
      <c r="B19" s="38">
        <f t="shared" si="4"/>
        <v>15.719999999999999</v>
      </c>
      <c r="C19" s="38">
        <f t="shared" si="5"/>
        <v>15.719999999999999</v>
      </c>
      <c r="D19" s="38">
        <f t="shared" si="6"/>
        <v>15.219999999999999</v>
      </c>
      <c r="E19" s="38">
        <f t="shared" si="7"/>
        <v>15.219999999999999</v>
      </c>
      <c r="F19" s="38">
        <f t="shared" si="8"/>
        <v>11.36</v>
      </c>
      <c r="G19" s="38">
        <f t="shared" si="9"/>
        <v>11.36</v>
      </c>
      <c r="H19" s="38">
        <f t="shared" si="10"/>
        <v>19.77</v>
      </c>
      <c r="I19" s="38">
        <f t="shared" si="11"/>
        <v>19.77</v>
      </c>
      <c r="J19" s="38">
        <f t="shared" si="12"/>
        <v>19.77</v>
      </c>
      <c r="K19" s="38">
        <f t="shared" si="13"/>
        <v>19.77</v>
      </c>
      <c r="L19" s="21"/>
      <c r="M19" s="181">
        <v>14</v>
      </c>
      <c r="N19" s="38">
        <f t="shared" si="14"/>
        <v>15.719999999999999</v>
      </c>
      <c r="O19" s="38">
        <f t="shared" si="15"/>
        <v>15.719999999999999</v>
      </c>
      <c r="P19" s="38">
        <f t="shared" si="16"/>
        <v>15.219999999999999</v>
      </c>
      <c r="Q19" s="38">
        <f t="shared" si="17"/>
        <v>15.219999999999999</v>
      </c>
      <c r="R19" s="38">
        <f t="shared" si="18"/>
        <v>11.36</v>
      </c>
      <c r="S19" s="38">
        <f t="shared" si="0"/>
        <v>11.36</v>
      </c>
      <c r="T19" s="38">
        <f t="shared" si="1"/>
        <v>19.77</v>
      </c>
      <c r="U19" s="38">
        <f t="shared" si="2"/>
        <v>19.77</v>
      </c>
      <c r="V19" s="38">
        <f t="shared" si="3"/>
        <v>19.77</v>
      </c>
      <c r="W19" s="38">
        <f t="shared" si="19"/>
        <v>19.77</v>
      </c>
      <c r="X19" s="21"/>
      <c r="Y19" s="181">
        <v>14</v>
      </c>
      <c r="Z19" s="38">
        <f t="shared" si="20"/>
        <v>15.719999999999999</v>
      </c>
      <c r="AA19" s="38">
        <f t="shared" si="21"/>
        <v>15.719999999999999</v>
      </c>
      <c r="AB19" s="38">
        <f t="shared" si="22"/>
        <v>15.219999999999999</v>
      </c>
      <c r="AC19" s="38">
        <f t="shared" si="23"/>
        <v>15.219999999999999</v>
      </c>
      <c r="AD19" s="38">
        <f t="shared" si="24"/>
        <v>11.36</v>
      </c>
      <c r="AE19" s="38">
        <f t="shared" si="25"/>
        <v>11.36</v>
      </c>
      <c r="AF19" s="38">
        <f t="shared" si="26"/>
        <v>19.77</v>
      </c>
      <c r="AG19" s="38">
        <f t="shared" si="27"/>
        <v>19.77</v>
      </c>
      <c r="AH19" s="38">
        <f t="shared" si="28"/>
        <v>19.77</v>
      </c>
      <c r="AI19" s="38">
        <f t="shared" si="29"/>
        <v>19.77</v>
      </c>
    </row>
    <row r="20" spans="1:46" x14ac:dyDescent="0.25">
      <c r="A20" s="181">
        <v>15</v>
      </c>
      <c r="B20" s="38">
        <f t="shared" si="4"/>
        <v>15.77</v>
      </c>
      <c r="C20" s="38">
        <f t="shared" si="5"/>
        <v>15.77</v>
      </c>
      <c r="D20" s="38">
        <f t="shared" si="6"/>
        <v>15.27</v>
      </c>
      <c r="E20" s="38">
        <f t="shared" si="7"/>
        <v>15.27</v>
      </c>
      <c r="F20" s="38">
        <f t="shared" si="8"/>
        <v>11.41</v>
      </c>
      <c r="G20" s="38">
        <f t="shared" si="9"/>
        <v>11.41</v>
      </c>
      <c r="H20" s="38">
        <f t="shared" si="10"/>
        <v>19.82</v>
      </c>
      <c r="I20" s="38">
        <f t="shared" si="11"/>
        <v>19.82</v>
      </c>
      <c r="J20" s="38">
        <f t="shared" si="12"/>
        <v>19.82</v>
      </c>
      <c r="K20" s="38">
        <f t="shared" si="13"/>
        <v>19.82</v>
      </c>
      <c r="L20" s="21"/>
      <c r="M20" s="181">
        <v>15</v>
      </c>
      <c r="N20" s="38">
        <f t="shared" si="14"/>
        <v>15.77</v>
      </c>
      <c r="O20" s="38">
        <f t="shared" si="15"/>
        <v>15.77</v>
      </c>
      <c r="P20" s="38">
        <f t="shared" si="16"/>
        <v>15.27</v>
      </c>
      <c r="Q20" s="38">
        <f t="shared" si="17"/>
        <v>15.27</v>
      </c>
      <c r="R20" s="38">
        <f t="shared" si="18"/>
        <v>11.41</v>
      </c>
      <c r="S20" s="38">
        <f t="shared" si="0"/>
        <v>11.41</v>
      </c>
      <c r="T20" s="38">
        <f t="shared" si="1"/>
        <v>19.82</v>
      </c>
      <c r="U20" s="38">
        <f t="shared" si="2"/>
        <v>19.82</v>
      </c>
      <c r="V20" s="38">
        <f t="shared" si="3"/>
        <v>19.82</v>
      </c>
      <c r="W20" s="38">
        <f t="shared" si="19"/>
        <v>19.82</v>
      </c>
      <c r="X20" s="21"/>
      <c r="Y20" s="181">
        <v>15</v>
      </c>
      <c r="Z20" s="38">
        <f t="shared" si="20"/>
        <v>15.77</v>
      </c>
      <c r="AA20" s="38">
        <f t="shared" si="21"/>
        <v>15.77</v>
      </c>
      <c r="AB20" s="38">
        <f t="shared" si="22"/>
        <v>15.27</v>
      </c>
      <c r="AC20" s="38">
        <f t="shared" si="23"/>
        <v>15.27</v>
      </c>
      <c r="AD20" s="38">
        <f t="shared" si="24"/>
        <v>11.41</v>
      </c>
      <c r="AE20" s="38">
        <f t="shared" si="25"/>
        <v>11.41</v>
      </c>
      <c r="AF20" s="38">
        <f t="shared" si="26"/>
        <v>19.82</v>
      </c>
      <c r="AG20" s="38">
        <f t="shared" si="27"/>
        <v>19.82</v>
      </c>
      <c r="AH20" s="38">
        <f t="shared" si="28"/>
        <v>19.82</v>
      </c>
      <c r="AI20" s="38">
        <f t="shared" si="29"/>
        <v>19.82</v>
      </c>
    </row>
    <row r="21" spans="1:46" x14ac:dyDescent="0.25">
      <c r="A21" s="181">
        <v>16</v>
      </c>
      <c r="B21" s="38">
        <f t="shared" si="4"/>
        <v>15.82</v>
      </c>
      <c r="C21" s="38">
        <f t="shared" si="5"/>
        <v>15.82</v>
      </c>
      <c r="D21" s="38">
        <f t="shared" si="6"/>
        <v>15.32</v>
      </c>
      <c r="E21" s="38">
        <f t="shared" si="7"/>
        <v>15.32</v>
      </c>
      <c r="F21" s="38">
        <f t="shared" si="8"/>
        <v>11.46</v>
      </c>
      <c r="G21" s="38">
        <f t="shared" si="9"/>
        <v>11.46</v>
      </c>
      <c r="H21" s="38">
        <f t="shared" si="10"/>
        <v>19.87</v>
      </c>
      <c r="I21" s="38">
        <f t="shared" si="11"/>
        <v>19.87</v>
      </c>
      <c r="J21" s="38">
        <f t="shared" si="12"/>
        <v>19.87</v>
      </c>
      <c r="K21" s="38">
        <f t="shared" si="13"/>
        <v>19.87</v>
      </c>
      <c r="L21" s="21"/>
      <c r="M21" s="181">
        <v>16</v>
      </c>
      <c r="N21" s="38">
        <f t="shared" si="14"/>
        <v>15.82</v>
      </c>
      <c r="O21" s="38">
        <f t="shared" si="15"/>
        <v>15.82</v>
      </c>
      <c r="P21" s="38">
        <f t="shared" si="16"/>
        <v>15.32</v>
      </c>
      <c r="Q21" s="38">
        <f t="shared" si="17"/>
        <v>15.32</v>
      </c>
      <c r="R21" s="38">
        <f t="shared" si="18"/>
        <v>11.46</v>
      </c>
      <c r="S21" s="38">
        <f t="shared" si="0"/>
        <v>11.46</v>
      </c>
      <c r="T21" s="38">
        <f t="shared" si="1"/>
        <v>19.87</v>
      </c>
      <c r="U21" s="38">
        <f t="shared" si="2"/>
        <v>19.87</v>
      </c>
      <c r="V21" s="38">
        <f t="shared" si="3"/>
        <v>19.87</v>
      </c>
      <c r="W21" s="38">
        <f t="shared" si="19"/>
        <v>19.87</v>
      </c>
      <c r="X21" s="21"/>
      <c r="Y21" s="181">
        <v>16</v>
      </c>
      <c r="Z21" s="38">
        <f t="shared" si="20"/>
        <v>15.82</v>
      </c>
      <c r="AA21" s="38">
        <f t="shared" si="21"/>
        <v>15.82</v>
      </c>
      <c r="AB21" s="38">
        <f t="shared" si="22"/>
        <v>15.32</v>
      </c>
      <c r="AC21" s="38">
        <f t="shared" si="23"/>
        <v>15.32</v>
      </c>
      <c r="AD21" s="38">
        <f t="shared" si="24"/>
        <v>11.46</v>
      </c>
      <c r="AE21" s="38">
        <f t="shared" si="25"/>
        <v>11.46</v>
      </c>
      <c r="AF21" s="38">
        <f t="shared" si="26"/>
        <v>19.87</v>
      </c>
      <c r="AG21" s="38">
        <f t="shared" si="27"/>
        <v>19.87</v>
      </c>
      <c r="AH21" s="38">
        <f t="shared" si="28"/>
        <v>19.87</v>
      </c>
      <c r="AI21" s="38">
        <f t="shared" si="29"/>
        <v>19.87</v>
      </c>
    </row>
    <row r="22" spans="1:46" x14ac:dyDescent="0.25">
      <c r="A22" s="181">
        <v>17</v>
      </c>
      <c r="B22" s="38">
        <f t="shared" si="4"/>
        <v>15.87</v>
      </c>
      <c r="C22" s="38">
        <f t="shared" si="5"/>
        <v>15.87</v>
      </c>
      <c r="D22" s="38">
        <f t="shared" si="6"/>
        <v>15.37</v>
      </c>
      <c r="E22" s="38">
        <f t="shared" si="7"/>
        <v>15.37</v>
      </c>
      <c r="F22" s="38">
        <f t="shared" si="8"/>
        <v>11.51</v>
      </c>
      <c r="G22" s="38">
        <f t="shared" si="9"/>
        <v>11.51</v>
      </c>
      <c r="H22" s="38">
        <f t="shared" si="10"/>
        <v>19.920000000000002</v>
      </c>
      <c r="I22" s="38">
        <f t="shared" si="11"/>
        <v>19.920000000000002</v>
      </c>
      <c r="J22" s="38">
        <f t="shared" si="12"/>
        <v>19.920000000000002</v>
      </c>
      <c r="K22" s="38">
        <f t="shared" si="13"/>
        <v>19.920000000000002</v>
      </c>
      <c r="L22" s="21"/>
      <c r="M22" s="181">
        <v>17</v>
      </c>
      <c r="N22" s="38">
        <f t="shared" si="14"/>
        <v>15.87</v>
      </c>
      <c r="O22" s="38">
        <f t="shared" si="15"/>
        <v>15.87</v>
      </c>
      <c r="P22" s="38">
        <f t="shared" si="16"/>
        <v>15.37</v>
      </c>
      <c r="Q22" s="38">
        <f t="shared" si="17"/>
        <v>15.37</v>
      </c>
      <c r="R22" s="38">
        <f t="shared" si="18"/>
        <v>11.51</v>
      </c>
      <c r="S22" s="38">
        <f t="shared" si="0"/>
        <v>11.51</v>
      </c>
      <c r="T22" s="38">
        <f t="shared" si="1"/>
        <v>19.920000000000002</v>
      </c>
      <c r="U22" s="38">
        <f t="shared" si="2"/>
        <v>19.920000000000002</v>
      </c>
      <c r="V22" s="38">
        <f t="shared" si="3"/>
        <v>19.920000000000002</v>
      </c>
      <c r="W22" s="38">
        <f t="shared" si="19"/>
        <v>19.920000000000002</v>
      </c>
      <c r="X22" s="21"/>
      <c r="Y22" s="181">
        <v>17</v>
      </c>
      <c r="Z22" s="38">
        <f t="shared" si="20"/>
        <v>15.87</v>
      </c>
      <c r="AA22" s="38">
        <f t="shared" si="21"/>
        <v>15.87</v>
      </c>
      <c r="AB22" s="38">
        <f t="shared" si="22"/>
        <v>15.37</v>
      </c>
      <c r="AC22" s="38">
        <f t="shared" si="23"/>
        <v>15.37</v>
      </c>
      <c r="AD22" s="38">
        <f t="shared" si="24"/>
        <v>11.51</v>
      </c>
      <c r="AE22" s="38">
        <f t="shared" si="25"/>
        <v>11.51</v>
      </c>
      <c r="AF22" s="38">
        <f t="shared" si="26"/>
        <v>19.920000000000002</v>
      </c>
      <c r="AG22" s="38">
        <f t="shared" si="27"/>
        <v>19.920000000000002</v>
      </c>
      <c r="AH22" s="38">
        <f t="shared" si="28"/>
        <v>19.920000000000002</v>
      </c>
      <c r="AI22" s="38">
        <f t="shared" si="29"/>
        <v>19.920000000000002</v>
      </c>
    </row>
    <row r="23" spans="1:46" x14ac:dyDescent="0.25">
      <c r="A23" s="181">
        <v>18</v>
      </c>
      <c r="B23" s="38">
        <f t="shared" si="4"/>
        <v>15.92</v>
      </c>
      <c r="C23" s="38">
        <f t="shared" si="5"/>
        <v>15.92</v>
      </c>
      <c r="D23" s="38">
        <f t="shared" si="6"/>
        <v>15.42</v>
      </c>
      <c r="E23" s="38">
        <f t="shared" si="7"/>
        <v>15.42</v>
      </c>
      <c r="F23" s="38">
        <f t="shared" si="8"/>
        <v>11.56</v>
      </c>
      <c r="G23" s="38">
        <f t="shared" si="9"/>
        <v>11.56</v>
      </c>
      <c r="H23" s="38">
        <f t="shared" si="10"/>
        <v>19.97</v>
      </c>
      <c r="I23" s="38">
        <f t="shared" si="11"/>
        <v>19.97</v>
      </c>
      <c r="J23" s="38">
        <f t="shared" si="12"/>
        <v>19.97</v>
      </c>
      <c r="K23" s="38">
        <f t="shared" si="13"/>
        <v>19.97</v>
      </c>
      <c r="L23" s="21"/>
      <c r="M23" s="181">
        <v>18</v>
      </c>
      <c r="N23" s="38">
        <f t="shared" si="14"/>
        <v>15.92</v>
      </c>
      <c r="O23" s="38">
        <f t="shared" si="15"/>
        <v>15.92</v>
      </c>
      <c r="P23" s="38">
        <f t="shared" si="16"/>
        <v>15.42</v>
      </c>
      <c r="Q23" s="38">
        <f t="shared" si="17"/>
        <v>15.42</v>
      </c>
      <c r="R23" s="38">
        <f t="shared" si="18"/>
        <v>11.56</v>
      </c>
      <c r="S23" s="38">
        <f t="shared" si="0"/>
        <v>11.56</v>
      </c>
      <c r="T23" s="38">
        <f t="shared" si="1"/>
        <v>19.97</v>
      </c>
      <c r="U23" s="38">
        <f t="shared" si="2"/>
        <v>19.97</v>
      </c>
      <c r="V23" s="38">
        <f t="shared" si="3"/>
        <v>19.97</v>
      </c>
      <c r="W23" s="38">
        <f t="shared" si="19"/>
        <v>19.97</v>
      </c>
      <c r="X23" s="21"/>
      <c r="Y23" s="181">
        <v>18</v>
      </c>
      <c r="Z23" s="38">
        <f t="shared" si="20"/>
        <v>15.92</v>
      </c>
      <c r="AA23" s="38">
        <f t="shared" si="21"/>
        <v>15.92</v>
      </c>
      <c r="AB23" s="38">
        <f t="shared" si="22"/>
        <v>15.42</v>
      </c>
      <c r="AC23" s="38">
        <f t="shared" si="23"/>
        <v>15.42</v>
      </c>
      <c r="AD23" s="38">
        <f t="shared" si="24"/>
        <v>11.56</v>
      </c>
      <c r="AE23" s="38">
        <f t="shared" si="25"/>
        <v>11.56</v>
      </c>
      <c r="AF23" s="38">
        <f t="shared" si="26"/>
        <v>19.97</v>
      </c>
      <c r="AG23" s="38">
        <f t="shared" si="27"/>
        <v>19.97</v>
      </c>
      <c r="AH23" s="38">
        <f t="shared" si="28"/>
        <v>19.97</v>
      </c>
      <c r="AI23" s="38">
        <f t="shared" si="29"/>
        <v>19.97</v>
      </c>
    </row>
    <row r="24" spans="1:46" x14ac:dyDescent="0.25">
      <c r="A24" s="181">
        <v>19</v>
      </c>
      <c r="B24" s="38">
        <f t="shared" si="4"/>
        <v>15.969999999999999</v>
      </c>
      <c r="C24" s="38">
        <f t="shared" si="5"/>
        <v>15.969999999999999</v>
      </c>
      <c r="D24" s="38">
        <f t="shared" si="6"/>
        <v>15.469999999999999</v>
      </c>
      <c r="E24" s="38">
        <f t="shared" si="7"/>
        <v>15.469999999999999</v>
      </c>
      <c r="F24" s="38">
        <f t="shared" si="8"/>
        <v>11.61</v>
      </c>
      <c r="G24" s="38">
        <f t="shared" si="9"/>
        <v>11.61</v>
      </c>
      <c r="H24" s="38">
        <f t="shared" si="10"/>
        <v>20.02</v>
      </c>
      <c r="I24" s="38">
        <f t="shared" si="11"/>
        <v>20.02</v>
      </c>
      <c r="J24" s="38">
        <f t="shared" si="12"/>
        <v>20.02</v>
      </c>
      <c r="K24" s="38">
        <f t="shared" si="13"/>
        <v>20.02</v>
      </c>
      <c r="L24" s="21"/>
      <c r="M24" s="181">
        <v>19</v>
      </c>
      <c r="N24" s="38">
        <f t="shared" si="14"/>
        <v>15.969999999999999</v>
      </c>
      <c r="O24" s="38">
        <f t="shared" si="15"/>
        <v>15.969999999999999</v>
      </c>
      <c r="P24" s="38">
        <f t="shared" si="16"/>
        <v>15.469999999999999</v>
      </c>
      <c r="Q24" s="38">
        <f t="shared" si="17"/>
        <v>15.469999999999999</v>
      </c>
      <c r="R24" s="38">
        <f t="shared" si="18"/>
        <v>11.61</v>
      </c>
      <c r="S24" s="38">
        <f t="shared" si="0"/>
        <v>11.61</v>
      </c>
      <c r="T24" s="38">
        <f t="shared" si="1"/>
        <v>20.02</v>
      </c>
      <c r="U24" s="38">
        <f t="shared" si="2"/>
        <v>20.02</v>
      </c>
      <c r="V24" s="38">
        <f t="shared" si="3"/>
        <v>20.02</v>
      </c>
      <c r="W24" s="38">
        <f t="shared" si="19"/>
        <v>20.02</v>
      </c>
      <c r="X24" s="21"/>
      <c r="Y24" s="181">
        <v>19</v>
      </c>
      <c r="Z24" s="38">
        <f t="shared" si="20"/>
        <v>15.969999999999999</v>
      </c>
      <c r="AA24" s="38">
        <f t="shared" si="21"/>
        <v>15.969999999999999</v>
      </c>
      <c r="AB24" s="38">
        <f t="shared" si="22"/>
        <v>15.469999999999999</v>
      </c>
      <c r="AC24" s="38">
        <f t="shared" si="23"/>
        <v>15.469999999999999</v>
      </c>
      <c r="AD24" s="38">
        <f t="shared" si="24"/>
        <v>11.61</v>
      </c>
      <c r="AE24" s="38">
        <f t="shared" si="25"/>
        <v>11.61</v>
      </c>
      <c r="AF24" s="38">
        <f t="shared" si="26"/>
        <v>20.02</v>
      </c>
      <c r="AG24" s="38">
        <f t="shared" si="27"/>
        <v>20.02</v>
      </c>
      <c r="AH24" s="38">
        <f t="shared" si="28"/>
        <v>20.02</v>
      </c>
      <c r="AI24" s="38">
        <f t="shared" si="29"/>
        <v>20.02</v>
      </c>
    </row>
    <row r="25" spans="1:46" x14ac:dyDescent="0.25">
      <c r="A25" s="181">
        <v>20</v>
      </c>
      <c r="B25" s="38">
        <f t="shared" si="4"/>
        <v>16.02</v>
      </c>
      <c r="C25" s="38">
        <f t="shared" si="5"/>
        <v>16.02</v>
      </c>
      <c r="D25" s="38">
        <f t="shared" si="6"/>
        <v>15.52</v>
      </c>
      <c r="E25" s="38">
        <f t="shared" si="7"/>
        <v>15.52</v>
      </c>
      <c r="F25" s="38">
        <f t="shared" si="8"/>
        <v>11.66</v>
      </c>
      <c r="G25" s="38">
        <f t="shared" si="9"/>
        <v>11.66</v>
      </c>
      <c r="H25" s="38">
        <f t="shared" si="10"/>
        <v>20.07</v>
      </c>
      <c r="I25" s="38">
        <f t="shared" si="11"/>
        <v>20.07</v>
      </c>
      <c r="J25" s="38">
        <f t="shared" si="12"/>
        <v>20.07</v>
      </c>
      <c r="K25" s="38">
        <f t="shared" si="13"/>
        <v>20.07</v>
      </c>
      <c r="L25" s="21"/>
      <c r="M25" s="181">
        <v>20</v>
      </c>
      <c r="N25" s="38">
        <f t="shared" si="14"/>
        <v>16.02</v>
      </c>
      <c r="O25" s="38">
        <f t="shared" si="15"/>
        <v>16.02</v>
      </c>
      <c r="P25" s="38">
        <f t="shared" si="16"/>
        <v>15.52</v>
      </c>
      <c r="Q25" s="38">
        <f t="shared" si="17"/>
        <v>15.52</v>
      </c>
      <c r="R25" s="38">
        <f t="shared" si="18"/>
        <v>11.66</v>
      </c>
      <c r="S25" s="38">
        <f t="shared" si="0"/>
        <v>11.66</v>
      </c>
      <c r="T25" s="38">
        <f t="shared" si="1"/>
        <v>20.07</v>
      </c>
      <c r="U25" s="38">
        <f t="shared" si="2"/>
        <v>20.07</v>
      </c>
      <c r="V25" s="38">
        <f t="shared" si="3"/>
        <v>20.07</v>
      </c>
      <c r="W25" s="38">
        <f t="shared" si="19"/>
        <v>20.07</v>
      </c>
      <c r="X25" s="21"/>
      <c r="Y25" s="181">
        <v>20</v>
      </c>
      <c r="Z25" s="38">
        <f t="shared" si="20"/>
        <v>16.02</v>
      </c>
      <c r="AA25" s="38">
        <f t="shared" si="21"/>
        <v>16.02</v>
      </c>
      <c r="AB25" s="38">
        <f t="shared" si="22"/>
        <v>15.52</v>
      </c>
      <c r="AC25" s="38">
        <f t="shared" si="23"/>
        <v>15.52</v>
      </c>
      <c r="AD25" s="38">
        <f t="shared" si="24"/>
        <v>11.66</v>
      </c>
      <c r="AE25" s="38">
        <f t="shared" si="25"/>
        <v>11.66</v>
      </c>
      <c r="AF25" s="38">
        <f t="shared" si="26"/>
        <v>20.07</v>
      </c>
      <c r="AG25" s="38">
        <f t="shared" si="27"/>
        <v>20.07</v>
      </c>
      <c r="AH25" s="38">
        <f t="shared" si="28"/>
        <v>20.07</v>
      </c>
      <c r="AI25" s="38">
        <f t="shared" si="29"/>
        <v>20.07</v>
      </c>
    </row>
    <row r="26" spans="1:46" x14ac:dyDescent="0.25">
      <c r="A26" s="181">
        <v>21</v>
      </c>
      <c r="B26" s="38">
        <f t="shared" si="4"/>
        <v>16.07</v>
      </c>
      <c r="C26" s="38">
        <f t="shared" si="5"/>
        <v>16.07</v>
      </c>
      <c r="D26" s="38">
        <f t="shared" si="6"/>
        <v>15.57</v>
      </c>
      <c r="E26" s="38">
        <f t="shared" si="7"/>
        <v>15.57</v>
      </c>
      <c r="F26" s="38">
        <f t="shared" si="8"/>
        <v>11.71</v>
      </c>
      <c r="G26" s="38">
        <f t="shared" si="9"/>
        <v>11.71</v>
      </c>
      <c r="H26" s="38">
        <f t="shared" si="10"/>
        <v>20.12</v>
      </c>
      <c r="I26" s="38">
        <f t="shared" si="11"/>
        <v>20.12</v>
      </c>
      <c r="J26" s="38">
        <f t="shared" si="12"/>
        <v>20.12</v>
      </c>
      <c r="K26" s="38">
        <f t="shared" si="13"/>
        <v>20.12</v>
      </c>
      <c r="L26" s="21"/>
      <c r="M26" s="181">
        <v>21</v>
      </c>
      <c r="N26" s="38">
        <f t="shared" si="14"/>
        <v>16.07</v>
      </c>
      <c r="O26" s="38">
        <f t="shared" si="15"/>
        <v>16.07</v>
      </c>
      <c r="P26" s="38">
        <f t="shared" si="16"/>
        <v>15.57</v>
      </c>
      <c r="Q26" s="38">
        <f t="shared" si="17"/>
        <v>15.57</v>
      </c>
      <c r="R26" s="38">
        <f t="shared" si="18"/>
        <v>11.71</v>
      </c>
      <c r="S26" s="38">
        <f t="shared" si="0"/>
        <v>11.71</v>
      </c>
      <c r="T26" s="38">
        <f t="shared" si="1"/>
        <v>20.12</v>
      </c>
      <c r="U26" s="38">
        <f t="shared" si="2"/>
        <v>20.12</v>
      </c>
      <c r="V26" s="38">
        <f t="shared" si="3"/>
        <v>20.12</v>
      </c>
      <c r="W26" s="38">
        <f t="shared" si="19"/>
        <v>20.12</v>
      </c>
      <c r="X26" s="21"/>
      <c r="Y26" s="181">
        <v>21</v>
      </c>
      <c r="Z26" s="38">
        <f t="shared" si="20"/>
        <v>16.07</v>
      </c>
      <c r="AA26" s="38">
        <f t="shared" si="21"/>
        <v>16.07</v>
      </c>
      <c r="AB26" s="38">
        <f t="shared" si="22"/>
        <v>15.57</v>
      </c>
      <c r="AC26" s="38">
        <f t="shared" si="23"/>
        <v>15.57</v>
      </c>
      <c r="AD26" s="38">
        <f t="shared" si="24"/>
        <v>11.71</v>
      </c>
      <c r="AE26" s="38">
        <f t="shared" si="25"/>
        <v>11.71</v>
      </c>
      <c r="AF26" s="38">
        <f t="shared" si="26"/>
        <v>20.12</v>
      </c>
      <c r="AG26" s="38">
        <f t="shared" si="27"/>
        <v>20.12</v>
      </c>
      <c r="AH26" s="38">
        <f t="shared" si="28"/>
        <v>20.12</v>
      </c>
      <c r="AI26" s="38">
        <f t="shared" si="29"/>
        <v>20.12</v>
      </c>
    </row>
    <row r="27" spans="1:46" x14ac:dyDescent="0.25">
      <c r="A27" s="181">
        <v>22</v>
      </c>
      <c r="B27" s="38">
        <f t="shared" si="4"/>
        <v>16.12</v>
      </c>
      <c r="C27" s="38">
        <f t="shared" si="5"/>
        <v>16.12</v>
      </c>
      <c r="D27" s="38">
        <f t="shared" si="6"/>
        <v>15.62</v>
      </c>
      <c r="E27" s="38">
        <f t="shared" si="7"/>
        <v>15.62</v>
      </c>
      <c r="F27" s="38">
        <f t="shared" si="8"/>
        <v>11.76</v>
      </c>
      <c r="G27" s="38">
        <f t="shared" si="9"/>
        <v>11.76</v>
      </c>
      <c r="H27" s="38">
        <f t="shared" si="10"/>
        <v>20.170000000000002</v>
      </c>
      <c r="I27" s="38">
        <f t="shared" si="11"/>
        <v>20.170000000000002</v>
      </c>
      <c r="J27" s="38">
        <f t="shared" si="12"/>
        <v>20.170000000000002</v>
      </c>
      <c r="K27" s="38">
        <f t="shared" si="13"/>
        <v>20.170000000000002</v>
      </c>
      <c r="L27" s="21"/>
      <c r="M27" s="181">
        <v>22</v>
      </c>
      <c r="N27" s="38">
        <f t="shared" si="14"/>
        <v>16.12</v>
      </c>
      <c r="O27" s="38">
        <f t="shared" si="15"/>
        <v>16.12</v>
      </c>
      <c r="P27" s="38">
        <f t="shared" si="16"/>
        <v>15.62</v>
      </c>
      <c r="Q27" s="38">
        <f t="shared" si="17"/>
        <v>15.62</v>
      </c>
      <c r="R27" s="38">
        <f t="shared" si="18"/>
        <v>11.76</v>
      </c>
      <c r="S27" s="38">
        <f t="shared" si="0"/>
        <v>11.76</v>
      </c>
      <c r="T27" s="38">
        <f t="shared" si="1"/>
        <v>20.170000000000002</v>
      </c>
      <c r="U27" s="38">
        <f t="shared" si="2"/>
        <v>20.170000000000002</v>
      </c>
      <c r="V27" s="38">
        <f t="shared" si="3"/>
        <v>20.170000000000002</v>
      </c>
      <c r="W27" s="38">
        <f t="shared" si="19"/>
        <v>20.170000000000002</v>
      </c>
      <c r="X27" s="21"/>
      <c r="Y27" s="181">
        <v>22</v>
      </c>
      <c r="Z27" s="38">
        <f t="shared" si="20"/>
        <v>16.12</v>
      </c>
      <c r="AA27" s="38">
        <f t="shared" si="21"/>
        <v>16.12</v>
      </c>
      <c r="AB27" s="38">
        <f t="shared" si="22"/>
        <v>15.62</v>
      </c>
      <c r="AC27" s="38">
        <f t="shared" si="23"/>
        <v>15.62</v>
      </c>
      <c r="AD27" s="38">
        <f t="shared" si="24"/>
        <v>11.76</v>
      </c>
      <c r="AE27" s="38">
        <f t="shared" si="25"/>
        <v>11.76</v>
      </c>
      <c r="AF27" s="38">
        <f t="shared" si="26"/>
        <v>20.170000000000002</v>
      </c>
      <c r="AG27" s="38">
        <f t="shared" si="27"/>
        <v>20.170000000000002</v>
      </c>
      <c r="AH27" s="38">
        <f t="shared" si="28"/>
        <v>20.170000000000002</v>
      </c>
      <c r="AI27" s="38">
        <f t="shared" si="29"/>
        <v>20.170000000000002</v>
      </c>
    </row>
    <row r="28" spans="1:46" x14ac:dyDescent="0.25">
      <c r="A28" s="181">
        <v>23</v>
      </c>
      <c r="B28" s="38">
        <f t="shared" si="4"/>
        <v>16.169999999999998</v>
      </c>
      <c r="C28" s="38">
        <f t="shared" si="5"/>
        <v>16.169999999999998</v>
      </c>
      <c r="D28" s="38">
        <f t="shared" si="6"/>
        <v>15.67</v>
      </c>
      <c r="E28" s="38">
        <f t="shared" si="7"/>
        <v>15.67</v>
      </c>
      <c r="F28" s="38">
        <f t="shared" si="8"/>
        <v>11.81</v>
      </c>
      <c r="G28" s="38">
        <f t="shared" si="9"/>
        <v>11.81</v>
      </c>
      <c r="H28" s="38">
        <f t="shared" si="10"/>
        <v>20.22</v>
      </c>
      <c r="I28" s="38">
        <f t="shared" si="11"/>
        <v>20.22</v>
      </c>
      <c r="J28" s="38">
        <f t="shared" si="12"/>
        <v>20.22</v>
      </c>
      <c r="K28" s="38">
        <f t="shared" si="13"/>
        <v>20.22</v>
      </c>
      <c r="L28" s="21"/>
      <c r="M28" s="181">
        <v>23</v>
      </c>
      <c r="N28" s="38">
        <f t="shared" si="14"/>
        <v>16.169999999999998</v>
      </c>
      <c r="O28" s="38">
        <f t="shared" si="15"/>
        <v>16.169999999999998</v>
      </c>
      <c r="P28" s="38">
        <f t="shared" si="16"/>
        <v>15.67</v>
      </c>
      <c r="Q28" s="38">
        <f t="shared" si="17"/>
        <v>15.67</v>
      </c>
      <c r="R28" s="38">
        <f t="shared" si="18"/>
        <v>11.81</v>
      </c>
      <c r="S28" s="38">
        <f t="shared" si="0"/>
        <v>11.81</v>
      </c>
      <c r="T28" s="38">
        <f t="shared" si="1"/>
        <v>20.22</v>
      </c>
      <c r="U28" s="38">
        <f t="shared" si="2"/>
        <v>20.22</v>
      </c>
      <c r="V28" s="38">
        <f t="shared" si="3"/>
        <v>20.22</v>
      </c>
      <c r="W28" s="38">
        <f t="shared" si="19"/>
        <v>20.22</v>
      </c>
      <c r="X28" s="21"/>
      <c r="Y28" s="181">
        <v>23</v>
      </c>
      <c r="Z28" s="38">
        <f t="shared" si="20"/>
        <v>16.169999999999998</v>
      </c>
      <c r="AA28" s="38">
        <f t="shared" si="21"/>
        <v>16.169999999999998</v>
      </c>
      <c r="AB28" s="38">
        <f t="shared" si="22"/>
        <v>15.67</v>
      </c>
      <c r="AC28" s="38">
        <f t="shared" si="23"/>
        <v>15.67</v>
      </c>
      <c r="AD28" s="38">
        <f t="shared" si="24"/>
        <v>11.81</v>
      </c>
      <c r="AE28" s="38">
        <f t="shared" si="25"/>
        <v>11.81</v>
      </c>
      <c r="AF28" s="38">
        <f t="shared" si="26"/>
        <v>20.22</v>
      </c>
      <c r="AG28" s="38">
        <f t="shared" si="27"/>
        <v>20.22</v>
      </c>
      <c r="AH28" s="38">
        <f t="shared" si="28"/>
        <v>20.22</v>
      </c>
      <c r="AI28" s="38">
        <f t="shared" si="29"/>
        <v>20.22</v>
      </c>
    </row>
    <row r="29" spans="1:46" x14ac:dyDescent="0.25">
      <c r="A29" s="181">
        <v>24</v>
      </c>
      <c r="B29" s="38">
        <f t="shared" si="4"/>
        <v>16.22</v>
      </c>
      <c r="C29" s="38">
        <f t="shared" si="5"/>
        <v>16.22</v>
      </c>
      <c r="D29" s="38">
        <f t="shared" si="6"/>
        <v>15.719999999999999</v>
      </c>
      <c r="E29" s="38">
        <f t="shared" si="7"/>
        <v>15.719999999999999</v>
      </c>
      <c r="F29" s="38">
        <f t="shared" si="8"/>
        <v>11.86</v>
      </c>
      <c r="G29" s="38">
        <f t="shared" si="9"/>
        <v>11.86</v>
      </c>
      <c r="H29" s="38">
        <f t="shared" si="10"/>
        <v>20.27</v>
      </c>
      <c r="I29" s="38">
        <f t="shared" si="11"/>
        <v>20.27</v>
      </c>
      <c r="J29" s="38">
        <f t="shared" si="12"/>
        <v>20.27</v>
      </c>
      <c r="K29" s="38">
        <f t="shared" si="13"/>
        <v>20.27</v>
      </c>
      <c r="L29" s="21"/>
      <c r="M29" s="181">
        <v>24</v>
      </c>
      <c r="N29" s="38">
        <f t="shared" si="14"/>
        <v>16.22</v>
      </c>
      <c r="O29" s="38">
        <f t="shared" si="15"/>
        <v>16.22</v>
      </c>
      <c r="P29" s="38">
        <f t="shared" si="16"/>
        <v>15.719999999999999</v>
      </c>
      <c r="Q29" s="38">
        <f t="shared" si="17"/>
        <v>15.719999999999999</v>
      </c>
      <c r="R29" s="38">
        <f t="shared" si="18"/>
        <v>11.86</v>
      </c>
      <c r="S29" s="38">
        <f t="shared" si="0"/>
        <v>11.86</v>
      </c>
      <c r="T29" s="38">
        <f t="shared" si="1"/>
        <v>20.27</v>
      </c>
      <c r="U29" s="38">
        <f t="shared" si="2"/>
        <v>20.27</v>
      </c>
      <c r="V29" s="38">
        <f t="shared" si="3"/>
        <v>20.27</v>
      </c>
      <c r="W29" s="38">
        <f t="shared" si="19"/>
        <v>20.27</v>
      </c>
      <c r="X29" s="21"/>
      <c r="Y29" s="181">
        <v>24</v>
      </c>
      <c r="Z29" s="38">
        <f t="shared" si="20"/>
        <v>16.22</v>
      </c>
      <c r="AA29" s="38">
        <f t="shared" si="21"/>
        <v>16.22</v>
      </c>
      <c r="AB29" s="38">
        <f t="shared" si="22"/>
        <v>15.719999999999999</v>
      </c>
      <c r="AC29" s="38">
        <f t="shared" si="23"/>
        <v>15.719999999999999</v>
      </c>
      <c r="AD29" s="38">
        <f t="shared" si="24"/>
        <v>11.86</v>
      </c>
      <c r="AE29" s="38">
        <f t="shared" si="25"/>
        <v>11.86</v>
      </c>
      <c r="AF29" s="38">
        <f t="shared" si="26"/>
        <v>20.27</v>
      </c>
      <c r="AG29" s="38">
        <f t="shared" si="27"/>
        <v>20.27</v>
      </c>
      <c r="AH29" s="38">
        <f t="shared" si="28"/>
        <v>20.27</v>
      </c>
      <c r="AI29" s="38">
        <f t="shared" si="29"/>
        <v>20.27</v>
      </c>
    </row>
    <row r="30" spans="1:46" x14ac:dyDescent="0.25">
      <c r="A30" s="181">
        <v>25</v>
      </c>
      <c r="B30" s="38">
        <f t="shared" si="4"/>
        <v>16.27</v>
      </c>
      <c r="C30" s="38">
        <f t="shared" si="5"/>
        <v>16.27</v>
      </c>
      <c r="D30" s="38">
        <f t="shared" si="6"/>
        <v>15.77</v>
      </c>
      <c r="E30" s="38">
        <f t="shared" si="7"/>
        <v>15.77</v>
      </c>
      <c r="F30" s="38">
        <f t="shared" si="8"/>
        <v>11.91</v>
      </c>
      <c r="G30" s="38">
        <f t="shared" si="9"/>
        <v>11.91</v>
      </c>
      <c r="H30" s="38">
        <f t="shared" si="10"/>
        <v>20.32</v>
      </c>
      <c r="I30" s="38">
        <f t="shared" si="11"/>
        <v>20.32</v>
      </c>
      <c r="J30" s="38">
        <f t="shared" si="12"/>
        <v>20.32</v>
      </c>
      <c r="K30" s="38">
        <f t="shared" si="13"/>
        <v>20.32</v>
      </c>
      <c r="L30" s="21"/>
      <c r="M30" s="181">
        <v>25</v>
      </c>
      <c r="N30" s="38">
        <f t="shared" si="14"/>
        <v>16.27</v>
      </c>
      <c r="O30" s="38">
        <f t="shared" si="15"/>
        <v>16.27</v>
      </c>
      <c r="P30" s="38">
        <f t="shared" si="16"/>
        <v>15.77</v>
      </c>
      <c r="Q30" s="38">
        <f t="shared" si="17"/>
        <v>15.77</v>
      </c>
      <c r="R30" s="38">
        <f t="shared" si="18"/>
        <v>11.91</v>
      </c>
      <c r="S30" s="38">
        <f t="shared" si="0"/>
        <v>11.91</v>
      </c>
      <c r="T30" s="38">
        <f t="shared" si="1"/>
        <v>20.32</v>
      </c>
      <c r="U30" s="38">
        <f t="shared" si="2"/>
        <v>20.32</v>
      </c>
      <c r="V30" s="38">
        <f t="shared" si="3"/>
        <v>20.32</v>
      </c>
      <c r="W30" s="38">
        <f t="shared" si="19"/>
        <v>20.32</v>
      </c>
      <c r="X30" s="21"/>
      <c r="Y30" s="181">
        <v>25</v>
      </c>
      <c r="Z30" s="38">
        <f t="shared" si="20"/>
        <v>16.27</v>
      </c>
      <c r="AA30" s="38">
        <f t="shared" si="21"/>
        <v>16.27</v>
      </c>
      <c r="AB30" s="38">
        <f t="shared" si="22"/>
        <v>15.77</v>
      </c>
      <c r="AC30" s="38">
        <f t="shared" si="23"/>
        <v>15.77</v>
      </c>
      <c r="AD30" s="38">
        <f t="shared" si="24"/>
        <v>11.91</v>
      </c>
      <c r="AE30" s="38">
        <f t="shared" si="25"/>
        <v>11.91</v>
      </c>
      <c r="AF30" s="38">
        <f t="shared" si="26"/>
        <v>20.32</v>
      </c>
      <c r="AG30" s="38">
        <f t="shared" si="27"/>
        <v>20.32</v>
      </c>
      <c r="AH30" s="38">
        <f t="shared" si="28"/>
        <v>20.32</v>
      </c>
      <c r="AI30" s="38">
        <f t="shared" si="29"/>
        <v>20.32</v>
      </c>
    </row>
    <row r="31" spans="1:46" x14ac:dyDescent="0.25">
      <c r="A31" s="82"/>
      <c r="B31" s="82"/>
      <c r="C31" s="82"/>
      <c r="D31" s="82"/>
      <c r="E31" s="82"/>
      <c r="F31" s="82"/>
      <c r="G31" s="82"/>
      <c r="H31" s="82"/>
      <c r="I31" s="82"/>
      <c r="J31" s="82"/>
      <c r="K31" s="82"/>
      <c r="L31" s="82"/>
      <c r="M31" s="82"/>
      <c r="N31" s="82"/>
      <c r="O31" s="82"/>
      <c r="P31" s="82"/>
      <c r="Q31" s="82"/>
      <c r="R31" s="179"/>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0"/>
    </row>
    <row r="32" spans="1:46" ht="48" customHeight="1" x14ac:dyDescent="0.3">
      <c r="A32" s="539"/>
      <c r="B32" s="539"/>
      <c r="C32" s="539"/>
      <c r="D32" s="539"/>
      <c r="E32" s="539"/>
      <c r="F32" s="539"/>
      <c r="G32" s="539"/>
      <c r="H32" s="539"/>
      <c r="I32" s="539"/>
      <c r="J32" s="539"/>
      <c r="K32" s="539"/>
      <c r="L32" s="539"/>
      <c r="M32" s="539"/>
      <c r="N32" s="539"/>
      <c r="O32" s="539"/>
      <c r="P32" s="539"/>
      <c r="Q32" s="539"/>
      <c r="R32" s="539"/>
      <c r="S32" s="539"/>
      <c r="T32" s="539"/>
      <c r="U32" s="539"/>
      <c r="V32" s="539"/>
      <c r="W32" s="539"/>
      <c r="X32" s="539"/>
      <c r="Y32" s="539"/>
      <c r="Z32" s="539"/>
      <c r="AA32" s="539"/>
      <c r="AB32" s="539"/>
      <c r="AC32" s="539"/>
      <c r="AD32" s="539"/>
      <c r="AE32" s="539"/>
      <c r="AF32" s="539"/>
      <c r="AG32" s="539"/>
      <c r="AH32" s="539"/>
      <c r="AI32" s="539"/>
      <c r="AJ32" s="539"/>
      <c r="AK32" s="539"/>
      <c r="AL32" s="539"/>
      <c r="AM32" s="539"/>
      <c r="AN32" s="539"/>
      <c r="AO32" s="539"/>
      <c r="AP32" s="539"/>
      <c r="AQ32" s="539"/>
      <c r="AR32" s="539"/>
      <c r="AS32" s="539"/>
      <c r="AT32" s="540"/>
    </row>
    <row r="33" spans="1:18" ht="6.75" customHeight="1" x14ac:dyDescent="0.25">
      <c r="A33" s="178"/>
      <c r="B33" s="178"/>
      <c r="C33" s="178"/>
      <c r="D33" s="178"/>
      <c r="E33" s="178"/>
      <c r="F33" s="178"/>
      <c r="G33" s="178"/>
      <c r="H33" s="178"/>
      <c r="I33" s="178"/>
      <c r="J33" s="178"/>
      <c r="K33" s="178"/>
      <c r="L33" s="178"/>
      <c r="M33" s="178"/>
      <c r="N33" s="178"/>
      <c r="O33" s="178"/>
      <c r="P33" s="178"/>
      <c r="Q33" s="178"/>
      <c r="R33" s="178"/>
    </row>
    <row r="35" spans="1:18" ht="12.75" customHeight="1" x14ac:dyDescent="0.25"/>
    <row r="63" ht="51" customHeight="1" x14ac:dyDescent="0.25"/>
    <row r="64" ht="6.75" customHeight="1" x14ac:dyDescent="0.25"/>
    <row r="65" ht="12.75" customHeight="1" x14ac:dyDescent="0.25"/>
    <row r="94" ht="45.75" customHeight="1" x14ac:dyDescent="0.25"/>
  </sheetData>
  <sheetProtection algorithmName="SHA-512" hashValue="3t8kLKTswCa5o3uudlV2tr9b0Od3wB2lQRbCsYC4l+GjkuB9MNF3ncIEofIRgiFBdDKb1efnZ/jVexN63w5jpA==" saltValue="SNqwQp+umxTUfRLQEBKKog==" spinCount="100000" sheet="1" objects="1" scenarios="1"/>
  <mergeCells count="2">
    <mergeCell ref="A32:AT32"/>
    <mergeCell ref="A1:AU3"/>
  </mergeCells>
  <pageMargins left="0.7" right="0.7" top="0.75" bottom="0.75" header="0.3" footer="0.3"/>
  <pageSetup scale="70" orientation="landscape" r:id="rId1"/>
  <headerFooter>
    <oddFooter>&amp;C&amp;A&amp;R&amp;N</oddFooter>
  </headerFooter>
  <rowBreaks count="1" manualBreakCount="1">
    <brk id="3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ea37a463-b99d-470c-8a85-4153a11441a9">Y2PHC7Y2YW5Y-1871477060-112</_dlc_DocId>
    <_dlc_DocIdUrl xmlns="ea37a463-b99d-470c-8a85-4153a11441a9">
      <Url>https://txhhs.sharepoint.com/sites/hhsc/fs/ra/ltss/_layouts/15/DocIdRedir.aspx?ID=Y2PHC7Y2YW5Y-1871477060-112</Url>
      <Description>Y2PHC7Y2YW5Y-1871477060-112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E0A3FAD2115574CB24F838172F758FB" ma:contentTypeVersion="1038" ma:contentTypeDescription="Create a new document." ma:contentTypeScope="" ma:versionID="ca4f6596aa3b23f5b298cbeff91fffa9">
  <xsd:schema xmlns:xsd="http://www.w3.org/2001/XMLSchema" xmlns:xs="http://www.w3.org/2001/XMLSchema" xmlns:p="http://schemas.microsoft.com/office/2006/metadata/properties" xmlns:ns2="ea37a463-b99d-470c-8a85-4153a11441a9" xmlns:ns3="892c8f4f-e050-4044-8793-43ed188ab5b7" targetNamespace="http://schemas.microsoft.com/office/2006/metadata/properties" ma:root="true" ma:fieldsID="14a584843b58c8a8d1345e2e9a5c11f0" ns2:_="" ns3:_="">
    <xsd:import namespace="ea37a463-b99d-470c-8a85-4153a11441a9"/>
    <xsd:import namespace="892c8f4f-e050-4044-8793-43ed188ab5b7"/>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7a463-b99d-470c-8a85-4153a11441a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2c8f4f-e050-4044-8793-43ed188ab5b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50885E7-C8F8-4631-9B4E-AF1812B02A12}">
  <ds:schemaRefs>
    <ds:schemaRef ds:uri="http://schemas.openxmlformats.org/package/2006/metadata/core-properties"/>
    <ds:schemaRef ds:uri="http://purl.org/dc/elements/1.1/"/>
    <ds:schemaRef ds:uri="http://schemas.microsoft.com/office/2006/metadata/properties"/>
    <ds:schemaRef ds:uri="http://purl.org/dc/terms/"/>
    <ds:schemaRef ds:uri="http://purl.org/dc/dcmitype/"/>
    <ds:schemaRef ds:uri="ea37a463-b99d-470c-8a85-4153a11441a9"/>
    <ds:schemaRef ds:uri="892c8f4f-e050-4044-8793-43ed188ab5b7"/>
    <ds:schemaRef ds:uri="http://schemas.microsoft.com/office/infopath/2007/PartnerControl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F7C13FF0-C024-4B5E-8370-604BF49D7265}">
  <ds:schemaRefs>
    <ds:schemaRef ds:uri="http://schemas.microsoft.com/sharepoint/v3/contenttype/forms"/>
  </ds:schemaRefs>
</ds:datastoreItem>
</file>

<file path=customXml/itemProps3.xml><?xml version="1.0" encoding="utf-8"?>
<ds:datastoreItem xmlns:ds="http://schemas.openxmlformats.org/officeDocument/2006/customXml" ds:itemID="{51C875DF-AB5D-4844-96BA-163DADE3FA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37a463-b99d-470c-8a85-4153a11441a9"/>
    <ds:schemaRef ds:uri="892c8f4f-e050-4044-8793-43ed188ab5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F4CB62B-D200-485C-AB9E-FCC2D27730F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Wages, Taxes and Workers' Comp</vt:lpstr>
      <vt:lpstr>Day Hab Worksheet</vt:lpstr>
      <vt:lpstr>SL RSS Worksheet</vt:lpstr>
      <vt:lpstr>Non-Day Hab Worksheet</vt:lpstr>
      <vt:lpstr>DH Rates</vt:lpstr>
      <vt:lpstr>SL RSS Rates</vt:lpstr>
      <vt:lpstr>NDH Rates</vt:lpstr>
      <vt:lpstr>'Non-Day Hab Worksheet'!Print_Area</vt:lpstr>
      <vt:lpstr>'SL RSS Worksheet'!Print_Area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2014-04-29T14:27:32Z</dcterms:created>
  <dcterms:modified xsi:type="dcterms:W3CDTF">2021-12-17T17:50:32Z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0x010100CE0A3FAD2115574CB24F838172F758FB</vt:lpwstr>
  </property>
  <property fmtid="{D5CDD505-2E9C-101B-9397-08002B2CF9AE}" pid="3" name="_dlc_DocIdItemGuid">
    <vt:lpwstr>572535ec-4ee2-4aaf-9e38-be835f1b478b</vt:lpwstr>
  </property>
  <property fmtid="{D5CDD505-2E9C-101B-9397-08002B2CF9AE}" pid="4" name="AuthorIds_UIVersion_2048">
    <vt:lpwstr>2206</vt:lpwstr>
  </property>
  <property fmtid="{D5CDD505-2E9C-101B-9397-08002B2CF9AE}" pid="5" name="AuthorIds_UIVersion_2560">
    <vt:lpwstr>2206</vt:lpwstr>
  </property>
</Properties>
</file>