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txhhs.sharepoint.com/sites/hhsc/fs/ra/ltss/CR_Worksheets/"/>
    </mc:Choice>
  </mc:AlternateContent>
  <xr:revisionPtr revIDLastSave="0" documentId="13_ncr:1_{2BFCF110-D0BF-458E-868A-87CF452FA895}" xr6:coauthVersionLast="45" xr6:coauthVersionMax="45" xr10:uidLastSave="{00000000-0000-0000-0000-000000000000}"/>
  <bookViews>
    <workbookView xWindow="44880" yWindow="-120" windowWidth="29040" windowHeight="15840" activeTab="7"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r:id="rId7"/>
    <sheet name="9-1-2014 Rates to current" sheetId="36590" r:id="rId8"/>
  </sheets>
  <definedNames>
    <definedName name="_GoBack" localSheetId="1">Spending!#REF!</definedName>
    <definedName name="_xlnm.Print_Area" localSheetId="3">Dietary!$A$1:$J$24</definedName>
    <definedName name="_xlnm.Print_Area" localSheetId="2">'Direct Care'!#REF!</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36594" l="1"/>
  <c r="H5" i="36589"/>
  <c r="C22" i="36591" l="1"/>
  <c r="H6" i="36589" l="1"/>
  <c r="A1" i="36591" l="1"/>
  <c r="F80" i="1192" l="1"/>
  <c r="C10" i="1192" l="1"/>
  <c r="E86" i="1192" s="1"/>
  <c r="C9" i="1192"/>
  <c r="E87" i="1192" s="1"/>
  <c r="D90" i="1192"/>
  <c r="F7" i="36593"/>
  <c r="J7" i="36593" s="1"/>
  <c r="J69" i="1"/>
  <c r="J68" i="1"/>
  <c r="J67" i="1"/>
  <c r="A1" i="36592"/>
  <c r="A1" i="36593"/>
  <c r="A1" i="36589"/>
  <c r="A1" i="1192"/>
  <c r="B14" i="36589"/>
  <c r="G14" i="36589"/>
  <c r="E67" i="1192"/>
  <c r="S22" i="1192"/>
  <c r="O22" i="1192"/>
  <c r="E28" i="1192"/>
  <c r="E26" i="1192"/>
  <c r="E50" i="1192"/>
  <c r="E27" i="1192"/>
  <c r="B8" i="1192"/>
  <c r="E68" i="1192"/>
  <c r="E70" i="1192"/>
  <c r="L25" i="1192"/>
  <c r="L26" i="1192"/>
  <c r="L27" i="1192"/>
  <c r="L28" i="1192"/>
  <c r="L29" i="1192"/>
  <c r="L30" i="1192"/>
  <c r="L31" i="1192"/>
  <c r="L32" i="1192"/>
  <c r="L33" i="1192"/>
  <c r="L34" i="1192"/>
  <c r="L35" i="1192"/>
  <c r="L36" i="1192"/>
  <c r="L37" i="1192"/>
  <c r="L38" i="1192"/>
  <c r="L39" i="1192"/>
  <c r="L40" i="1192"/>
  <c r="L41" i="1192"/>
  <c r="L42" i="1192"/>
  <c r="L43" i="1192"/>
  <c r="L44" i="1192"/>
  <c r="L45" i="1192"/>
  <c r="L46" i="1192"/>
  <c r="L47" i="1192"/>
  <c r="L48" i="1192"/>
  <c r="L49" i="1192"/>
  <c r="L50" i="1192"/>
  <c r="L51" i="1192"/>
  <c r="L52" i="1192"/>
  <c r="L53" i="1192"/>
  <c r="L54" i="1192"/>
  <c r="L55" i="1192"/>
  <c r="L56" i="1192"/>
  <c r="L57" i="1192"/>
  <c r="L58" i="1192"/>
  <c r="L59" i="1192"/>
  <c r="K25" i="1192"/>
  <c r="K26" i="1192"/>
  <c r="K27" i="1192"/>
  <c r="K28" i="1192"/>
  <c r="K29" i="1192"/>
  <c r="K30" i="1192"/>
  <c r="K31" i="1192"/>
  <c r="K32" i="1192"/>
  <c r="K33" i="1192"/>
  <c r="K34" i="1192"/>
  <c r="K35" i="1192"/>
  <c r="K36" i="1192"/>
  <c r="K37" i="1192"/>
  <c r="K38" i="1192"/>
  <c r="K39" i="1192"/>
  <c r="K40" i="1192"/>
  <c r="K41" i="1192"/>
  <c r="K42" i="1192"/>
  <c r="K43" i="1192"/>
  <c r="K44" i="1192"/>
  <c r="K45" i="1192"/>
  <c r="K46" i="1192"/>
  <c r="K47" i="1192"/>
  <c r="K48" i="1192"/>
  <c r="K49" i="1192"/>
  <c r="K50" i="1192"/>
  <c r="K51" i="1192"/>
  <c r="K52" i="1192"/>
  <c r="K53" i="1192"/>
  <c r="K54" i="1192"/>
  <c r="K55" i="1192"/>
  <c r="K56" i="1192"/>
  <c r="K57" i="1192"/>
  <c r="K58" i="1192"/>
  <c r="K59" i="1192"/>
  <c r="J25" i="1192"/>
  <c r="J26" i="1192"/>
  <c r="J27" i="1192"/>
  <c r="J28" i="1192"/>
  <c r="J29" i="1192"/>
  <c r="J30" i="1192"/>
  <c r="J31" i="1192"/>
  <c r="J32" i="1192"/>
  <c r="J33" i="1192"/>
  <c r="J34" i="1192"/>
  <c r="J35" i="1192"/>
  <c r="J36" i="1192"/>
  <c r="J37" i="1192"/>
  <c r="J38" i="1192"/>
  <c r="J39" i="1192"/>
  <c r="J40" i="1192"/>
  <c r="J41" i="1192"/>
  <c r="J42" i="1192"/>
  <c r="J43" i="1192"/>
  <c r="J44" i="1192"/>
  <c r="J45" i="1192"/>
  <c r="J46" i="1192"/>
  <c r="J47" i="1192"/>
  <c r="J48" i="1192"/>
  <c r="J49" i="1192"/>
  <c r="J50" i="1192"/>
  <c r="M50" i="1192" s="1"/>
  <c r="S50" i="1192" s="1"/>
  <c r="J51" i="1192"/>
  <c r="J52" i="1192"/>
  <c r="J53" i="1192"/>
  <c r="J54" i="1192"/>
  <c r="J55" i="1192"/>
  <c r="J56" i="1192"/>
  <c r="J57" i="1192"/>
  <c r="J58" i="1192"/>
  <c r="J59" i="1192"/>
  <c r="L24" i="1192"/>
  <c r="K24" i="1192"/>
  <c r="J24" i="1192"/>
  <c r="G25" i="1192"/>
  <c r="G26" i="1192"/>
  <c r="G27" i="1192"/>
  <c r="G28" i="1192"/>
  <c r="G29" i="1192"/>
  <c r="G30" i="1192"/>
  <c r="G31" i="1192"/>
  <c r="G32" i="1192"/>
  <c r="G33" i="1192"/>
  <c r="G34" i="1192"/>
  <c r="G35" i="1192"/>
  <c r="G36" i="1192"/>
  <c r="G37" i="1192"/>
  <c r="G38" i="1192"/>
  <c r="G39" i="1192"/>
  <c r="G40" i="1192"/>
  <c r="G41" i="1192"/>
  <c r="G42" i="1192"/>
  <c r="G43" i="1192"/>
  <c r="G44" i="1192"/>
  <c r="G45" i="1192"/>
  <c r="G46" i="1192"/>
  <c r="G47" i="1192"/>
  <c r="G48" i="1192"/>
  <c r="G49" i="1192"/>
  <c r="G50" i="1192"/>
  <c r="G51" i="1192"/>
  <c r="G52" i="1192"/>
  <c r="G53" i="1192"/>
  <c r="G54" i="1192"/>
  <c r="G55" i="1192"/>
  <c r="G56" i="1192"/>
  <c r="G57" i="1192"/>
  <c r="G58" i="1192"/>
  <c r="G59" i="1192"/>
  <c r="G24" i="1192"/>
  <c r="F25" i="1192"/>
  <c r="F26" i="1192"/>
  <c r="F27" i="1192"/>
  <c r="F28" i="1192"/>
  <c r="F29" i="1192"/>
  <c r="F30" i="1192"/>
  <c r="F31" i="1192"/>
  <c r="F32" i="1192"/>
  <c r="F33" i="1192"/>
  <c r="F34" i="1192"/>
  <c r="F35" i="1192"/>
  <c r="F36" i="1192"/>
  <c r="F37" i="1192"/>
  <c r="F38" i="1192"/>
  <c r="F39" i="1192"/>
  <c r="F40" i="1192"/>
  <c r="F41" i="1192"/>
  <c r="F42" i="1192"/>
  <c r="F43" i="1192"/>
  <c r="F44" i="1192"/>
  <c r="F45" i="1192"/>
  <c r="F46" i="1192"/>
  <c r="F47" i="1192"/>
  <c r="F48" i="1192"/>
  <c r="F49" i="1192"/>
  <c r="F50" i="1192"/>
  <c r="F51" i="1192"/>
  <c r="F52" i="1192"/>
  <c r="F53" i="1192"/>
  <c r="F54" i="1192"/>
  <c r="F55" i="1192"/>
  <c r="F56" i="1192"/>
  <c r="F57" i="1192"/>
  <c r="F58" i="1192"/>
  <c r="F59" i="1192"/>
  <c r="F24" i="1192"/>
  <c r="E29" i="1192"/>
  <c r="E30" i="1192"/>
  <c r="E31" i="1192"/>
  <c r="E32" i="1192"/>
  <c r="E33" i="1192"/>
  <c r="E34" i="1192"/>
  <c r="E35" i="1192"/>
  <c r="E36" i="1192"/>
  <c r="E37" i="1192"/>
  <c r="E38" i="1192"/>
  <c r="E39" i="1192"/>
  <c r="E40" i="1192"/>
  <c r="E41" i="1192"/>
  <c r="E42" i="1192"/>
  <c r="E43" i="1192"/>
  <c r="E44" i="1192"/>
  <c r="E45" i="1192"/>
  <c r="E46" i="1192"/>
  <c r="E47" i="1192"/>
  <c r="E48" i="1192"/>
  <c r="E49" i="1192"/>
  <c r="E51" i="1192"/>
  <c r="E52" i="1192"/>
  <c r="E53" i="1192"/>
  <c r="E54" i="1192"/>
  <c r="E55" i="1192"/>
  <c r="E56" i="1192"/>
  <c r="E57" i="1192"/>
  <c r="E58" i="1192"/>
  <c r="E59" i="1192"/>
  <c r="E25" i="1192"/>
  <c r="E24" i="1192"/>
  <c r="H75" i="1192"/>
  <c r="J75" i="1192" s="1"/>
  <c r="H74" i="1192"/>
  <c r="J74" i="1192" s="1"/>
  <c r="H73" i="1192"/>
  <c r="J73" i="1192" s="1"/>
  <c r="E75" i="1192"/>
  <c r="G75" i="1192" s="1"/>
  <c r="E74" i="1192"/>
  <c r="G74" i="1192" s="1"/>
  <c r="E73" i="1192"/>
  <c r="G73" i="1192" s="1"/>
  <c r="H74" i="1"/>
  <c r="H76" i="1" s="1"/>
  <c r="H78" i="1" s="1"/>
  <c r="C10" i="36592"/>
  <c r="F93" i="1192" s="1"/>
  <c r="N56" i="1"/>
  <c r="L60" i="1192" s="1"/>
  <c r="M56" i="1"/>
  <c r="L56" i="1"/>
  <c r="K56" i="1"/>
  <c r="H56" i="1"/>
  <c r="G60" i="1192" s="1"/>
  <c r="G56" i="1"/>
  <c r="F56" i="1"/>
  <c r="E56" i="1"/>
  <c r="O55" i="1"/>
  <c r="U55" i="1" s="1"/>
  <c r="O54" i="1"/>
  <c r="U54" i="1" s="1"/>
  <c r="O53" i="1"/>
  <c r="U53" i="1" s="1"/>
  <c r="O52" i="1"/>
  <c r="U52" i="1" s="1"/>
  <c r="O51" i="1"/>
  <c r="U51" i="1" s="1"/>
  <c r="O50" i="1"/>
  <c r="U50" i="1" s="1"/>
  <c r="O49" i="1"/>
  <c r="U49" i="1" s="1"/>
  <c r="O48" i="1"/>
  <c r="U48" i="1" s="1"/>
  <c r="O47" i="1"/>
  <c r="U47" i="1" s="1"/>
  <c r="O46" i="1"/>
  <c r="U46" i="1" s="1"/>
  <c r="O45" i="1"/>
  <c r="U45" i="1" s="1"/>
  <c r="O44" i="1"/>
  <c r="U44" i="1" s="1"/>
  <c r="O43" i="1"/>
  <c r="U43" i="1" s="1"/>
  <c r="O42" i="1"/>
  <c r="U42" i="1" s="1"/>
  <c r="O41" i="1"/>
  <c r="U41" i="1" s="1"/>
  <c r="O40" i="1"/>
  <c r="U40" i="1" s="1"/>
  <c r="O39" i="1"/>
  <c r="U39" i="1" s="1"/>
  <c r="O38" i="1"/>
  <c r="U38" i="1" s="1"/>
  <c r="O37" i="1"/>
  <c r="U37" i="1" s="1"/>
  <c r="O36" i="1"/>
  <c r="U36" i="1" s="1"/>
  <c r="O35" i="1"/>
  <c r="U35" i="1" s="1"/>
  <c r="O34" i="1"/>
  <c r="U34" i="1" s="1"/>
  <c r="O33" i="1"/>
  <c r="U33" i="1" s="1"/>
  <c r="O32" i="1"/>
  <c r="U32" i="1" s="1"/>
  <c r="O31" i="1"/>
  <c r="U31" i="1" s="1"/>
  <c r="O30" i="1"/>
  <c r="U30" i="1" s="1"/>
  <c r="O29" i="1"/>
  <c r="U29" i="1" s="1"/>
  <c r="O28" i="1"/>
  <c r="U28" i="1" s="1"/>
  <c r="O27" i="1"/>
  <c r="U27" i="1" s="1"/>
  <c r="O26" i="1"/>
  <c r="U26" i="1" s="1"/>
  <c r="O25" i="1"/>
  <c r="U25" i="1" s="1"/>
  <c r="O24" i="1"/>
  <c r="U24" i="1" s="1"/>
  <c r="O23" i="1"/>
  <c r="U23" i="1" s="1"/>
  <c r="O22" i="1"/>
  <c r="U22" i="1" s="1"/>
  <c r="O21" i="1"/>
  <c r="U21" i="1" s="1"/>
  <c r="O20" i="1"/>
  <c r="I55" i="1"/>
  <c r="S55" i="1" s="1"/>
  <c r="I54" i="1"/>
  <c r="S54" i="1" s="1"/>
  <c r="I53" i="1"/>
  <c r="S53" i="1" s="1"/>
  <c r="I52" i="1"/>
  <c r="S52" i="1" s="1"/>
  <c r="I51" i="1"/>
  <c r="S51" i="1" s="1"/>
  <c r="I50" i="1"/>
  <c r="S50" i="1" s="1"/>
  <c r="I49" i="1"/>
  <c r="S49" i="1" s="1"/>
  <c r="I48" i="1"/>
  <c r="S48" i="1" s="1"/>
  <c r="I47" i="1"/>
  <c r="S47" i="1" s="1"/>
  <c r="I46" i="1"/>
  <c r="S46" i="1" s="1"/>
  <c r="I45" i="1"/>
  <c r="S45" i="1" s="1"/>
  <c r="I44" i="1"/>
  <c r="S44" i="1" s="1"/>
  <c r="I43" i="1"/>
  <c r="S43" i="1" s="1"/>
  <c r="I42" i="1"/>
  <c r="S42" i="1" s="1"/>
  <c r="I41" i="1"/>
  <c r="S41" i="1" s="1"/>
  <c r="I40" i="1"/>
  <c r="S40" i="1" s="1"/>
  <c r="I39" i="1"/>
  <c r="S39" i="1" s="1"/>
  <c r="I38" i="1"/>
  <c r="S38" i="1" s="1"/>
  <c r="I37" i="1"/>
  <c r="S37" i="1" s="1"/>
  <c r="I36" i="1"/>
  <c r="S36" i="1" s="1"/>
  <c r="I35" i="1"/>
  <c r="S35" i="1" s="1"/>
  <c r="I34" i="1"/>
  <c r="S34" i="1" s="1"/>
  <c r="I33" i="1"/>
  <c r="S33" i="1" s="1"/>
  <c r="I32" i="1"/>
  <c r="S32" i="1" s="1"/>
  <c r="I31" i="1"/>
  <c r="S31" i="1" s="1"/>
  <c r="I30" i="1"/>
  <c r="S30" i="1" s="1"/>
  <c r="I29" i="1"/>
  <c r="S29" i="1" s="1"/>
  <c r="I28" i="1"/>
  <c r="S28" i="1" s="1"/>
  <c r="I27" i="1"/>
  <c r="S27" i="1" s="1"/>
  <c r="I26" i="1"/>
  <c r="S26" i="1" s="1"/>
  <c r="I25" i="1"/>
  <c r="S25" i="1" s="1"/>
  <c r="I24" i="1"/>
  <c r="S24" i="1" s="1"/>
  <c r="I23" i="1"/>
  <c r="I22" i="1"/>
  <c r="S22" i="1" s="1"/>
  <c r="I21" i="1"/>
  <c r="S21" i="1" s="1"/>
  <c r="I20" i="1"/>
  <c r="S20" i="1" s="1"/>
  <c r="J59" i="1"/>
  <c r="F74" i="1"/>
  <c r="F76" i="1" s="1"/>
  <c r="F78" i="1" s="1"/>
  <c r="G74" i="1"/>
  <c r="G76" i="1" s="1"/>
  <c r="G78" i="1" s="1"/>
  <c r="I74" i="1"/>
  <c r="I76" i="1" s="1"/>
  <c r="I78" i="1" s="1"/>
  <c r="C7" i="36589"/>
  <c r="C6" i="36589"/>
  <c r="C5" i="36589"/>
  <c r="W51" i="1" l="1"/>
  <c r="W50" i="1"/>
  <c r="W44" i="1"/>
  <c r="H54" i="1192"/>
  <c r="P54" i="1192" s="1"/>
  <c r="D45" i="36589" s="1"/>
  <c r="B32" i="36594" s="1"/>
  <c r="M25" i="1192"/>
  <c r="S25" i="1192" s="1"/>
  <c r="I16" i="36589" s="1"/>
  <c r="E3" i="36594" s="1"/>
  <c r="M41" i="1192"/>
  <c r="S41" i="1192" s="1"/>
  <c r="I32" i="36589" s="1"/>
  <c r="E19" i="36594" s="1"/>
  <c r="M33" i="1192"/>
  <c r="S33" i="1192" s="1"/>
  <c r="I24" i="36589" s="1"/>
  <c r="E11" i="36594" s="1"/>
  <c r="H30" i="1192"/>
  <c r="P30" i="1192" s="1"/>
  <c r="D21" i="36589" s="1"/>
  <c r="B8" i="36594" s="1"/>
  <c r="H50" i="1192"/>
  <c r="P50" i="1192" s="1"/>
  <c r="H32" i="1192"/>
  <c r="P32" i="1192" s="1"/>
  <c r="D23" i="36589" s="1"/>
  <c r="B10" i="36594" s="1"/>
  <c r="M51" i="1192"/>
  <c r="S51" i="1192" s="1"/>
  <c r="I42" i="36589" s="1"/>
  <c r="E29" i="36594" s="1"/>
  <c r="M40" i="1192"/>
  <c r="S40" i="1192" s="1"/>
  <c r="I31" i="36589" s="1"/>
  <c r="E18" i="36594" s="1"/>
  <c r="W30" i="1"/>
  <c r="W46" i="1"/>
  <c r="H36" i="1192"/>
  <c r="P36" i="1192" s="1"/>
  <c r="D27" i="36589" s="1"/>
  <c r="B14" i="36594" s="1"/>
  <c r="M46" i="1192"/>
  <c r="S46" i="1192" s="1"/>
  <c r="I37" i="36589" s="1"/>
  <c r="E24" i="36594" s="1"/>
  <c r="M38" i="1192"/>
  <c r="S38" i="1192" s="1"/>
  <c r="I29" i="36589" s="1"/>
  <c r="E16" i="36594" s="1"/>
  <c r="H59" i="1192"/>
  <c r="P59" i="1192" s="1"/>
  <c r="H35" i="1192"/>
  <c r="P35" i="1192" s="1"/>
  <c r="D26" i="36589" s="1"/>
  <c r="B13" i="36594" s="1"/>
  <c r="M53" i="1192"/>
  <c r="S53" i="1192" s="1"/>
  <c r="I44" i="36589" s="1"/>
  <c r="E31" i="36594" s="1"/>
  <c r="W54" i="1"/>
  <c r="M35" i="1192"/>
  <c r="S35" i="1192" s="1"/>
  <c r="I26" i="36589" s="1"/>
  <c r="E13" i="36594" s="1"/>
  <c r="M27" i="1192"/>
  <c r="S27" i="1192" s="1"/>
  <c r="I18" i="36589" s="1"/>
  <c r="E5" i="36594" s="1"/>
  <c r="H42" i="1192"/>
  <c r="P42" i="1192" s="1"/>
  <c r="D33" i="36589" s="1"/>
  <c r="B20" i="36594" s="1"/>
  <c r="H34" i="1192"/>
  <c r="P34" i="1192" s="1"/>
  <c r="D25" i="36589" s="1"/>
  <c r="B12" i="36594" s="1"/>
  <c r="W42" i="1"/>
  <c r="M34" i="1192"/>
  <c r="S34" i="1192" s="1"/>
  <c r="I25" i="36589" s="1"/>
  <c r="E12" i="36594" s="1"/>
  <c r="H48" i="1192"/>
  <c r="P48" i="1192" s="1"/>
  <c r="D39" i="36589" s="1"/>
  <c r="B26" i="36594" s="1"/>
  <c r="H40" i="1192"/>
  <c r="P40" i="1192" s="1"/>
  <c r="D31" i="36589" s="1"/>
  <c r="B18" i="36594" s="1"/>
  <c r="H28" i="1192"/>
  <c r="P28" i="1192" s="1"/>
  <c r="D19" i="36589" s="1"/>
  <c r="B6" i="36594" s="1"/>
  <c r="H45" i="1192"/>
  <c r="P45" i="1192" s="1"/>
  <c r="D36" i="36589" s="1"/>
  <c r="B23" i="36594" s="1"/>
  <c r="M55" i="1192"/>
  <c r="S55" i="1192" s="1"/>
  <c r="I46" i="36589" s="1"/>
  <c r="E33" i="36594" s="1"/>
  <c r="M52" i="1192"/>
  <c r="S52" i="1192" s="1"/>
  <c r="I43" i="36589" s="1"/>
  <c r="E30" i="36594" s="1"/>
  <c r="H51" i="1192"/>
  <c r="P51" i="1192" s="1"/>
  <c r="D42" i="36589" s="1"/>
  <c r="B29" i="36594" s="1"/>
  <c r="M24" i="1192"/>
  <c r="S24" i="1192" s="1"/>
  <c r="H26" i="1192"/>
  <c r="P26" i="1192" s="1"/>
  <c r="D17" i="36589" s="1"/>
  <c r="B4" i="36594" s="1"/>
  <c r="M57" i="1192"/>
  <c r="S57" i="1192" s="1"/>
  <c r="M32" i="1192"/>
  <c r="S32" i="1192" s="1"/>
  <c r="I23" i="36589" s="1"/>
  <c r="E10" i="36594" s="1"/>
  <c r="M59" i="1192"/>
  <c r="S59" i="1192" s="1"/>
  <c r="M44" i="1192"/>
  <c r="S44" i="1192" s="1"/>
  <c r="I35" i="36589" s="1"/>
  <c r="E22" i="36594" s="1"/>
  <c r="M47" i="1192"/>
  <c r="S47" i="1192" s="1"/>
  <c r="I38" i="36589" s="1"/>
  <c r="E25" i="36594" s="1"/>
  <c r="H56" i="1192"/>
  <c r="P56" i="1192" s="1"/>
  <c r="M42" i="1192"/>
  <c r="S42" i="1192" s="1"/>
  <c r="I33" i="36589" s="1"/>
  <c r="E20" i="36594" s="1"/>
  <c r="H47" i="1192"/>
  <c r="P47" i="1192" s="1"/>
  <c r="D38" i="36589" s="1"/>
  <c r="B25" i="36594" s="1"/>
  <c r="H33" i="1192"/>
  <c r="P33" i="1192" s="1"/>
  <c r="D24" i="36589" s="1"/>
  <c r="B11" i="36594" s="1"/>
  <c r="M43" i="1192"/>
  <c r="S43" i="1192" s="1"/>
  <c r="I34" i="36589" s="1"/>
  <c r="E21" i="36594" s="1"/>
  <c r="H24" i="1192"/>
  <c r="P24" i="1192" s="1"/>
  <c r="D15" i="36589" s="1"/>
  <c r="B2" i="36594" s="1"/>
  <c r="H31" i="1192"/>
  <c r="P31" i="1192" s="1"/>
  <c r="D22" i="36589" s="1"/>
  <c r="B9" i="36594" s="1"/>
  <c r="M54" i="1192"/>
  <c r="S54" i="1192" s="1"/>
  <c r="I45" i="36589" s="1"/>
  <c r="E32" i="36594" s="1"/>
  <c r="M56" i="1192"/>
  <c r="S56" i="1192" s="1"/>
  <c r="M48" i="1192"/>
  <c r="S48" i="1192" s="1"/>
  <c r="I39" i="36589" s="1"/>
  <c r="E26" i="36594" s="1"/>
  <c r="C11" i="36593"/>
  <c r="H49" i="1192"/>
  <c r="P49" i="1192" s="1"/>
  <c r="D40" i="36589" s="1"/>
  <c r="B27" i="36594" s="1"/>
  <c r="M30" i="1192"/>
  <c r="S30" i="1192" s="1"/>
  <c r="I21" i="36589" s="1"/>
  <c r="E8" i="36594" s="1"/>
  <c r="M39" i="1192"/>
  <c r="S39" i="1192" s="1"/>
  <c r="I30" i="36589" s="1"/>
  <c r="E17" i="36594" s="1"/>
  <c r="M45" i="1192"/>
  <c r="S45" i="1192" s="1"/>
  <c r="I36" i="36589" s="1"/>
  <c r="E23" i="36594" s="1"/>
  <c r="H43" i="1192"/>
  <c r="P43" i="1192" s="1"/>
  <c r="D34" i="36589" s="1"/>
  <c r="B21" i="36594" s="1"/>
  <c r="W34" i="1"/>
  <c r="H27" i="1192"/>
  <c r="P27" i="1192" s="1"/>
  <c r="D18" i="36589" s="1"/>
  <c r="B5" i="36594" s="1"/>
  <c r="W45" i="1"/>
  <c r="W32" i="1"/>
  <c r="W31" i="1"/>
  <c r="E65" i="1192"/>
  <c r="M31" i="1192"/>
  <c r="S31" i="1192" s="1"/>
  <c r="I22" i="36589" s="1"/>
  <c r="E9" i="36594" s="1"/>
  <c r="W22" i="1"/>
  <c r="M28" i="1192"/>
  <c r="S28" i="1192" s="1"/>
  <c r="I19" i="36589" s="1"/>
  <c r="E6" i="36594" s="1"/>
  <c r="O56" i="1"/>
  <c r="H61" i="1" s="1"/>
  <c r="H63" i="1" s="1"/>
  <c r="W25" i="1"/>
  <c r="H29" i="1192"/>
  <c r="P29" i="1192" s="1"/>
  <c r="D20" i="36589" s="1"/>
  <c r="B7" i="36594" s="1"/>
  <c r="H25" i="1192"/>
  <c r="P25" i="1192" s="1"/>
  <c r="D16" i="36589" s="1"/>
  <c r="B3" i="36594" s="1"/>
  <c r="W38" i="1"/>
  <c r="C13" i="36593"/>
  <c r="C14" i="36593"/>
  <c r="C12" i="36593"/>
  <c r="W26" i="1"/>
  <c r="H55" i="1192"/>
  <c r="P55" i="1192" s="1"/>
  <c r="D46" i="36589" s="1"/>
  <c r="B33" i="36594" s="1"/>
  <c r="W39" i="1"/>
  <c r="K60" i="1192"/>
  <c r="M37" i="1192"/>
  <c r="S37" i="1192" s="1"/>
  <c r="I28" i="36589" s="1"/>
  <c r="E15" i="36594" s="1"/>
  <c r="W41" i="1"/>
  <c r="W52" i="1"/>
  <c r="M58" i="1192"/>
  <c r="S58" i="1192" s="1"/>
  <c r="M36" i="1192"/>
  <c r="S36" i="1192" s="1"/>
  <c r="I27" i="36589" s="1"/>
  <c r="E14" i="36594" s="1"/>
  <c r="M29" i="1192"/>
  <c r="S29" i="1192" s="1"/>
  <c r="I20" i="36589" s="1"/>
  <c r="E7" i="36594" s="1"/>
  <c r="W33" i="1"/>
  <c r="H53" i="1192"/>
  <c r="P53" i="1192" s="1"/>
  <c r="D44" i="36589" s="1"/>
  <c r="B31" i="36594" s="1"/>
  <c r="H46" i="1192"/>
  <c r="P46" i="1192" s="1"/>
  <c r="D37" i="36589" s="1"/>
  <c r="B24" i="36594" s="1"/>
  <c r="H52" i="1192"/>
  <c r="P52" i="1192" s="1"/>
  <c r="D43" i="36589" s="1"/>
  <c r="B30" i="36594" s="1"/>
  <c r="M49" i="1192"/>
  <c r="S49" i="1192" s="1"/>
  <c r="I40" i="36589" s="1"/>
  <c r="E27" i="36594" s="1"/>
  <c r="H39" i="1192"/>
  <c r="P39" i="1192" s="1"/>
  <c r="D30" i="36589" s="1"/>
  <c r="B17" i="36594" s="1"/>
  <c r="I56" i="1"/>
  <c r="F61" i="1" s="1"/>
  <c r="F63" i="1" s="1"/>
  <c r="F65" i="1192"/>
  <c r="H58" i="1192"/>
  <c r="P58" i="1192" s="1"/>
  <c r="H38" i="1192"/>
  <c r="P38" i="1192" s="1"/>
  <c r="D29" i="36589" s="1"/>
  <c r="B16" i="36594" s="1"/>
  <c r="H57" i="1192"/>
  <c r="P57" i="1192" s="1"/>
  <c r="H41" i="1192"/>
  <c r="P41" i="1192" s="1"/>
  <c r="D32" i="36589" s="1"/>
  <c r="B19" i="36594" s="1"/>
  <c r="J60" i="1192"/>
  <c r="H44" i="1192"/>
  <c r="P44" i="1192" s="1"/>
  <c r="D35" i="36589" s="1"/>
  <c r="B22" i="36594" s="1"/>
  <c r="H37" i="1192"/>
  <c r="P37" i="1192" s="1"/>
  <c r="D28" i="36589" s="1"/>
  <c r="B15" i="36594" s="1"/>
  <c r="F60" i="1192"/>
  <c r="W21" i="1"/>
  <c r="W28" i="1"/>
  <c r="W53" i="1"/>
  <c r="D41" i="36589"/>
  <c r="B28" i="36594" s="1"/>
  <c r="W27" i="1"/>
  <c r="W35" i="1"/>
  <c r="W47" i="1"/>
  <c r="I47" i="36589"/>
  <c r="E34" i="36594" s="1"/>
  <c r="I41" i="36589"/>
  <c r="E28" i="36594" s="1"/>
  <c r="I80" i="1"/>
  <c r="W36" i="1"/>
  <c r="W48" i="1"/>
  <c r="W29" i="1"/>
  <c r="W24" i="1"/>
  <c r="W37" i="1"/>
  <c r="W49" i="1"/>
  <c r="W55" i="1"/>
  <c r="W40" i="1"/>
  <c r="W43" i="1"/>
  <c r="D47" i="36589"/>
  <c r="B34" i="36594" s="1"/>
  <c r="E90" i="1192"/>
  <c r="F90" i="1192" s="1"/>
  <c r="E60" i="1192"/>
  <c r="S23" i="1"/>
  <c r="W23" i="1" s="1"/>
  <c r="M26" i="1192"/>
  <c r="S26" i="1192" s="1"/>
  <c r="U20" i="1"/>
  <c r="U56" i="1" s="1"/>
  <c r="I15" i="36589" l="1"/>
  <c r="E2" i="36594" s="1"/>
  <c r="S60" i="1192"/>
  <c r="D13" i="1" s="1"/>
  <c r="E13" i="1" s="1"/>
  <c r="D48" i="36589"/>
  <c r="B35" i="36594" s="1"/>
  <c r="I48" i="36589"/>
  <c r="E35" i="36594" s="1"/>
  <c r="C24" i="36593"/>
  <c r="E93" i="1192" s="1"/>
  <c r="M60" i="1192"/>
  <c r="I81" i="1"/>
  <c r="I82" i="1" s="1"/>
  <c r="H60" i="1192"/>
  <c r="P60" i="1192"/>
  <c r="S56" i="1"/>
  <c r="W20" i="1"/>
  <c r="W56" i="1" s="1"/>
  <c r="D49" i="36589"/>
  <c r="I17" i="36589"/>
  <c r="E4" i="36594" s="1"/>
  <c r="E96" i="1192" l="1"/>
  <c r="E69" i="1192"/>
  <c r="G90" i="1192" s="1"/>
  <c r="H90" i="1192" s="1"/>
  <c r="I90" i="1192" s="1"/>
  <c r="G96" i="1192"/>
  <c r="I49" i="36589"/>
  <c r="X55" i="1"/>
  <c r="G60" i="1" s="1"/>
  <c r="H82" i="1192"/>
  <c r="D12" i="1"/>
  <c r="C14" i="1" s="1"/>
  <c r="D81" i="1192" l="1"/>
  <c r="D82" i="1192" s="1"/>
  <c r="E71" i="1192"/>
  <c r="E12" i="1"/>
  <c r="D14" i="1" s="1"/>
  <c r="I60" i="1"/>
  <c r="J60" i="1" s="1"/>
  <c r="J61" i="1" s="1"/>
  <c r="J63" i="1" s="1"/>
  <c r="C16" i="1" l="1"/>
  <c r="J64" i="1" s="1"/>
  <c r="E94" i="1192"/>
  <c r="E95" i="1192" s="1"/>
  <c r="F94" i="1192"/>
  <c r="F95" i="1192" s="1"/>
  <c r="G95" i="1192" s="1"/>
  <c r="J65" i="1" l="1"/>
  <c r="I84" i="1" s="1"/>
  <c r="I86" i="1"/>
  <c r="G100" i="1192"/>
  <c r="G101" i="1192"/>
  <c r="E101" i="1192"/>
  <c r="E100" i="1192"/>
  <c r="I85" i="1" l="1"/>
  <c r="I87" i="1" s="1"/>
  <c r="T19" i="1192" s="1"/>
  <c r="G102" i="1192"/>
  <c r="G103" i="1192" s="1"/>
  <c r="E102" i="1192"/>
  <c r="E103" i="1192" s="1"/>
  <c r="Q19" i="1192" l="1"/>
  <c r="P62" i="1192" s="1"/>
  <c r="S62" i="1192"/>
  <c r="T57" i="1192"/>
  <c r="U57" i="1192" s="1"/>
  <c r="T53" i="1192"/>
  <c r="U53" i="1192" s="1"/>
  <c r="T55" i="1192"/>
  <c r="U55" i="1192" s="1"/>
  <c r="T46" i="1192"/>
  <c r="U46" i="1192" s="1"/>
  <c r="T42" i="1192"/>
  <c r="U42" i="1192" s="1"/>
  <c r="T34" i="1192"/>
  <c r="U34" i="1192" s="1"/>
  <c r="T44" i="1192"/>
  <c r="U44" i="1192" s="1"/>
  <c r="T51" i="1192"/>
  <c r="U51" i="1192" s="1"/>
  <c r="T54" i="1192"/>
  <c r="U54" i="1192" s="1"/>
  <c r="T24" i="1192"/>
  <c r="U24" i="1192" s="1"/>
  <c r="T31" i="1192"/>
  <c r="U31" i="1192" s="1"/>
  <c r="T37" i="1192"/>
  <c r="U37" i="1192" s="1"/>
  <c r="T36" i="1192"/>
  <c r="U36" i="1192" s="1"/>
  <c r="T50" i="1192"/>
  <c r="U50" i="1192" s="1"/>
  <c r="T59" i="1192"/>
  <c r="U59" i="1192" s="1"/>
  <c r="T35" i="1192"/>
  <c r="U35" i="1192" s="1"/>
  <c r="T52" i="1192"/>
  <c r="U52" i="1192" s="1"/>
  <c r="T38" i="1192"/>
  <c r="U38" i="1192" s="1"/>
  <c r="T43" i="1192"/>
  <c r="U43" i="1192" s="1"/>
  <c r="T27" i="1192"/>
  <c r="U27" i="1192" s="1"/>
  <c r="T47" i="1192"/>
  <c r="U47" i="1192" s="1"/>
  <c r="T25" i="1192"/>
  <c r="U25" i="1192" s="1"/>
  <c r="T29" i="1192"/>
  <c r="U29" i="1192" s="1"/>
  <c r="T45" i="1192"/>
  <c r="U45" i="1192" s="1"/>
  <c r="T40" i="1192"/>
  <c r="U40" i="1192" s="1"/>
  <c r="T33" i="1192"/>
  <c r="U33" i="1192" s="1"/>
  <c r="T32" i="1192"/>
  <c r="U32" i="1192" s="1"/>
  <c r="T58" i="1192"/>
  <c r="U58" i="1192" s="1"/>
  <c r="T48" i="1192"/>
  <c r="U48" i="1192" s="1"/>
  <c r="T30" i="1192"/>
  <c r="U30" i="1192" s="1"/>
  <c r="T49" i="1192"/>
  <c r="U49" i="1192" s="1"/>
  <c r="T41" i="1192"/>
  <c r="U41" i="1192" s="1"/>
  <c r="T56" i="1192"/>
  <c r="U56" i="1192" s="1"/>
  <c r="T26" i="1192"/>
  <c r="U26" i="1192" s="1"/>
  <c r="T28" i="1192"/>
  <c r="U28" i="1192" s="1"/>
  <c r="T39" i="1192"/>
  <c r="U39" i="1192" s="1"/>
  <c r="Q23" i="1192"/>
  <c r="T23" i="1192"/>
  <c r="I103" i="1192"/>
  <c r="Q24" i="1192" l="1"/>
  <c r="R24" i="1192" s="1"/>
  <c r="Q58" i="1192"/>
  <c r="R58" i="1192" s="1"/>
  <c r="Q32" i="1192"/>
  <c r="R32" i="1192" s="1"/>
  <c r="Q53" i="1192"/>
  <c r="R53" i="1192" s="1"/>
  <c r="Q36" i="1192"/>
  <c r="R36" i="1192" s="1"/>
  <c r="Q40" i="1192"/>
  <c r="R40" i="1192" s="1"/>
  <c r="Q49" i="1192"/>
  <c r="R49" i="1192" s="1"/>
  <c r="Q41" i="1192"/>
  <c r="R41" i="1192" s="1"/>
  <c r="P63" i="1192"/>
  <c r="Q35" i="1192"/>
  <c r="R35" i="1192" s="1"/>
  <c r="Q48" i="1192"/>
  <c r="R48" i="1192" s="1"/>
  <c r="Q55" i="1192"/>
  <c r="R55" i="1192" s="1"/>
  <c r="Q50" i="1192"/>
  <c r="R50" i="1192" s="1"/>
  <c r="Q42" i="1192"/>
  <c r="R42" i="1192" s="1"/>
  <c r="Q46" i="1192"/>
  <c r="R46" i="1192" s="1"/>
  <c r="Q47" i="1192"/>
  <c r="R47" i="1192" s="1"/>
  <c r="Q30" i="1192"/>
  <c r="R30" i="1192" s="1"/>
  <c r="Q51" i="1192"/>
  <c r="R51" i="1192" s="1"/>
  <c r="Q28" i="1192"/>
  <c r="R28" i="1192" s="1"/>
  <c r="Q34" i="1192"/>
  <c r="R34" i="1192" s="1"/>
  <c r="Q45" i="1192"/>
  <c r="R45" i="1192" s="1"/>
  <c r="Q37" i="1192"/>
  <c r="R37" i="1192" s="1"/>
  <c r="Q57" i="1192"/>
  <c r="R57" i="1192" s="1"/>
  <c r="Q44" i="1192"/>
  <c r="R44" i="1192" s="1"/>
  <c r="Q26" i="1192"/>
  <c r="R26" i="1192" s="1"/>
  <c r="Q31" i="1192"/>
  <c r="R31" i="1192" s="1"/>
  <c r="Q29" i="1192"/>
  <c r="R29" i="1192" s="1"/>
  <c r="Q39" i="1192"/>
  <c r="R39" i="1192" s="1"/>
  <c r="Q38" i="1192"/>
  <c r="R38" i="1192" s="1"/>
  <c r="Q59" i="1192"/>
  <c r="R59" i="1192" s="1"/>
  <c r="Q33" i="1192"/>
  <c r="R33" i="1192" s="1"/>
  <c r="Q52" i="1192"/>
  <c r="R52" i="1192" s="1"/>
  <c r="Q43" i="1192"/>
  <c r="R43" i="1192" s="1"/>
  <c r="Q25" i="1192"/>
  <c r="R25" i="1192" s="1"/>
  <c r="Q54" i="1192"/>
  <c r="R54" i="1192" s="1"/>
  <c r="Q56" i="1192"/>
  <c r="R56" i="1192" s="1"/>
  <c r="Q27" i="1192"/>
  <c r="R27" i="1192" s="1"/>
  <c r="Q60" i="1192" l="1"/>
  <c r="R60" i="1192"/>
  <c r="U60" i="1192" s="1"/>
  <c r="U61" i="1192" s="1"/>
  <c r="U63" i="1192" s="1"/>
  <c r="I105" i="1192" l="1"/>
  <c r="F82" i="1192"/>
  <c r="J82" i="1192" s="1"/>
  <c r="I88" i="1" s="1"/>
  <c r="I91" i="1" s="1"/>
  <c r="H7" i="36589" s="1"/>
  <c r="G31" i="36589" l="1"/>
  <c r="F18" i="36594" s="1"/>
  <c r="G18" i="36594" s="1"/>
  <c r="H40" i="36589"/>
  <c r="H32" i="36589"/>
  <c r="H24" i="36589"/>
  <c r="H19" i="36589"/>
  <c r="H39" i="36589"/>
  <c r="H31" i="36589"/>
  <c r="H23" i="36589"/>
  <c r="H18" i="36589"/>
  <c r="H17" i="36589"/>
  <c r="H15" i="36589"/>
  <c r="H33" i="36589"/>
  <c r="H46" i="36589"/>
  <c r="H38" i="36589"/>
  <c r="H30" i="36589"/>
  <c r="H22" i="36589"/>
  <c r="H21" i="36589"/>
  <c r="H16" i="36589"/>
  <c r="H45" i="36589"/>
  <c r="H37" i="36589"/>
  <c r="H29" i="36589"/>
  <c r="G15" i="36589"/>
  <c r="H44" i="36589"/>
  <c r="H36" i="36589"/>
  <c r="H28" i="36589"/>
  <c r="H20" i="36589"/>
  <c r="H43" i="36589"/>
  <c r="H35" i="36589"/>
  <c r="H27" i="36589"/>
  <c r="H47" i="36589"/>
  <c r="H42" i="36589"/>
  <c r="H34" i="36589"/>
  <c r="H26" i="36589"/>
  <c r="H48" i="36589"/>
  <c r="H41" i="36589"/>
  <c r="H25" i="36589"/>
  <c r="B15" i="36589"/>
  <c r="C2" i="36594" s="1"/>
  <c r="D2" i="36594" s="1"/>
  <c r="C15" i="36589"/>
  <c r="G29" i="36589"/>
  <c r="C42" i="36589"/>
  <c r="B25" i="36589"/>
  <c r="G22" i="36589"/>
  <c r="C16" i="36589"/>
  <c r="B23" i="36589"/>
  <c r="C10" i="36594" s="1"/>
  <c r="D10" i="36594" s="1"/>
  <c r="C17" i="36589"/>
  <c r="B37" i="36589"/>
  <c r="C24" i="36594" s="1"/>
  <c r="D24" i="36594" s="1"/>
  <c r="B19" i="36589"/>
  <c r="C6" i="36594" s="1"/>
  <c r="D6" i="36594" s="1"/>
  <c r="B34" i="36589"/>
  <c r="C21" i="36594" s="1"/>
  <c r="D21" i="36594" s="1"/>
  <c r="C41" i="36589"/>
  <c r="C43" i="36589"/>
  <c r="G45" i="36589"/>
  <c r="G44" i="36589"/>
  <c r="G32" i="36589"/>
  <c r="B27" i="36589"/>
  <c r="C14" i="36594" s="1"/>
  <c r="D14" i="36594" s="1"/>
  <c r="C31" i="36589"/>
  <c r="B18" i="36589"/>
  <c r="C5" i="36594" s="1"/>
  <c r="D5" i="36594" s="1"/>
  <c r="C28" i="36589"/>
  <c r="C46" i="36589"/>
  <c r="B35" i="36589"/>
  <c r="C22" i="36594" s="1"/>
  <c r="D22" i="36594" s="1"/>
  <c r="B33" i="36589"/>
  <c r="C20" i="36594" s="1"/>
  <c r="D20" i="36594" s="1"/>
  <c r="C39" i="36589"/>
  <c r="C35" i="36589"/>
  <c r="G28" i="36589"/>
  <c r="F15" i="36594" s="1"/>
  <c r="G15" i="36594" s="1"/>
  <c r="B28" i="36589"/>
  <c r="C15" i="36594" s="1"/>
  <c r="D15" i="36594" s="1"/>
  <c r="C47" i="36589"/>
  <c r="B40" i="36589"/>
  <c r="C27" i="36594" s="1"/>
  <c r="D27" i="36594" s="1"/>
  <c r="B26" i="36589"/>
  <c r="C13" i="36594" s="1"/>
  <c r="D13" i="36594" s="1"/>
  <c r="C38" i="36589"/>
  <c r="G35" i="36589"/>
  <c r="F22" i="36594" s="1"/>
  <c r="G22" i="36594" s="1"/>
  <c r="G47" i="36589"/>
  <c r="F34" i="36594" s="1"/>
  <c r="G34" i="36594" s="1"/>
  <c r="G38" i="36589"/>
  <c r="F25" i="36594" s="1"/>
  <c r="G25" i="36594" s="1"/>
  <c r="G40" i="36589"/>
  <c r="F27" i="36594" s="1"/>
  <c r="G27" i="36594" s="1"/>
  <c r="G33" i="36589"/>
  <c r="F20" i="36594" s="1"/>
  <c r="G20" i="36594" s="1"/>
  <c r="B16" i="36589"/>
  <c r="C3" i="36594" s="1"/>
  <c r="D3" i="36594" s="1"/>
  <c r="G48" i="36589"/>
  <c r="F35" i="36594" s="1"/>
  <c r="G35" i="36594" s="1"/>
  <c r="B31" i="36589"/>
  <c r="C45" i="36589"/>
  <c r="C40" i="36589"/>
  <c r="C18" i="36589"/>
  <c r="G19" i="36589"/>
  <c r="F6" i="36594" s="1"/>
  <c r="G6" i="36594" s="1"/>
  <c r="C37" i="36589"/>
  <c r="G21" i="36589"/>
  <c r="F8" i="36594" s="1"/>
  <c r="G8" i="36594" s="1"/>
  <c r="G34" i="36589"/>
  <c r="F21" i="36594" s="1"/>
  <c r="G21" i="36594" s="1"/>
  <c r="B44" i="36589"/>
  <c r="C31" i="36594" s="1"/>
  <c r="D31" i="36594" s="1"/>
  <c r="C19" i="36589"/>
  <c r="G37" i="36589"/>
  <c r="F24" i="36594" s="1"/>
  <c r="G24" i="36594" s="1"/>
  <c r="B46" i="36589"/>
  <c r="C33" i="36594" s="1"/>
  <c r="D33" i="36594" s="1"/>
  <c r="G30" i="36589"/>
  <c r="F17" i="36594" s="1"/>
  <c r="G17" i="36594" s="1"/>
  <c r="G20" i="36589"/>
  <c r="F7" i="36594" s="1"/>
  <c r="G7" i="36594" s="1"/>
  <c r="C32" i="36589"/>
  <c r="G24" i="36589"/>
  <c r="G26" i="36589"/>
  <c r="C23" i="36589"/>
  <c r="C48" i="36589"/>
  <c r="G43" i="36589"/>
  <c r="F30" i="36594" s="1"/>
  <c r="G30" i="36594" s="1"/>
  <c r="B17" i="36589"/>
  <c r="C4" i="36594" s="1"/>
  <c r="D4" i="36594" s="1"/>
  <c r="C21" i="36589"/>
  <c r="B48" i="36589"/>
  <c r="C35" i="36594" s="1"/>
  <c r="D35" i="36594" s="1"/>
  <c r="G18" i="36589"/>
  <c r="F5" i="36594" s="1"/>
  <c r="G5" i="36594" s="1"/>
  <c r="G46" i="36589"/>
  <c r="C22" i="36589"/>
  <c r="K89" i="1"/>
  <c r="B29" i="36589"/>
  <c r="C16" i="36594" s="1"/>
  <c r="D16" i="36594" s="1"/>
  <c r="G17" i="36589"/>
  <c r="B20" i="36589"/>
  <c r="C7" i="36594" s="1"/>
  <c r="D7" i="36594" s="1"/>
  <c r="G39" i="36589"/>
  <c r="C20" i="36589"/>
  <c r="C36" i="36589"/>
  <c r="G16" i="36589"/>
  <c r="F3" i="36594" s="1"/>
  <c r="G3" i="36594" s="1"/>
  <c r="B32" i="36589"/>
  <c r="B22" i="36589"/>
  <c r="C9" i="36594" s="1"/>
  <c r="D9" i="36594" s="1"/>
  <c r="B24" i="36589"/>
  <c r="C33" i="36589"/>
  <c r="G42" i="36589"/>
  <c r="C34" i="36589"/>
  <c r="C26" i="36589"/>
  <c r="B36" i="36589"/>
  <c r="C29" i="36589"/>
  <c r="C44" i="36589"/>
  <c r="B30" i="36589"/>
  <c r="B21" i="36589"/>
  <c r="C8" i="36594" s="1"/>
  <c r="D8" i="36594" s="1"/>
  <c r="G41" i="36589"/>
  <c r="C30" i="36589"/>
  <c r="B45" i="36589"/>
  <c r="C32" i="36594" s="1"/>
  <c r="D32" i="36594" s="1"/>
  <c r="H14" i="36589"/>
  <c r="C24" i="36589"/>
  <c r="B47" i="36589"/>
  <c r="C34" i="36594" s="1"/>
  <c r="D34" i="36594" s="1"/>
  <c r="B43" i="36589"/>
  <c r="C30" i="36594" s="1"/>
  <c r="D30" i="36594" s="1"/>
  <c r="C25" i="36589"/>
  <c r="B41" i="36589"/>
  <c r="C28" i="36594" s="1"/>
  <c r="D28" i="36594" s="1"/>
  <c r="B38" i="36589"/>
  <c r="B39" i="36589"/>
  <c r="C14" i="36589"/>
  <c r="C27" i="36589"/>
  <c r="G27" i="36589"/>
  <c r="F14" i="36594" s="1"/>
  <c r="G14" i="36594" s="1"/>
  <c r="G25" i="36589"/>
  <c r="B42" i="36589"/>
  <c r="G23" i="36589"/>
  <c r="F10" i="36594" s="1"/>
  <c r="G10" i="36594" s="1"/>
  <c r="G36" i="36589"/>
  <c r="I106" i="1192"/>
  <c r="D17" i="1192" s="1"/>
  <c r="D16" i="1192"/>
  <c r="J45" i="36589" l="1"/>
  <c r="J17" i="36589"/>
  <c r="J15" i="36589"/>
  <c r="J32" i="36589"/>
  <c r="J41" i="36589"/>
  <c r="J25" i="36589"/>
  <c r="J24" i="36589"/>
  <c r="E39" i="36589"/>
  <c r="J46" i="36589"/>
  <c r="J26" i="36589"/>
  <c r="J31" i="36589"/>
  <c r="J42" i="36589"/>
  <c r="E38" i="36589"/>
  <c r="J44" i="36589"/>
  <c r="J29" i="36589"/>
  <c r="J39" i="36589"/>
  <c r="J36" i="36589"/>
  <c r="J22" i="36589"/>
  <c r="E34" i="36589"/>
  <c r="E18" i="36589"/>
  <c r="J40" i="36589"/>
  <c r="J48" i="36589"/>
  <c r="F9" i="36594"/>
  <c r="G9" i="36594" s="1"/>
  <c r="E21" i="36589"/>
  <c r="E22" i="36589"/>
  <c r="E16" i="36589"/>
  <c r="E35" i="36589"/>
  <c r="F26" i="36594"/>
  <c r="G26" i="36594" s="1"/>
  <c r="J21" i="36589"/>
  <c r="F32" i="36594"/>
  <c r="G32" i="36594" s="1"/>
  <c r="E32" i="36589"/>
  <c r="E29" i="36589"/>
  <c r="E48" i="36589"/>
  <c r="E19" i="36589"/>
  <c r="C19" i="36594"/>
  <c r="D19" i="36594" s="1"/>
  <c r="J28" i="36589"/>
  <c r="J38" i="36589"/>
  <c r="E40" i="36589"/>
  <c r="J37" i="36589"/>
  <c r="F16" i="36594"/>
  <c r="G16" i="36594" s="1"/>
  <c r="J43" i="36589"/>
  <c r="F29" i="36594"/>
  <c r="G29" i="36594" s="1"/>
  <c r="E42" i="36589"/>
  <c r="E46" i="36589"/>
  <c r="E36" i="36589"/>
  <c r="J35" i="36589"/>
  <c r="F28" i="36594"/>
  <c r="G28" i="36594" s="1"/>
  <c r="E31" i="36589"/>
  <c r="E20" i="36589"/>
  <c r="J20" i="36589"/>
  <c r="F12" i="36594"/>
  <c r="G12" i="36594" s="1"/>
  <c r="E24" i="36589"/>
  <c r="E26" i="36589"/>
  <c r="C29" i="36594"/>
  <c r="D29" i="36594" s="1"/>
  <c r="E33" i="36589"/>
  <c r="J16" i="36589"/>
  <c r="F13" i="36594"/>
  <c r="G13" i="36594" s="1"/>
  <c r="E27" i="36589"/>
  <c r="F19" i="36594"/>
  <c r="G19" i="36594" s="1"/>
  <c r="C18" i="36594"/>
  <c r="D18" i="36594" s="1"/>
  <c r="F33" i="36594"/>
  <c r="G33" i="36594" s="1"/>
  <c r="C26" i="36594"/>
  <c r="D26" i="36594" s="1"/>
  <c r="E23" i="36589"/>
  <c r="E45" i="36589"/>
  <c r="E37" i="36589"/>
  <c r="J34" i="36589"/>
  <c r="F11" i="36594"/>
  <c r="G11" i="36594" s="1"/>
  <c r="J18" i="36589"/>
  <c r="E28" i="36589"/>
  <c r="E15" i="36589"/>
  <c r="J23" i="36589"/>
  <c r="C23" i="36594"/>
  <c r="D23" i="36594" s="1"/>
  <c r="C25" i="36594"/>
  <c r="D25" i="36594" s="1"/>
  <c r="E30" i="36589"/>
  <c r="E41" i="36589"/>
  <c r="E25" i="36589"/>
  <c r="F31" i="36594"/>
  <c r="G31" i="36594" s="1"/>
  <c r="J47" i="36589"/>
  <c r="E43" i="36589"/>
  <c r="C17" i="36594"/>
  <c r="D17" i="36594" s="1"/>
  <c r="F2" i="36594"/>
  <c r="G2" i="36594" s="1"/>
  <c r="C12" i="36594"/>
  <c r="D12" i="36594" s="1"/>
  <c r="J33" i="36589"/>
  <c r="E17" i="36589"/>
  <c r="F4" i="36594"/>
  <c r="G4" i="36594" s="1"/>
  <c r="E44" i="36589"/>
  <c r="J27" i="36589"/>
  <c r="E47" i="36589"/>
  <c r="C11" i="36594"/>
  <c r="D11" i="36594" s="1"/>
  <c r="J30" i="36589"/>
  <c r="J19" i="36589"/>
  <c r="D56" i="36589"/>
  <c r="H10" i="36589" s="1"/>
  <c r="F23" i="36594"/>
  <c r="G23" i="36594" s="1"/>
  <c r="G36" i="36594" l="1"/>
  <c r="H9" i="36589"/>
  <c r="H11" i="36589" s="1"/>
  <c r="B41" i="36594" s="1"/>
  <c r="D36" i="36594"/>
  <c r="E49" i="36589"/>
  <c r="J49" i="36589"/>
  <c r="I36" i="36594" l="1"/>
  <c r="B39" i="36594" s="1"/>
</calcChain>
</file>

<file path=xl/sharedStrings.xml><?xml version="1.0" encoding="utf-8"?>
<sst xmlns="http://schemas.openxmlformats.org/spreadsheetml/2006/main" count="2039" uniqueCount="330">
  <si>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</si>
  <si>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</si>
  <si>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</si>
  <si>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</si>
  <si>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</si>
  <si>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</si>
  <si>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</si>
  <si>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</si>
  <si>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</si>
  <si>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</si>
  <si>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</si>
  <si>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</si>
  <si>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</si>
  <si>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</si>
  <si>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</si>
  <si>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</si>
  <si>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</si>
  <si>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</si>
  <si>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</si>
  <si>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</si>
  <si>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</si>
  <si>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</si>
  <si>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</si>
  <si>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</si>
  <si>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</si>
  <si>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</si>
  <si>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</si>
  <si>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</si>
  <si>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</si>
  <si>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</si>
  <si>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</si>
  <si>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</si>
  <si>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</si>
  <si>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</si>
  <si>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</si>
  <si>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</si>
  <si>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</si>
  <si>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</si>
  <si>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</si>
  <si>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</si>
  <si>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</si>
  <si>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</si>
  <si>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</si>
  <si>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</si>
  <si>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</si>
  <si>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</si>
  <si>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</si>
  <si>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</si>
  <si>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</si>
  <si>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</si>
  <si>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</si>
  <si>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</si>
  <si>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</si>
  <si>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</si>
  <si>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</si>
  <si>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</si>
  <si>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</si>
  <si>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</si>
  <si>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</si>
  <si>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</si>
  <si>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</si>
  <si>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</si>
  <si>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</si>
  <si>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</si>
  <si>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</si>
  <si>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</si>
  <si>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</si>
  <si>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</si>
  <si>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</si>
  <si>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</si>
  <si>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</si>
  <si>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</si>
  <si>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</si>
  <si>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</si>
  <si>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</si>
  <si>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</si>
  <si>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</si>
  <si>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</si>
  <si>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</si>
  <si>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</si>
  <si>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</si>
  <si>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</si>
  <si>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</si>
  <si>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</si>
  <si>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</si>
  <si>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</si>
  <si>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</si>
  <si>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</si>
  <si>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</si>
  <si>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</si>
  <si>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</si>
  <si>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</si>
  <si>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</si>
  <si>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</si>
  <si>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</si>
  <si>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</si>
  <si>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</si>
  <si>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</si>
  <si>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</si>
  <si>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</si>
  <si>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</si>
  <si>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</si>
  <si>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</si>
  <si>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</si>
  <si>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</si>
  <si>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</si>
  <si>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</si>
  <si>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</si>
  <si>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</si>
  <si>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</si>
  <si>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</si>
  <si>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</si>
  <si>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</si>
  <si>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</si>
  <si>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</si>
  <si>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</si>
  <si>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</si>
  <si>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</si>
  <si>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</si>
  <si>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</si>
  <si>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</si>
  <si>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</si>
  <si>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</si>
  <si>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</si>
  <si>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</si>
  <si>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</si>
  <si>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</si>
  <si>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</si>
  <si>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</si>
  <si>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</si>
  <si>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</si>
  <si>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</si>
  <si>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</si>
  <si>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</si>
  <si>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</si>
  <si>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</si>
  <si>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</si>
  <si>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</si>
  <si>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</si>
  <si>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</si>
  <si>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</si>
  <si>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</si>
  <si>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</si>
  <si>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</si>
  <si>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</si>
  <si>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</si>
  <si>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</si>
  <si>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</si>
  <si>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</si>
  <si>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</si>
  <si>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</si>
  <si>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</si>
  <si>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</si>
  <si>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</si>
  <si>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</si>
  <si>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</si>
  <si>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</si>
  <si>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</si>
  <si>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</si>
  <si>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</si>
  <si>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</si>
  <si>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</si>
  <si>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</si>
  <si>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</si>
  <si>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</si>
  <si>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</si>
  <si>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</si>
  <si>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</si>
  <si>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</si>
  <si>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</si>
  <si>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</si>
  <si>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</si>
  <si>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</si>
  <si>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</si>
  <si>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</si>
  <si>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</si>
  <si>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</si>
  <si>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</si>
  <si>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</si>
  <si>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</si>
  <si>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</si>
  <si>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</si>
  <si>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</si>
  <si>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</si>
  <si>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</si>
  <si>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</si>
  <si>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</si>
  <si>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</si>
  <si>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</si>
  <si>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</si>
  <si>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</si>
  <si>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</si>
  <si>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</si>
  <si>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</si>
  <si>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</si>
  <si>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</si>
  <si>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</si>
  <si>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</si>
  <si>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</si>
  <si>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</si>
  <si>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</si>
  <si>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</si>
  <si>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</si>
  <si>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</si>
  <si>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</si>
  <si>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</si>
  <si>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</si>
  <si>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</si>
  <si>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</si>
  <si>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</si>
  <si>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</si>
  <si>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</si>
  <si>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</si>
  <si>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</si>
  <si>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</si>
  <si>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</si>
  <si>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</si>
  <si>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</si>
  <si>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</si>
  <si>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</si>
  <si>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</si>
  <si>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</si>
  <si>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</si>
  <si>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</si>
  <si>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Lease - Nursing Facility Building(s) &amp; Building Equipment</t>
  </si>
  <si>
    <t>Depreciation - Buildings, Building Fixed Equipment, Land Improvements, Other Amortization</t>
  </si>
  <si>
    <t xml:space="preserve">Medicaid
Fee for
Service, Star Plus &amp; DualDemo Units </t>
  </si>
  <si>
    <r>
      <t xml:space="preserve">6c Column E &amp; </t>
    </r>
    <r>
      <rPr>
        <sz val="11"/>
        <rFont val="Times New Roman"/>
        <family val="1"/>
      </rPr>
      <t>I</t>
    </r>
    <r>
      <rPr>
        <sz val="10"/>
        <rFont val="Arial"/>
        <family val="2"/>
      </rPr>
      <t xml:space="preserve"> Medicaid Only</t>
    </r>
  </si>
  <si>
    <t>6c Column E Medicaid Only (bottom table, includes mileage)</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</si>
  <si>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</si>
  <si>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</si>
  <si>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</si>
  <si>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</si>
  <si>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</si>
  <si>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</si>
  <si>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</si>
  <si>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</si>
  <si>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</si>
  <si>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</si>
  <si>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</si>
  <si>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</si>
  <si>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</si>
  <si>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</si>
  <si>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</si>
  <si>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</si>
  <si>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</si>
  <si>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</si>
  <si>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</si>
  <si>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</si>
  <si>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</si>
  <si>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</si>
  <si>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</si>
  <si>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</si>
  <si>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</si>
  <si>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</si>
  <si>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</si>
  <si>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</si>
  <si>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</si>
  <si>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</si>
  <si>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</si>
  <si>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</si>
  <si>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</si>
  <si>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</si>
  <si>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</si>
  <si>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</si>
  <si>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</si>
  <si>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</si>
  <si>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</si>
  <si>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</si>
  <si>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</si>
  <si>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</si>
  <si>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</si>
  <si>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Step 7 FICA &amp; Medicare, Other Resident Care and Program Administration</t>
  </si>
  <si>
    <t>Step 7 State and Federal Unemployment, Other Resident Care and Program Admin</t>
  </si>
  <si>
    <t>Step 7 Workers Compensation Premiums,  Other Resident Care and Program Admin</t>
  </si>
  <si>
    <t>Step 7 Workers Compensation Paid Claims,  Other Resident Care and Program Admin</t>
  </si>
  <si>
    <t>8f Contracted Dietary Services, TOTAL</t>
  </si>
  <si>
    <t>8f Supplies/Other Dietary Costs, TOTAL</t>
  </si>
  <si>
    <t>Step 6d Column C Total</t>
  </si>
  <si>
    <t>TOTAL DIET WAGES&gt;&gt;&gt;&gt;</t>
  </si>
  <si>
    <t>Percent of ORCS</t>
  </si>
  <si>
    <t>STAIRS Step 7 Other Resident Care Staff</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</si>
  <si>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</si>
  <si>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</si>
  <si>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</si>
  <si>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</si>
  <si>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</si>
  <si>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</si>
  <si>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</si>
  <si>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</si>
  <si>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</si>
  <si>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6d Other Resident Care - Dietary, Column E (includes mileage)</t>
  </si>
  <si>
    <t>Enter Period 1 Enhancement level 1-27</t>
  </si>
  <si>
    <t>Enter Period 2 Enhancement level 1-27</t>
  </si>
  <si>
    <t>Period 1 Level Awarded:</t>
  </si>
  <si>
    <t>Period 2 Level Awarded:</t>
  </si>
  <si>
    <t xml:space="preserve">RECOUPMENT SUMMARY </t>
  </si>
  <si>
    <t>Reporting Period 1</t>
  </si>
  <si>
    <t>Reporting Period 2</t>
  </si>
  <si>
    <t>* TOTAL OTHER RESIDENT CARE STAFF &amp; ADMINISTRATIVE/OPERATIONS WAGES includes total wages from Step 6D, columns C &amp; G, and total wages from Step 6E, columns C &amp; G but minus Central Office Staff and Ancillary Indirect Medicaid-Only</t>
  </si>
  <si>
    <r>
      <t>TOTAL OTHER RESIDENT CARE STAFF &amp; ADMINISTRATIVE/OPERATIONS WAGES</t>
    </r>
    <r>
      <rPr>
        <b/>
        <sz val="14"/>
        <rFont val="Arial"/>
        <family val="2"/>
      </rPr>
      <t>*</t>
    </r>
    <r>
      <rPr>
        <sz val="10"/>
        <rFont val="Arial"/>
        <family val="2"/>
      </rPr>
      <t>&gt;&gt;&gt;</t>
    </r>
  </si>
  <si>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</si>
  <si>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</si>
  <si>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</si>
  <si>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Contracted Other Food Service Staff Column E &amp; I</t>
  </si>
  <si>
    <t>P1 UNITS</t>
  </si>
  <si>
    <t>P1 RATE</t>
  </si>
  <si>
    <t>P1 REVENUES</t>
  </si>
  <si>
    <t>P2 UNITS</t>
  </si>
  <si>
    <t>P2 RATE</t>
  </si>
  <si>
    <t>P2 REVENUES</t>
  </si>
  <si>
    <t>RUG TOTAL</t>
  </si>
  <si>
    <t>TOTAL REVENUES</t>
  </si>
  <si>
    <t>TOTAL RECOUPMENT</t>
  </si>
  <si>
    <t>PERCENTAGE OF REVENUE</t>
  </si>
  <si>
    <t>End date</t>
  </si>
  <si>
    <t>Begin</t>
  </si>
  <si>
    <t>Begin Date</t>
  </si>
  <si>
    <t xml:space="preserve">Spending recoupment if no floor </t>
  </si>
  <si>
    <t xml:space="preserve">FLOOR* </t>
  </si>
  <si>
    <t>*cannot recoup below base level</t>
  </si>
  <si>
    <t xml:space="preserve">MAXIMUM POSSIBLE SPENDING RECOUP = </t>
  </si>
  <si>
    <t>6c Column C &amp; G Medicaid Only</t>
  </si>
  <si>
    <t>Step 5b Sum of Medicare Residents, Other Residents, Dual-Eligible</t>
  </si>
  <si>
    <t>Step 8f Lease Building and Building Equipment, Program &amp; Operations TOTAL</t>
  </si>
  <si>
    <t>Step 8f Depreciation - Building &amp; Improvements, Building Fixed Equipment, Leasehold Improvements, Land Improvements, Other Amortization, Program &amp; Operations TOTAL</t>
  </si>
  <si>
    <t>Step 8f Interest - Mortgage, Program &amp; Operations TOTAL</t>
  </si>
  <si>
    <t xml:space="preserve">NURSING FACILITY - COST REPORT - 
RATE ENHANCEMENT OPTIONAL WORKSHEETS
</t>
  </si>
  <si>
    <t>RP 9/1/18 - 8/31/19</t>
  </si>
  <si>
    <t>RP 9/1/19 - 12/31/19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</si>
</sst>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 numFmtId="175" formatCode="0.0000%"/>
  </numFmts>
  <fonts count="27"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sz val="10"/>
      <color rgb="FF0033CC"/>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7">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5"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cellStyleXfs>
  <cellXfs count="551">
    <xf numFmtId="0" fontId="0" fillId="0" borderId="0" xfId="0"/>
    <xf numFmtId="0" fontId="0" fillId="0" borderId="0" xfId="0" applyBorder="1"/>
    <xf numFmtId="0" fontId="9" fillId="0" borderId="2" xfId="0" applyFont="1" applyBorder="1"/>
    <xf numFmtId="0" fontId="0" fillId="0" borderId="26" xfId="0" applyBorder="1" applyAlignment="1">
      <alignment horizontal="left"/>
    </xf>
    <xf numFmtId="0" fontId="0" fillId="0" borderId="26" xfId="0" applyBorder="1" applyAlignment="1">
      <alignment horizontal="right"/>
    </xf>
    <xf numFmtId="0" fontId="0" fillId="0" borderId="26" xfId="0" applyBorder="1"/>
    <xf numFmtId="14" fontId="0" fillId="0" borderId="26" xfId="0" applyNumberFormat="1" applyBorder="1" applyAlignment="1">
      <alignment horizontal="left"/>
    </xf>
    <xf numFmtId="0" fontId="0" fillId="0" borderId="26" xfId="0" applyFill="1" applyBorder="1"/>
    <xf numFmtId="0" fontId="0" fillId="0" borderId="26" xfId="0" applyFill="1" applyBorder="1" applyAlignment="1">
      <alignment horizontal="right"/>
    </xf>
    <xf numFmtId="0" fontId="0" fillId="0" borderId="26" xfId="0" applyFill="1" applyBorder="1" applyAlignment="1">
      <alignment horizontal="center"/>
    </xf>
    <xf numFmtId="0" fontId="0" fillId="0" borderId="26" xfId="0" applyFill="1" applyBorder="1" applyAlignment="1">
      <alignment horizontal="left"/>
    </xf>
    <xf numFmtId="0" fontId="0" fillId="0" borderId="26" xfId="0" applyBorder="1" applyAlignment="1">
      <alignment horizontal="center"/>
    </xf>
    <xf numFmtId="0" fontId="12" fillId="0" borderId="26" xfId="0" applyFont="1" applyBorder="1"/>
    <xf numFmtId="3" fontId="0" fillId="0" borderId="27" xfId="0" applyNumberFormat="1" applyBorder="1" applyAlignment="1">
      <alignment horizontal="right"/>
    </xf>
    <xf numFmtId="0" fontId="9" fillId="0" borderId="26" xfId="0" applyFont="1" applyBorder="1"/>
    <xf numFmtId="0" fontId="9" fillId="0" borderId="26" xfId="0" applyFont="1" applyBorder="1" applyAlignment="1">
      <alignment horizontal="left"/>
    </xf>
    <xf numFmtId="0" fontId="9" fillId="0" borderId="28" xfId="0" applyFont="1" applyBorder="1"/>
    <xf numFmtId="0" fontId="9" fillId="0" borderId="29" xfId="0" applyFont="1" applyBorder="1"/>
    <xf numFmtId="0" fontId="9" fillId="0" borderId="2" xfId="0" applyFont="1" applyBorder="1" applyAlignment="1">
      <alignment wrapText="1"/>
    </xf>
    <xf numFmtId="0" fontId="0" fillId="0" borderId="28"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0" fillId="0" borderId="28" xfId="0" applyBorder="1"/>
    <xf numFmtId="0" fontId="0" fillId="0" borderId="27"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6"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6" xfId="0" applyFont="1" applyFill="1" applyBorder="1"/>
    <xf numFmtId="0" fontId="0" fillId="0" borderId="29" xfId="0" applyBorder="1"/>
    <xf numFmtId="0" fontId="0" fillId="0" borderId="2" xfId="0" applyBorder="1"/>
    <xf numFmtId="0" fontId="8" fillId="0" borderId="0" xfId="0" applyFont="1" applyAlignment="1">
      <alignment horizontal="right"/>
    </xf>
    <xf numFmtId="0" fontId="8" fillId="0" borderId="2" xfId="0" applyFont="1" applyBorder="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6" xfId="0" applyFont="1" applyFill="1" applyBorder="1"/>
    <xf numFmtId="0" fontId="0" fillId="0" borderId="26" xfId="0" applyBorder="1" applyAlignment="1">
      <alignment wrapText="1"/>
    </xf>
    <xf numFmtId="0" fontId="9" fillId="0" borderId="30" xfId="0" applyFont="1" applyFill="1" applyBorder="1" applyAlignment="1">
      <alignment horizontal="left"/>
    </xf>
    <xf numFmtId="0" fontId="8" fillId="0" borderId="26" xfId="0" applyFont="1" applyBorder="1" applyAlignment="1">
      <alignment horizontal="left"/>
    </xf>
    <xf numFmtId="0" fontId="8" fillId="0" borderId="26" xfId="0" applyFont="1" applyFill="1" applyBorder="1" applyAlignment="1">
      <alignment horizontal="left"/>
    </xf>
    <xf numFmtId="0" fontId="9" fillId="0" borderId="30" xfId="0" applyFont="1" applyFill="1" applyBorder="1" applyAlignment="1">
      <alignment horizontal="right"/>
    </xf>
    <xf numFmtId="0" fontId="9" fillId="0" borderId="0" xfId="0" applyFont="1" applyFill="1" applyBorder="1" applyAlignment="1">
      <alignment horizontal="right"/>
    </xf>
    <xf numFmtId="0" fontId="9" fillId="0" borderId="26" xfId="18" applyFont="1" applyBorder="1" applyAlignment="1">
      <alignment horizontal="center" wrapText="1"/>
    </xf>
    <xf numFmtId="0" fontId="9" fillId="0" borderId="28" xfId="0" applyFont="1" applyBorder="1" applyAlignment="1">
      <alignment horizontal="center" wrapText="1"/>
    </xf>
    <xf numFmtId="0" fontId="9" fillId="0" borderId="26" xfId="19" applyFont="1" applyBorder="1" applyAlignment="1">
      <alignment horizontal="center" wrapText="1"/>
    </xf>
    <xf numFmtId="49" fontId="0" fillId="0" borderId="26" xfId="0" applyNumberFormat="1" applyFill="1" applyBorder="1" applyAlignment="1" applyProtection="1">
      <alignment horizontal="left"/>
    </xf>
    <xf numFmtId="0" fontId="0" fillId="0" borderId="26" xfId="0" applyBorder="1" applyAlignment="1" applyProtection="1">
      <alignment horizontal="right"/>
    </xf>
    <xf numFmtId="0" fontId="0" fillId="0" borderId="26" xfId="0" applyBorder="1" applyProtection="1"/>
    <xf numFmtId="0" fontId="9" fillId="0" borderId="26" xfId="0" applyFont="1" applyFill="1" applyBorder="1" applyProtection="1"/>
    <xf numFmtId="14" fontId="0" fillId="0" borderId="26" xfId="0" applyNumberFormat="1" applyBorder="1" applyAlignment="1" applyProtection="1">
      <alignment horizontal="left"/>
    </xf>
    <xf numFmtId="0" fontId="9" fillId="0" borderId="28" xfId="0" applyFont="1" applyFill="1" applyBorder="1" applyAlignment="1" applyProtection="1">
      <alignment horizontal="left"/>
    </xf>
    <xf numFmtId="0" fontId="9" fillId="0" borderId="26" xfId="21" applyFont="1" applyFill="1" applyBorder="1" applyAlignment="1" applyProtection="1">
      <alignment horizontal="right" wrapText="1"/>
    </xf>
    <xf numFmtId="0" fontId="9" fillId="0" borderId="28" xfId="0" applyFont="1" applyFill="1" applyBorder="1" applyAlignment="1" applyProtection="1">
      <alignment horizontal="right" wrapText="1"/>
    </xf>
    <xf numFmtId="0" fontId="9" fillId="0" borderId="28" xfId="0" applyFont="1" applyFill="1" applyBorder="1" applyProtection="1"/>
    <xf numFmtId="0" fontId="9" fillId="0" borderId="26" xfId="0" applyFont="1" applyFill="1" applyBorder="1" applyAlignment="1" applyProtection="1">
      <alignment horizontal="center"/>
    </xf>
    <xf numFmtId="0" fontId="9" fillId="0" borderId="30" xfId="0" applyFont="1" applyFill="1" applyBorder="1" applyAlignment="1" applyProtection="1">
      <alignment horizontal="left"/>
    </xf>
    <xf numFmtId="7" fontId="9" fillId="0" borderId="30" xfId="0" applyNumberFormat="1" applyFont="1" applyFill="1" applyBorder="1" applyAlignment="1" applyProtection="1">
      <alignment horizontal="right"/>
    </xf>
    <xf numFmtId="0" fontId="0" fillId="0" borderId="27" xfId="0" applyBorder="1" applyAlignment="1" applyProtection="1">
      <alignment horizontal="left"/>
    </xf>
    <xf numFmtId="0" fontId="0" fillId="0" borderId="27" xfId="0" applyBorder="1" applyAlignment="1" applyProtection="1">
      <alignment horizontal="right"/>
    </xf>
    <xf numFmtId="0" fontId="0" fillId="0" borderId="26" xfId="0" applyBorder="1" applyAlignment="1" applyProtection="1">
      <alignment horizontal="left"/>
    </xf>
    <xf numFmtId="0" fontId="9" fillId="0" borderId="30" xfId="0" applyFont="1" applyFill="1" applyBorder="1" applyAlignment="1" applyProtection="1">
      <alignment horizontal="right"/>
    </xf>
    <xf numFmtId="9" fontId="0" fillId="0" borderId="26" xfId="0" applyNumberFormat="1" applyBorder="1" applyProtection="1"/>
    <xf numFmtId="165" fontId="0" fillId="0" borderId="26" xfId="0" applyNumberFormat="1" applyBorder="1" applyProtection="1"/>
    <xf numFmtId="0" fontId="0" fillId="0" borderId="26" xfId="0" applyFill="1" applyBorder="1" applyProtection="1"/>
    <xf numFmtId="0" fontId="8" fillId="0" borderId="26" xfId="0" applyFont="1" applyFill="1" applyBorder="1" applyProtection="1"/>
    <xf numFmtId="0" fontId="9" fillId="0" borderId="26" xfId="0" applyFont="1" applyBorder="1" applyProtection="1"/>
    <xf numFmtId="0" fontId="0" fillId="0" borderId="26" xfId="0" applyBorder="1" applyAlignment="1" applyProtection="1">
      <alignment horizontal="center"/>
    </xf>
    <xf numFmtId="0" fontId="0" fillId="0" borderId="26" xfId="0" quotePrefix="1" applyBorder="1" applyAlignment="1" applyProtection="1">
      <alignment horizontal="center"/>
    </xf>
    <xf numFmtId="0" fontId="12" fillId="0" borderId="26" xfId="0" applyFont="1" applyBorder="1" applyProtection="1"/>
    <xf numFmtId="0" fontId="9" fillId="0" borderId="28" xfId="0" applyFont="1" applyBorder="1" applyProtection="1"/>
    <xf numFmtId="2" fontId="9" fillId="0" borderId="26" xfId="0" applyNumberFormat="1" applyFont="1" applyBorder="1" applyProtection="1"/>
    <xf numFmtId="171" fontId="0" fillId="0" borderId="26"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31"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9"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7" xfId="0" applyFont="1" applyBorder="1" applyProtection="1"/>
    <xf numFmtId="0" fontId="13" fillId="0" borderId="29" xfId="0" applyFont="1" applyBorder="1" applyProtection="1"/>
    <xf numFmtId="165" fontId="9" fillId="0" borderId="27" xfId="0" applyNumberFormat="1" applyFont="1" applyFill="1" applyBorder="1" applyProtection="1"/>
    <xf numFmtId="165" fontId="9" fillId="0" borderId="26" xfId="0" applyNumberFormat="1" applyFont="1" applyFill="1" applyBorder="1" applyProtection="1"/>
    <xf numFmtId="165" fontId="9" fillId="0" borderId="26" xfId="0" applyNumberFormat="1" applyFont="1" applyFill="1" applyBorder="1" applyAlignment="1" applyProtection="1">
      <alignment horizontal="right"/>
    </xf>
    <xf numFmtId="0" fontId="23" fillId="0" borderId="26" xfId="0" applyFont="1" applyBorder="1" applyProtection="1"/>
    <xf numFmtId="165" fontId="9" fillId="0" borderId="2" xfId="0" applyNumberFormat="1" applyFont="1" applyBorder="1" applyAlignment="1" applyProtection="1">
      <alignment horizontal="right"/>
    </xf>
    <xf numFmtId="0" fontId="9" fillId="0" borderId="32" xfId="0" applyFont="1" applyBorder="1" applyProtection="1"/>
    <xf numFmtId="0" fontId="23" fillId="0" borderId="26" xfId="0" applyFont="1" applyFill="1" applyBorder="1" applyProtection="1"/>
    <xf numFmtId="0" fontId="0" fillId="0" borderId="31" xfId="0" applyBorder="1"/>
    <xf numFmtId="0" fontId="0" fillId="0" borderId="27" xfId="0" applyBorder="1"/>
    <xf numFmtId="0" fontId="16" fillId="0" borderId="26" xfId="0" applyFont="1" applyBorder="1"/>
    <xf numFmtId="0" fontId="23" fillId="0" borderId="28" xfId="0" applyFont="1" applyBorder="1"/>
    <xf numFmtId="0" fontId="9" fillId="0" borderId="30" xfId="0" applyFont="1" applyFill="1" applyBorder="1" applyAlignment="1">
      <alignment horizontal="center" wrapText="1"/>
    </xf>
    <xf numFmtId="0" fontId="0" fillId="0" borderId="28" xfId="0" applyBorder="1" applyAlignment="1">
      <alignment horizontal="right"/>
    </xf>
    <xf numFmtId="0" fontId="0" fillId="0" borderId="31" xfId="0" applyBorder="1" applyAlignment="1">
      <alignment horizontal="left"/>
    </xf>
    <xf numFmtId="0" fontId="0" fillId="0" borderId="31" xfId="0" applyBorder="1" applyAlignment="1">
      <alignment horizontal="right"/>
    </xf>
    <xf numFmtId="0" fontId="9" fillId="0" borderId="31" xfId="0" applyFont="1" applyFill="1" applyBorder="1"/>
    <xf numFmtId="0" fontId="0" fillId="0" borderId="31" xfId="0" applyFill="1" applyBorder="1" applyAlignment="1">
      <alignment horizontal="right"/>
    </xf>
    <xf numFmtId="0" fontId="0" fillId="0" borderId="29" xfId="0" applyBorder="1" applyAlignment="1">
      <alignment horizontal="left"/>
    </xf>
    <xf numFmtId="0" fontId="9" fillId="0" borderId="32" xfId="0" applyFont="1" applyFill="1" applyBorder="1"/>
    <xf numFmtId="0" fontId="9" fillId="0" borderId="33" xfId="0" applyFont="1" applyFill="1" applyBorder="1" applyAlignment="1">
      <alignment horizontal="right"/>
    </xf>
    <xf numFmtId="0" fontId="9" fillId="0" borderId="34" xfId="0" applyFont="1" applyFill="1" applyBorder="1"/>
    <xf numFmtId="0" fontId="23" fillId="0" borderId="29" xfId="0" applyFont="1" applyBorder="1"/>
    <xf numFmtId="0" fontId="9" fillId="0" borderId="35" xfId="0" applyFont="1" applyFill="1" applyBorder="1" applyAlignment="1">
      <alignment horizontal="right"/>
    </xf>
    <xf numFmtId="0" fontId="8" fillId="0" borderId="36" xfId="0" applyFont="1" applyFill="1" applyBorder="1"/>
    <xf numFmtId="0" fontId="8" fillId="0" borderId="37" xfId="0" applyFont="1" applyFill="1" applyBorder="1"/>
    <xf numFmtId="0" fontId="8" fillId="0" borderId="38" xfId="0" applyFont="1" applyFill="1" applyBorder="1"/>
    <xf numFmtId="0" fontId="9" fillId="0" borderId="39" xfId="0" applyFont="1" applyFill="1" applyBorder="1" applyAlignment="1">
      <alignment horizontal="right"/>
    </xf>
    <xf numFmtId="0" fontId="23" fillId="0" borderId="39" xfId="0" applyFont="1" applyFill="1" applyBorder="1"/>
    <xf numFmtId="0" fontId="23" fillId="0" borderId="39" xfId="0" applyFont="1" applyBorder="1"/>
    <xf numFmtId="0" fontId="9" fillId="0" borderId="40" xfId="0" applyFont="1" applyFill="1" applyBorder="1"/>
    <xf numFmtId="0" fontId="8" fillId="0" borderId="41" xfId="0" applyFont="1" applyFill="1" applyBorder="1"/>
    <xf numFmtId="0" fontId="9" fillId="0" borderId="27" xfId="0" applyFont="1" applyFill="1" applyBorder="1"/>
    <xf numFmtId="0" fontId="23" fillId="0" borderId="27" xfId="0" applyFont="1" applyBorder="1"/>
    <xf numFmtId="0" fontId="9" fillId="0" borderId="32" xfId="0" applyFont="1" applyFill="1" applyBorder="1" applyProtection="1"/>
    <xf numFmtId="0" fontId="9" fillId="0" borderId="42" xfId="0" applyFont="1" applyFill="1" applyBorder="1" applyAlignment="1" applyProtection="1">
      <alignment horizontal="left"/>
    </xf>
    <xf numFmtId="0" fontId="9" fillId="0" borderId="29" xfId="0" applyFont="1" applyFill="1" applyBorder="1" applyProtection="1"/>
    <xf numFmtId="0" fontId="0" fillId="0" borderId="28" xfId="0" applyBorder="1" applyProtection="1"/>
    <xf numFmtId="0" fontId="0" fillId="0" borderId="27" xfId="0" applyBorder="1" applyProtection="1"/>
    <xf numFmtId="14" fontId="7" fillId="0" borderId="43" xfId="0" applyNumberFormat="1" applyFont="1" applyFill="1" applyBorder="1" applyAlignment="1" applyProtection="1">
      <alignment horizontal="left"/>
    </xf>
    <xf numFmtId="14" fontId="9" fillId="0" borderId="44" xfId="0" applyNumberFormat="1" applyFont="1" applyFill="1" applyBorder="1" applyAlignment="1" applyProtection="1">
      <alignment horizontal="center"/>
    </xf>
    <xf numFmtId="14" fontId="9" fillId="0" borderId="45" xfId="0" applyNumberFormat="1" applyFont="1" applyFill="1" applyBorder="1" applyAlignment="1" applyProtection="1">
      <alignment horizontal="center"/>
    </xf>
    <xf numFmtId="14" fontId="9" fillId="0" borderId="46" xfId="0" applyNumberFormat="1" applyFont="1" applyFill="1" applyBorder="1" applyAlignment="1" applyProtection="1">
      <alignment horizontal="center"/>
    </xf>
    <xf numFmtId="0" fontId="9" fillId="0" borderId="47"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9" xfId="0" applyFont="1" applyFill="1" applyBorder="1" applyProtection="1"/>
    <xf numFmtId="1" fontId="9" fillId="0" borderId="39" xfId="0" applyNumberFormat="1" applyFont="1" applyFill="1" applyBorder="1" applyProtection="1"/>
    <xf numFmtId="0" fontId="0" fillId="0" borderId="29" xfId="0" applyBorder="1" applyProtection="1"/>
    <xf numFmtId="14" fontId="7" fillId="0" borderId="8" xfId="0" applyNumberFormat="1" applyFont="1" applyFill="1" applyBorder="1" applyAlignment="1" applyProtection="1"/>
    <xf numFmtId="0" fontId="9" fillId="0" borderId="44" xfId="0" applyFont="1" applyFill="1" applyBorder="1" applyProtection="1"/>
    <xf numFmtId="0" fontId="9" fillId="0" borderId="48" xfId="0" applyFont="1" applyFill="1" applyBorder="1" applyProtection="1"/>
    <xf numFmtId="0" fontId="0" fillId="0" borderId="39" xfId="0" applyBorder="1" applyProtection="1"/>
    <xf numFmtId="0" fontId="9" fillId="0" borderId="29" xfId="21" applyFont="1" applyFill="1" applyBorder="1" applyAlignment="1" applyProtection="1">
      <alignment horizontal="right" wrapText="1"/>
    </xf>
    <xf numFmtId="0" fontId="23" fillId="0" borderId="28" xfId="0" applyFont="1" applyBorder="1" applyProtection="1"/>
    <xf numFmtId="0" fontId="9" fillId="0" borderId="27" xfId="0" applyFont="1" applyFill="1" applyBorder="1" applyProtection="1"/>
    <xf numFmtId="7" fontId="9" fillId="0" borderId="0" xfId="20" applyNumberFormat="1" applyFont="1" applyFill="1" applyBorder="1" applyProtection="1"/>
    <xf numFmtId="0" fontId="23" fillId="0" borderId="29" xfId="0" applyFont="1" applyBorder="1" applyProtection="1"/>
    <xf numFmtId="0" fontId="9" fillId="0" borderId="0" xfId="0" applyFont="1" applyBorder="1" applyProtection="1"/>
    <xf numFmtId="7" fontId="9" fillId="0" borderId="49" xfId="0" applyNumberFormat="1" applyFont="1" applyFill="1" applyBorder="1" applyAlignment="1" applyProtection="1">
      <alignment horizontal="right"/>
    </xf>
    <xf numFmtId="0" fontId="0" fillId="0" borderId="28" xfId="0" applyBorder="1" applyAlignment="1" applyProtection="1">
      <alignment horizontal="right"/>
    </xf>
    <xf numFmtId="0" fontId="0" fillId="0" borderId="28" xfId="0" applyBorder="1" applyAlignment="1" applyProtection="1">
      <alignment horizontal="left"/>
    </xf>
    <xf numFmtId="0" fontId="0" fillId="0" borderId="27" xfId="0" applyFill="1" applyBorder="1" applyAlignment="1" applyProtection="1">
      <alignment horizontal="right"/>
    </xf>
    <xf numFmtId="0" fontId="9" fillId="0" borderId="50" xfId="0" applyFont="1" applyFill="1" applyBorder="1" applyAlignment="1" applyProtection="1">
      <alignment horizontal="left"/>
    </xf>
    <xf numFmtId="0" fontId="0" fillId="0" borderId="50" xfId="0" applyBorder="1" applyProtection="1"/>
    <xf numFmtId="0" fontId="0" fillId="0" borderId="50" xfId="0" applyBorder="1" applyAlignment="1" applyProtection="1">
      <alignment horizontal="right"/>
    </xf>
    <xf numFmtId="0" fontId="0" fillId="0" borderId="50" xfId="0" applyBorder="1" applyAlignment="1" applyProtection="1">
      <alignment horizontal="left"/>
    </xf>
    <xf numFmtId="0" fontId="9" fillId="0" borderId="50" xfId="0" applyFont="1" applyFill="1" applyBorder="1" applyAlignment="1" applyProtection="1">
      <alignment horizontal="right"/>
    </xf>
    <xf numFmtId="165" fontId="9" fillId="0" borderId="50" xfId="0" applyNumberFormat="1" applyFont="1" applyFill="1" applyBorder="1" applyAlignment="1" applyProtection="1">
      <alignment horizontal="right"/>
    </xf>
    <xf numFmtId="0" fontId="9" fillId="0" borderId="51" xfId="0" applyFont="1" applyBorder="1" applyAlignment="1" applyProtection="1">
      <alignment horizontal="left"/>
    </xf>
    <xf numFmtId="0" fontId="0" fillId="0" borderId="51" xfId="0" applyBorder="1" applyProtection="1"/>
    <xf numFmtId="0" fontId="0" fillId="0" borderId="51" xfId="0" applyBorder="1" applyAlignment="1" applyProtection="1">
      <alignment horizontal="right"/>
    </xf>
    <xf numFmtId="0" fontId="0" fillId="0" borderId="52" xfId="0" applyBorder="1" applyProtection="1"/>
    <xf numFmtId="0" fontId="9" fillId="0" borderId="52" xfId="0" applyFont="1" applyFill="1" applyBorder="1" applyProtection="1"/>
    <xf numFmtId="0" fontId="9" fillId="0" borderId="50" xfId="0" applyFont="1" applyBorder="1" applyAlignment="1" applyProtection="1">
      <alignment horizontal="left"/>
    </xf>
    <xf numFmtId="0" fontId="9" fillId="0" borderId="50" xfId="0" applyFont="1" applyFill="1" applyBorder="1" applyProtection="1"/>
    <xf numFmtId="9" fontId="0" fillId="0" borderId="50" xfId="0" applyNumberFormat="1" applyBorder="1" applyProtection="1"/>
    <xf numFmtId="165" fontId="0" fillId="0" borderId="50" xfId="0" applyNumberFormat="1" applyBorder="1" applyProtection="1"/>
    <xf numFmtId="0" fontId="0" fillId="0" borderId="28" xfId="0" applyFill="1" applyBorder="1" applyAlignment="1" applyProtection="1">
      <alignment horizontal="right"/>
    </xf>
    <xf numFmtId="0" fontId="9" fillId="0" borderId="31" xfId="0" applyFont="1" applyFill="1" applyBorder="1" applyProtection="1"/>
    <xf numFmtId="0" fontId="0" fillId="0" borderId="31" xfId="0" applyBorder="1" applyProtection="1"/>
    <xf numFmtId="0" fontId="0" fillId="0" borderId="31" xfId="0" applyBorder="1" applyAlignment="1" applyProtection="1">
      <alignment horizontal="right"/>
    </xf>
    <xf numFmtId="0" fontId="0" fillId="0" borderId="31" xfId="0" applyBorder="1" applyAlignment="1" applyProtection="1">
      <alignment horizontal="left"/>
    </xf>
    <xf numFmtId="0" fontId="0" fillId="0" borderId="50" xfId="0" applyFill="1" applyBorder="1" applyAlignment="1" applyProtection="1">
      <alignment horizontal="right"/>
    </xf>
    <xf numFmtId="2" fontId="9" fillId="0" borderId="31" xfId="0" applyNumberFormat="1" applyFont="1" applyBorder="1" applyProtection="1"/>
    <xf numFmtId="0" fontId="9" fillId="0" borderId="50" xfId="0" applyFont="1" applyBorder="1" applyProtection="1"/>
    <xf numFmtId="0" fontId="9" fillId="0" borderId="53" xfId="0" applyFont="1" applyBorder="1" applyProtection="1"/>
    <xf numFmtId="0" fontId="0" fillId="0" borderId="32" xfId="0" applyBorder="1" applyAlignment="1" applyProtection="1">
      <alignment horizontal="right"/>
    </xf>
    <xf numFmtId="0" fontId="0" fillId="0" borderId="29" xfId="0" quotePrefix="1" applyBorder="1" applyAlignment="1" applyProtection="1">
      <alignment horizontal="center"/>
    </xf>
    <xf numFmtId="2" fontId="9" fillId="0" borderId="29" xfId="0" applyNumberFormat="1" applyFont="1" applyBorder="1" applyProtection="1"/>
    <xf numFmtId="0" fontId="9" fillId="0" borderId="33" xfId="0" applyFont="1" applyFill="1" applyBorder="1" applyProtection="1"/>
    <xf numFmtId="0" fontId="9" fillId="0" borderId="54" xfId="0" applyFont="1" applyBorder="1" applyAlignment="1" applyProtection="1">
      <alignment horizontal="left"/>
    </xf>
    <xf numFmtId="0" fontId="9" fillId="0" borderId="55" xfId="0" applyFont="1" applyBorder="1" applyProtection="1"/>
    <xf numFmtId="0" fontId="9" fillId="0" borderId="56" xfId="0" applyFont="1" applyBorder="1" applyProtection="1"/>
    <xf numFmtId="0" fontId="9" fillId="0" borderId="57" xfId="0" applyFont="1" applyBorder="1" applyProtection="1"/>
    <xf numFmtId="0" fontId="9" fillId="0" borderId="33" xfId="0" applyFont="1" applyBorder="1" applyProtection="1"/>
    <xf numFmtId="0" fontId="9" fillId="0" borderId="47" xfId="0" applyFont="1" applyBorder="1" applyProtection="1"/>
    <xf numFmtId="0" fontId="9" fillId="0" borderId="58"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6" xfId="0" applyFont="1" applyBorder="1" applyProtection="1"/>
    <xf numFmtId="165" fontId="9" fillId="0" borderId="38" xfId="0" applyNumberFormat="1" applyFont="1" applyBorder="1" applyProtection="1"/>
    <xf numFmtId="165" fontId="8" fillId="0" borderId="38" xfId="0" applyNumberFormat="1" applyFont="1" applyBorder="1" applyProtection="1"/>
    <xf numFmtId="0" fontId="9" fillId="0" borderId="59" xfId="0" applyFont="1" applyBorder="1" applyProtection="1"/>
    <xf numFmtId="165" fontId="0" fillId="0" borderId="31" xfId="0" applyNumberFormat="1" applyBorder="1" applyAlignment="1" applyProtection="1">
      <alignment horizontal="right"/>
    </xf>
    <xf numFmtId="0" fontId="9" fillId="0" borderId="60" xfId="0" applyFont="1" applyBorder="1" applyProtection="1"/>
    <xf numFmtId="0" fontId="9" fillId="0" borderId="61" xfId="0" applyFont="1" applyBorder="1" applyProtection="1"/>
    <xf numFmtId="0" fontId="9" fillId="0" borderId="62" xfId="0" applyFont="1" applyBorder="1" applyProtection="1"/>
    <xf numFmtId="165" fontId="9" fillId="0" borderId="63" xfId="0" applyNumberFormat="1" applyFont="1" applyBorder="1" applyProtection="1"/>
    <xf numFmtId="0" fontId="9" fillId="0" borderId="64" xfId="0" applyFont="1" applyFill="1" applyBorder="1" applyAlignment="1" applyProtection="1">
      <alignment horizontal="center" wrapText="1"/>
    </xf>
    <xf numFmtId="0" fontId="9" fillId="0" borderId="65" xfId="0" applyFont="1" applyBorder="1" applyProtection="1"/>
    <xf numFmtId="165" fontId="9" fillId="0" borderId="66" xfId="0" applyNumberFormat="1" applyFont="1" applyBorder="1" applyProtection="1"/>
    <xf numFmtId="165" fontId="9" fillId="0" borderId="37" xfId="0" applyNumberFormat="1" applyFont="1" applyBorder="1" applyProtection="1"/>
    <xf numFmtId="0" fontId="9" fillId="0" borderId="54" xfId="0" applyFont="1" applyBorder="1" applyProtection="1"/>
    <xf numFmtId="0" fontId="9" fillId="0" borderId="67" xfId="0" applyFont="1" applyBorder="1" applyProtection="1"/>
    <xf numFmtId="0" fontId="9" fillId="0" borderId="68" xfId="0" applyFont="1" applyFill="1" applyBorder="1" applyAlignment="1" applyProtection="1">
      <alignment horizontal="left"/>
    </xf>
    <xf numFmtId="0" fontId="9" fillId="0" borderId="69" xfId="0" applyFont="1" applyFill="1" applyBorder="1" applyAlignment="1" applyProtection="1">
      <alignment horizontal="left"/>
    </xf>
    <xf numFmtId="0" fontId="9" fillId="0" borderId="34"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70" xfId="0" applyFont="1" applyBorder="1" applyProtection="1"/>
    <xf numFmtId="3" fontId="9" fillId="0" borderId="71" xfId="0" applyNumberFormat="1" applyFont="1" applyBorder="1" applyProtection="1"/>
    <xf numFmtId="164" fontId="9" fillId="0" borderId="72"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3" xfId="0" applyBorder="1" applyProtection="1"/>
    <xf numFmtId="0" fontId="0" fillId="0" borderId="74" xfId="0" applyBorder="1" applyProtection="1"/>
    <xf numFmtId="1" fontId="9" fillId="0" borderId="31" xfId="0" applyNumberFormat="1" applyFont="1" applyBorder="1" applyProtection="1"/>
    <xf numFmtId="0" fontId="9" fillId="0" borderId="75" xfId="0" applyFont="1" applyBorder="1" applyProtection="1"/>
    <xf numFmtId="0" fontId="9" fillId="0" borderId="76" xfId="0" applyFont="1" applyFill="1" applyBorder="1" applyProtection="1"/>
    <xf numFmtId="165" fontId="9" fillId="0" borderId="77" xfId="0" applyNumberFormat="1" applyFont="1" applyBorder="1" applyProtection="1"/>
    <xf numFmtId="165" fontId="9" fillId="0" borderId="33" xfId="0" applyNumberFormat="1" applyFont="1" applyFill="1" applyBorder="1" applyProtection="1"/>
    <xf numFmtId="165" fontId="9" fillId="0" borderId="33" xfId="0" applyNumberFormat="1" applyFont="1" applyFill="1" applyBorder="1" applyAlignment="1" applyProtection="1">
      <alignment horizontal="right"/>
    </xf>
    <xf numFmtId="165" fontId="9" fillId="0" borderId="67" xfId="0" applyNumberFormat="1" applyFont="1" applyBorder="1" applyProtection="1"/>
    <xf numFmtId="0" fontId="0" fillId="0" borderId="50" xfId="0" applyBorder="1" applyAlignment="1" applyProtection="1">
      <alignment horizontal="center" wrapText="1"/>
    </xf>
    <xf numFmtId="165" fontId="9" fillId="0" borderId="50" xfId="6" applyNumberFormat="1" applyFont="1" applyFill="1" applyBorder="1" applyAlignment="1" applyProtection="1">
      <alignment horizontal="right"/>
    </xf>
    <xf numFmtId="3" fontId="0" fillId="0" borderId="50" xfId="0" applyNumberFormat="1" applyBorder="1" applyAlignment="1" applyProtection="1">
      <alignment horizontal="right"/>
    </xf>
    <xf numFmtId="0" fontId="0" fillId="0" borderId="50" xfId="0" applyBorder="1" applyAlignment="1" applyProtection="1">
      <alignment horizontal="center"/>
    </xf>
    <xf numFmtId="165" fontId="0" fillId="0" borderId="50" xfId="0" applyNumberFormat="1" applyBorder="1" applyAlignment="1" applyProtection="1">
      <alignment horizontal="right"/>
    </xf>
    <xf numFmtId="165" fontId="0" fillId="0" borderId="50" xfId="0" applyNumberFormat="1" applyBorder="1" applyAlignment="1" applyProtection="1">
      <alignment horizontal="center"/>
    </xf>
    <xf numFmtId="0" fontId="0" fillId="0" borderId="50" xfId="0" quotePrefix="1" applyBorder="1" applyAlignment="1" applyProtection="1">
      <alignment horizontal="center"/>
    </xf>
    <xf numFmtId="171" fontId="0" fillId="0" borderId="50" xfId="0" applyNumberFormat="1" applyFill="1" applyBorder="1" applyAlignment="1" applyProtection="1">
      <alignment horizontal="center"/>
    </xf>
    <xf numFmtId="0" fontId="8" fillId="0" borderId="50" xfId="0" applyFont="1" applyBorder="1" applyAlignment="1" applyProtection="1">
      <alignment horizontal="center" wrapText="1"/>
    </xf>
    <xf numFmtId="0" fontId="8" fillId="0" borderId="50" xfId="0" applyFont="1" applyBorder="1" applyAlignment="1" applyProtection="1">
      <alignment horizontal="center"/>
    </xf>
    <xf numFmtId="0" fontId="0" fillId="0" borderId="28"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50" xfId="0" applyNumberFormat="1" applyBorder="1" applyAlignment="1" applyProtection="1">
      <alignment horizontal="right"/>
    </xf>
    <xf numFmtId="0" fontId="9" fillId="0" borderId="0" xfId="20" applyBorder="1" applyAlignment="1">
      <alignment horizontal="center"/>
    </xf>
    <xf numFmtId="14" fontId="0" fillId="0" borderId="41" xfId="0" applyNumberFormat="1" applyBorder="1" applyProtection="1"/>
    <xf numFmtId="0" fontId="0" fillId="0" borderId="70" xfId="0" applyBorder="1" applyProtection="1"/>
    <xf numFmtId="0" fontId="9" fillId="0" borderId="40" xfId="0" applyFont="1" applyFill="1" applyBorder="1" applyAlignment="1" applyProtection="1">
      <alignment horizontal="left"/>
    </xf>
    <xf numFmtId="0" fontId="9" fillId="0" borderId="5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79" xfId="0" applyFont="1" applyFill="1" applyBorder="1" applyAlignment="1" applyProtection="1">
      <alignment horizontal="left"/>
    </xf>
    <xf numFmtId="0" fontId="0" fillId="0" borderId="80" xfId="0" applyBorder="1" applyAlignment="1" applyProtection="1">
      <alignment horizontal="left"/>
    </xf>
    <xf numFmtId="7" fontId="9" fillId="0" borderId="11" xfId="20" applyNumberFormat="1" applyFont="1" applyFill="1" applyBorder="1" applyProtection="1"/>
    <xf numFmtId="165" fontId="0" fillId="0" borderId="52" xfId="0" applyNumberFormat="1" applyBorder="1" applyProtection="1"/>
    <xf numFmtId="0" fontId="9" fillId="0" borderId="53" xfId="0" applyFont="1" applyFill="1" applyBorder="1" applyProtection="1"/>
    <xf numFmtId="165" fontId="9" fillId="0" borderId="42" xfId="0" applyNumberFormat="1" applyFont="1" applyFill="1" applyBorder="1" applyProtection="1"/>
    <xf numFmtId="165" fontId="9" fillId="0" borderId="81" xfId="0" applyNumberFormat="1" applyFont="1" applyFill="1" applyBorder="1" applyProtection="1"/>
    <xf numFmtId="0" fontId="0" fillId="0" borderId="82" xfId="0" applyNumberFormat="1" applyBorder="1" applyAlignment="1" applyProtection="1">
      <alignment horizontal="right"/>
    </xf>
    <xf numFmtId="165" fontId="0" fillId="0" borderId="45" xfId="0" applyNumberFormat="1" applyBorder="1" applyProtection="1"/>
    <xf numFmtId="0" fontId="16" fillId="0" borderId="26" xfId="0" applyFont="1" applyBorder="1" applyAlignment="1">
      <alignment horizontal="left"/>
    </xf>
    <xf numFmtId="168" fontId="0" fillId="0" borderId="26" xfId="0" applyNumberFormat="1" applyBorder="1" applyAlignment="1" applyProtection="1">
      <alignment horizontal="right"/>
    </xf>
    <xf numFmtId="0" fontId="0" fillId="0" borderId="26" xfId="0" applyBorder="1" applyAlignment="1" applyProtection="1">
      <alignment horizontal="right" wrapText="1"/>
    </xf>
    <xf numFmtId="0" fontId="0" fillId="0" borderId="26" xfId="0" applyBorder="1" applyAlignment="1" applyProtection="1"/>
    <xf numFmtId="0" fontId="0" fillId="0" borderId="26" xfId="0" applyBorder="1" applyAlignment="1" applyProtection="1">
      <alignment horizontal="right"/>
    </xf>
    <xf numFmtId="0" fontId="0" fillId="0" borderId="26" xfId="0" applyBorder="1" applyAlignment="1" applyProtection="1"/>
    <xf numFmtId="0" fontId="0" fillId="0" borderId="26" xfId="0" applyFill="1" applyBorder="1" applyAlignment="1" applyProtection="1">
      <alignment horizontal="center" wrapText="1"/>
    </xf>
    <xf numFmtId="2" fontId="0" fillId="0" borderId="26" xfId="0" applyNumberFormat="1" applyBorder="1" applyProtection="1"/>
    <xf numFmtId="0" fontId="15" fillId="0" borderId="26" xfId="0" applyFont="1" applyBorder="1" applyProtection="1"/>
    <xf numFmtId="0" fontId="15" fillId="0" borderId="26" xfId="0" applyFont="1" applyFill="1" applyBorder="1" applyProtection="1"/>
    <xf numFmtId="168" fontId="0" fillId="0" borderId="28" xfId="0" applyNumberFormat="1" applyBorder="1" applyAlignment="1" applyProtection="1">
      <alignment horizontal="right"/>
    </xf>
    <xf numFmtId="0" fontId="0" fillId="0" borderId="28" xfId="0" applyBorder="1" applyAlignment="1" applyProtection="1">
      <alignment horizontal="right" wrapText="1"/>
    </xf>
    <xf numFmtId="168" fontId="0" fillId="0" borderId="27" xfId="0" applyNumberFormat="1" applyBorder="1" applyAlignment="1" applyProtection="1">
      <alignment horizontal="right"/>
    </xf>
    <xf numFmtId="0" fontId="8" fillId="0" borderId="28" xfId="0" applyFont="1" applyBorder="1" applyAlignment="1" applyProtection="1">
      <alignment horizontal="center"/>
    </xf>
    <xf numFmtId="0" fontId="14" fillId="0" borderId="27" xfId="0" applyFont="1" applyBorder="1" applyProtection="1"/>
    <xf numFmtId="0" fontId="15" fillId="0" borderId="27"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9" xfId="0" applyBorder="1" applyAlignment="1">
      <alignment horizontal="right"/>
    </xf>
    <xf numFmtId="43" fontId="9" fillId="0" borderId="30" xfId="1" applyFont="1" applyFill="1" applyBorder="1" applyAlignment="1">
      <alignment horizontal="right"/>
    </xf>
    <xf numFmtId="174" fontId="9" fillId="0" borderId="30" xfId="1" applyNumberFormat="1" applyFont="1" applyFill="1" applyBorder="1" applyAlignment="1">
      <alignment horizontal="right"/>
    </xf>
    <xf numFmtId="0" fontId="16" fillId="0" borderId="30" xfId="0" applyFont="1" applyFill="1" applyBorder="1" applyAlignment="1">
      <alignment horizontal="left"/>
    </xf>
    <xf numFmtId="0" fontId="9" fillId="0" borderId="83" xfId="0" applyFont="1" applyFill="1" applyBorder="1" applyAlignment="1">
      <alignment horizontal="left"/>
    </xf>
    <xf numFmtId="0" fontId="0" fillId="0" borderId="83" xfId="0" applyBorder="1"/>
    <xf numFmtId="0" fontId="0" fillId="0" borderId="83" xfId="0" applyBorder="1" applyAlignment="1">
      <alignment horizontal="left"/>
    </xf>
    <xf numFmtId="0" fontId="0" fillId="0" borderId="83" xfId="0" applyBorder="1" applyAlignment="1">
      <alignment horizontal="right"/>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4" xfId="0" applyFont="1" applyBorder="1" applyAlignment="1">
      <alignment horizontal="left"/>
    </xf>
    <xf numFmtId="0" fontId="0" fillId="0" borderId="85"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40" xfId="0" applyFont="1" applyBorder="1" applyAlignment="1" applyProtection="1">
      <alignment horizontal="left"/>
    </xf>
    <xf numFmtId="165" fontId="9" fillId="0" borderId="31" xfId="0" applyNumberFormat="1" applyFont="1" applyFill="1" applyBorder="1" applyProtection="1"/>
    <xf numFmtId="0" fontId="0" fillId="0" borderId="27" xfId="0" applyBorder="1" applyAlignment="1" applyProtection="1"/>
    <xf numFmtId="0" fontId="10" fillId="0" borderId="26" xfId="0" applyFont="1" applyBorder="1" applyProtection="1"/>
    <xf numFmtId="165" fontId="15" fillId="0" borderId="27" xfId="0" applyNumberFormat="1" applyFont="1" applyBorder="1" applyProtection="1"/>
    <xf numFmtId="7" fontId="15" fillId="0" borderId="27" xfId="0" applyNumberFormat="1" applyFont="1" applyBorder="1" applyProtection="1"/>
    <xf numFmtId="49" fontId="21" fillId="6" borderId="25" xfId="9" applyNumberFormat="1" applyAlignment="1" applyProtection="1">
      <alignment horizontal="center"/>
      <protection locked="0"/>
    </xf>
    <xf numFmtId="14" fontId="21" fillId="6" borderId="25" xfId="9" applyNumberFormat="1" applyAlignment="1" applyProtection="1">
      <alignment horizontal="center"/>
      <protection locked="0"/>
    </xf>
    <xf numFmtId="0" fontId="21" fillId="6" borderId="25" xfId="9" applyAlignment="1" applyProtection="1">
      <alignment horizontal="right"/>
      <protection locked="0"/>
    </xf>
    <xf numFmtId="166" fontId="21" fillId="6" borderId="25" xfId="9" applyNumberFormat="1" applyAlignment="1" applyProtection="1">
      <alignment horizontal="right"/>
      <protection locked="0"/>
    </xf>
    <xf numFmtId="1" fontId="21" fillId="6" borderId="25" xfId="9" applyNumberFormat="1" applyAlignment="1" applyProtection="1">
      <alignment horizontal="center"/>
      <protection locked="0"/>
    </xf>
    <xf numFmtId="43" fontId="19" fillId="0" borderId="30" xfId="1" applyFont="1" applyBorder="1"/>
    <xf numFmtId="43" fontId="19" fillId="0" borderId="49" xfId="1" applyFont="1" applyFill="1" applyBorder="1"/>
    <xf numFmtId="43" fontId="19" fillId="0" borderId="86" xfId="1" applyFont="1" applyFill="1" applyBorder="1"/>
    <xf numFmtId="43" fontId="9" fillId="0" borderId="49" xfId="1" applyFont="1" applyFill="1" applyBorder="1" applyAlignment="1">
      <alignment horizontal="right"/>
    </xf>
    <xf numFmtId="43" fontId="9" fillId="0" borderId="0" xfId="1" applyFont="1" applyFill="1" applyBorder="1" applyAlignment="1">
      <alignment horizontal="right"/>
    </xf>
    <xf numFmtId="166" fontId="9" fillId="0" borderId="30" xfId="1" applyNumberFormat="1" applyFont="1" applyFill="1" applyBorder="1"/>
    <xf numFmtId="166" fontId="9" fillId="0" borderId="49" xfId="1" applyNumberFormat="1" applyFont="1" applyFill="1" applyBorder="1"/>
    <xf numFmtId="166" fontId="9" fillId="0" borderId="69" xfId="1" applyNumberFormat="1" applyFont="1" applyFill="1" applyBorder="1" applyAlignment="1">
      <alignment horizontal="right"/>
    </xf>
    <xf numFmtId="166" fontId="9" fillId="0" borderId="87" xfId="1" applyNumberFormat="1" applyFont="1" applyFill="1" applyBorder="1" applyAlignment="1">
      <alignment horizontal="right"/>
    </xf>
    <xf numFmtId="166" fontId="21" fillId="6" borderId="25" xfId="1" applyNumberFormat="1" applyFont="1" applyFill="1" applyBorder="1" applyAlignment="1" applyProtection="1">
      <alignment horizontal="right"/>
      <protection locked="0"/>
    </xf>
    <xf numFmtId="166" fontId="9" fillId="0" borderId="35" xfId="1" applyNumberFormat="1" applyFont="1" applyFill="1" applyBorder="1" applyAlignment="1">
      <alignment horizontal="right"/>
    </xf>
    <xf numFmtId="166" fontId="9" fillId="0" borderId="88" xfId="1" applyNumberFormat="1" applyFont="1" applyFill="1" applyBorder="1" applyAlignment="1">
      <alignment horizontal="right"/>
    </xf>
    <xf numFmtId="166" fontId="8" fillId="0" borderId="36" xfId="1" applyNumberFormat="1" applyFont="1" applyFill="1" applyBorder="1"/>
    <xf numFmtId="166" fontId="8" fillId="0" borderId="37" xfId="1" applyNumberFormat="1" applyFont="1" applyFill="1" applyBorder="1"/>
    <xf numFmtId="166" fontId="8" fillId="0" borderId="38" xfId="1" applyNumberFormat="1" applyFont="1" applyFill="1" applyBorder="1"/>
    <xf numFmtId="166" fontId="19" fillId="0" borderId="44" xfId="1" applyNumberFormat="1" applyFont="1" applyFill="1" applyBorder="1" applyAlignment="1">
      <alignment horizontal="right"/>
    </xf>
    <xf numFmtId="166" fontId="9" fillId="0" borderId="30" xfId="1" applyNumberFormat="1" applyFont="1" applyFill="1" applyBorder="1" applyAlignment="1">
      <alignment horizontal="right"/>
    </xf>
    <xf numFmtId="166" fontId="19" fillId="0" borderId="26" xfId="1" applyNumberFormat="1" applyFont="1" applyFill="1" applyBorder="1" applyAlignment="1">
      <alignment horizontal="right"/>
    </xf>
    <xf numFmtId="166" fontId="8" fillId="0" borderId="26" xfId="1" applyNumberFormat="1" applyFont="1" applyFill="1" applyBorder="1" applyAlignment="1">
      <alignment horizontal="right"/>
    </xf>
    <xf numFmtId="166" fontId="19" fillId="0" borderId="26" xfId="1" applyNumberFormat="1" applyFont="1" applyBorder="1" applyAlignment="1">
      <alignment horizontal="right"/>
    </xf>
    <xf numFmtId="166" fontId="9" fillId="0" borderId="89" xfId="1" applyNumberFormat="1" applyFont="1" applyFill="1" applyBorder="1" applyAlignment="1" applyProtection="1">
      <alignment horizontal="right"/>
    </xf>
    <xf numFmtId="166" fontId="9" fillId="0" borderId="30" xfId="1" applyNumberFormat="1" applyFont="1" applyFill="1" applyBorder="1" applyAlignment="1" applyProtection="1">
      <alignment horizontal="right"/>
    </xf>
    <xf numFmtId="166" fontId="9" fillId="0" borderId="35" xfId="1" applyNumberFormat="1" applyFont="1" applyFill="1" applyBorder="1" applyAlignment="1" applyProtection="1">
      <alignment horizontal="right"/>
    </xf>
    <xf numFmtId="166" fontId="9" fillId="0" borderId="88" xfId="1" applyNumberFormat="1" applyFont="1" applyFill="1" applyBorder="1" applyAlignment="1" applyProtection="1">
      <alignment horizontal="right"/>
    </xf>
    <xf numFmtId="166" fontId="9" fillId="0" borderId="36" xfId="1" applyNumberFormat="1" applyFont="1" applyFill="1" applyBorder="1" applyProtection="1"/>
    <xf numFmtId="166" fontId="9" fillId="0" borderId="37" xfId="1" applyNumberFormat="1" applyFont="1" applyFill="1" applyBorder="1" applyProtection="1"/>
    <xf numFmtId="166" fontId="9" fillId="0" borderId="38" xfId="1" applyNumberFormat="1" applyFont="1" applyFill="1" applyBorder="1" applyProtection="1"/>
    <xf numFmtId="166" fontId="9" fillId="0" borderId="30" xfId="1" applyNumberFormat="1" applyFont="1" applyFill="1" applyBorder="1" applyProtection="1"/>
    <xf numFmtId="166" fontId="9" fillId="0" borderId="49" xfId="1" applyNumberFormat="1" applyFont="1" applyFill="1" applyBorder="1" applyProtection="1"/>
    <xf numFmtId="166" fontId="19" fillId="0" borderId="82" xfId="1" applyNumberFormat="1" applyFont="1" applyBorder="1" applyAlignment="1" applyProtection="1">
      <alignment horizontal="right"/>
    </xf>
    <xf numFmtId="166" fontId="9" fillId="0" borderId="42" xfId="1" applyNumberFormat="1" applyFont="1" applyFill="1" applyBorder="1" applyAlignment="1" applyProtection="1">
      <alignment horizontal="right"/>
    </xf>
    <xf numFmtId="166" fontId="9" fillId="0" borderId="81" xfId="1" applyNumberFormat="1" applyFont="1" applyFill="1" applyBorder="1" applyAlignment="1" applyProtection="1">
      <alignment horizontal="right"/>
    </xf>
    <xf numFmtId="166" fontId="19" fillId="0" borderId="45" xfId="1" applyNumberFormat="1" applyFont="1" applyBorder="1" applyAlignment="1" applyProtection="1">
      <alignment horizontal="right"/>
    </xf>
    <xf numFmtId="166" fontId="9" fillId="0" borderId="78" xfId="1" applyNumberFormat="1" applyFont="1" applyFill="1" applyBorder="1" applyProtection="1"/>
    <xf numFmtId="166" fontId="9" fillId="0" borderId="79" xfId="1" applyNumberFormat="1" applyFont="1" applyFill="1" applyBorder="1" applyProtection="1"/>
    <xf numFmtId="166" fontId="19" fillId="0" borderId="80" xfId="1" applyNumberFormat="1" applyFont="1" applyBorder="1" applyAlignment="1" applyProtection="1">
      <alignment horizontal="right"/>
    </xf>
    <xf numFmtId="0" fontId="9" fillId="0" borderId="32" xfId="0" applyFont="1" applyFill="1" applyBorder="1" applyAlignment="1">
      <alignment horizontal="center"/>
    </xf>
    <xf numFmtId="0" fontId="9" fillId="0" borderId="42" xfId="0" applyFont="1" applyFill="1" applyBorder="1" applyAlignment="1">
      <alignment horizontal="center"/>
    </xf>
    <xf numFmtId="0" fontId="8" fillId="0" borderId="32" xfId="0" applyFont="1" applyFill="1" applyBorder="1" applyAlignment="1">
      <alignment horizontal="center"/>
    </xf>
    <xf numFmtId="0" fontId="8" fillId="0" borderId="26" xfId="0" applyFont="1" applyBorder="1"/>
    <xf numFmtId="164" fontId="0" fillId="0" borderId="2" xfId="0" applyNumberFormat="1" applyBorder="1"/>
    <xf numFmtId="164" fontId="0" fillId="0" borderId="13" xfId="0" applyNumberFormat="1" applyBorder="1"/>
    <xf numFmtId="164" fontId="0" fillId="0" borderId="0" xfId="0" applyNumberFormat="1"/>
    <xf numFmtId="0" fontId="9" fillId="0" borderId="57" xfId="0" applyFont="1" applyFill="1" applyBorder="1" applyAlignment="1">
      <alignment horizontal="center"/>
    </xf>
    <xf numFmtId="0" fontId="9" fillId="0" borderId="27" xfId="0" applyFont="1" applyFill="1" applyBorder="1" applyAlignment="1">
      <alignment horizontal="center"/>
    </xf>
    <xf numFmtId="14" fontId="7" fillId="0" borderId="1" xfId="0" applyNumberFormat="1" applyFont="1" applyFill="1" applyBorder="1" applyAlignment="1"/>
    <xf numFmtId="0" fontId="9" fillId="0" borderId="37" xfId="0" applyFont="1" applyFill="1" applyBorder="1"/>
    <xf numFmtId="0" fontId="9" fillId="0" borderId="76" xfId="0" applyFont="1" applyFill="1" applyBorder="1"/>
    <xf numFmtId="0" fontId="9" fillId="0" borderId="38" xfId="0" applyFont="1" applyFill="1" applyBorder="1"/>
    <xf numFmtId="0" fontId="16" fillId="0" borderId="26" xfId="0" applyFont="1" applyBorder="1" applyAlignment="1" applyProtection="1">
      <alignment horizontal="left"/>
    </xf>
    <xf numFmtId="0" fontId="9" fillId="0" borderId="2" xfId="0" applyFont="1" applyBorder="1" applyAlignment="1" applyProtection="1">
      <alignment wrapText="1"/>
    </xf>
    <xf numFmtId="164" fontId="0" fillId="0" borderId="2" xfId="0" applyNumberFormat="1" applyBorder="1" applyProtection="1"/>
    <xf numFmtId="0" fontId="24" fillId="0" borderId="2" xfId="0" applyFont="1" applyBorder="1" applyProtection="1"/>
    <xf numFmtId="0" fontId="0" fillId="0" borderId="29" xfId="0" applyFill="1" applyBorder="1" applyProtection="1"/>
    <xf numFmtId="164" fontId="21" fillId="6" borderId="2" xfId="9" applyNumberFormat="1" applyBorder="1" applyProtection="1">
      <protection locked="0"/>
    </xf>
    <xf numFmtId="0" fontId="8" fillId="0" borderId="41" xfId="0" applyFont="1" applyBorder="1" applyAlignment="1">
      <alignment wrapText="1"/>
    </xf>
    <xf numFmtId="0" fontId="8" fillId="0" borderId="26" xfId="0" applyFont="1" applyBorder="1" applyAlignment="1">
      <alignment wrapText="1"/>
    </xf>
    <xf numFmtId="0" fontId="8" fillId="0" borderId="26" xfId="0" applyFont="1" applyBorder="1" applyAlignment="1" applyProtection="1">
      <alignment wrapText="1"/>
    </xf>
    <xf numFmtId="0" fontId="22" fillId="0" borderId="26" xfId="0" applyFont="1" applyFill="1" applyBorder="1" applyAlignment="1">
      <alignment horizontal="center"/>
    </xf>
    <xf numFmtId="0" fontId="22" fillId="0" borderId="26" xfId="0" applyFont="1" applyFill="1" applyBorder="1"/>
    <xf numFmtId="0" fontId="8" fillId="0" borderId="29" xfId="0" applyFont="1" applyBorder="1" applyAlignment="1">
      <alignment wrapText="1"/>
    </xf>
    <xf numFmtId="0" fontId="9" fillId="0" borderId="27"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32" xfId="0" applyFont="1" applyBorder="1" applyAlignment="1">
      <alignment horizontal="right"/>
    </xf>
    <xf numFmtId="164" fontId="0" fillId="0" borderId="31" xfId="0" applyNumberFormat="1" applyBorder="1"/>
    <xf numFmtId="0" fontId="8" fillId="0" borderId="32" xfId="0" applyFont="1" applyBorder="1" applyAlignment="1" applyProtection="1">
      <alignment horizontal="right"/>
    </xf>
    <xf numFmtId="175" fontId="0" fillId="0" borderId="2" xfId="0" applyNumberFormat="1" applyBorder="1" applyAlignment="1" applyProtection="1">
      <alignment horizontal="right"/>
    </xf>
    <xf numFmtId="2" fontId="16" fillId="0" borderId="90" xfId="0" applyNumberFormat="1" applyFont="1" applyBorder="1" applyAlignment="1">
      <alignment horizontal="right"/>
    </xf>
    <xf numFmtId="1" fontId="9" fillId="0" borderId="26" xfId="0" applyNumberFormat="1" applyFont="1" applyFill="1" applyBorder="1" applyProtection="1"/>
    <xf numFmtId="0" fontId="25" fillId="0" borderId="26" xfId="0" applyFont="1" applyBorder="1"/>
    <xf numFmtId="164" fontId="21" fillId="6" borderId="25" xfId="1" applyNumberFormat="1" applyFont="1" applyFill="1" applyBorder="1" applyProtection="1">
      <protection locked="0"/>
    </xf>
    <xf numFmtId="164" fontId="9" fillId="0" borderId="2" xfId="1" applyNumberFormat="1" applyFont="1" applyFill="1" applyBorder="1"/>
    <xf numFmtId="164" fontId="0" fillId="0" borderId="2" xfId="1" applyNumberFormat="1" applyFont="1" applyBorder="1"/>
    <xf numFmtId="43" fontId="19" fillId="0" borderId="44" xfId="1" applyFont="1" applyBorder="1"/>
    <xf numFmtId="43" fontId="19" fillId="0" borderId="44" xfId="1" applyFont="1" applyBorder="1" applyAlignment="1">
      <alignment horizontal="right"/>
    </xf>
    <xf numFmtId="0" fontId="0" fillId="0" borderId="26" xfId="0" applyBorder="1" applyAlignment="1" applyProtection="1">
      <alignment horizontal="right"/>
    </xf>
    <xf numFmtId="0" fontId="0" fillId="0" borderId="26" xfId="0" applyBorder="1" applyAlignment="1" applyProtection="1">
      <alignment horizontal="right"/>
    </xf>
    <xf numFmtId="0" fontId="8" fillId="0" borderId="0" xfId="0" applyFont="1" applyBorder="1" applyAlignment="1" applyProtection="1">
      <alignment horizontal="right"/>
    </xf>
    <xf numFmtId="165" fontId="8" fillId="0" borderId="91" xfId="0" applyNumberFormat="1" applyFont="1" applyBorder="1" applyProtection="1"/>
    <xf numFmtId="0" fontId="0" fillId="0" borderId="0" xfId="0" applyBorder="1" applyProtection="1"/>
    <xf numFmtId="0" fontId="23" fillId="0" borderId="31" xfId="0" applyFont="1" applyBorder="1"/>
    <xf numFmtId="167" fontId="16" fillId="0" borderId="30" xfId="0" applyNumberFormat="1" applyFont="1" applyFill="1" applyBorder="1" applyAlignment="1">
      <alignment horizontal="right"/>
    </xf>
    <xf numFmtId="0" fontId="1" fillId="0" borderId="2" xfId="0" applyFont="1" applyBorder="1" applyAlignment="1" applyProtection="1">
      <alignment wrapText="1"/>
    </xf>
    <xf numFmtId="0" fontId="1" fillId="0" borderId="2" xfId="0" applyFont="1" applyBorder="1"/>
    <xf numFmtId="164" fontId="21" fillId="6" borderId="99" xfId="1" applyNumberFormat="1" applyFont="1" applyFill="1" applyBorder="1" applyProtection="1">
      <protection locked="0"/>
    </xf>
    <xf numFmtId="164" fontId="21" fillId="6" borderId="2" xfId="1" applyNumberFormat="1" applyFont="1" applyFill="1" applyBorder="1" applyProtection="1">
      <protection locked="0"/>
    </xf>
    <xf numFmtId="0" fontId="8" fillId="0" borderId="0" xfId="0" applyFont="1" applyBorder="1" applyAlignment="1">
      <alignment horizontal="right"/>
    </xf>
    <xf numFmtId="0" fontId="0" fillId="0" borderId="73" xfId="0"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100" xfId="0" applyFont="1" applyBorder="1"/>
    <xf numFmtId="7" fontId="8" fillId="0" borderId="101" xfId="0" applyNumberFormat="1" applyFont="1" applyBorder="1"/>
    <xf numFmtId="0" fontId="8" fillId="0" borderId="101" xfId="0" applyFont="1" applyBorder="1"/>
    <xf numFmtId="0" fontId="8" fillId="0" borderId="102" xfId="0" applyFont="1" applyBorder="1"/>
    <xf numFmtId="10" fontId="8" fillId="9" borderId="101" xfId="0" applyNumberFormat="1" applyFont="1" applyFill="1" applyBorder="1"/>
    <xf numFmtId="0" fontId="26" fillId="0" borderId="0" xfId="0" applyFont="1"/>
    <xf numFmtId="0" fontId="1" fillId="0" borderId="68" xfId="0" applyFont="1" applyFill="1" applyBorder="1" applyAlignment="1" applyProtection="1">
      <alignment horizontal="left"/>
    </xf>
    <xf numFmtId="0" fontId="1" fillId="0" borderId="30"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26" xfId="0" applyFont="1" applyBorder="1" applyProtection="1"/>
    <xf numFmtId="165" fontId="1" fillId="0" borderId="31" xfId="0" applyNumberFormat="1" applyFont="1" applyFill="1"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 fillId="0" borderId="104" xfId="0" applyFont="1" applyFill="1" applyBorder="1" applyProtection="1"/>
    <xf numFmtId="165" fontId="1" fillId="0" borderId="104" xfId="0" applyNumberFormat="1" applyFont="1" applyFill="1" applyBorder="1" applyProtection="1"/>
    <xf numFmtId="165" fontId="1" fillId="0" borderId="107" xfId="0" applyNumberFormat="1" applyFont="1" applyFill="1" applyBorder="1" applyProtection="1"/>
    <xf numFmtId="0" fontId="0" fillId="0" borderId="108" xfId="0" applyBorder="1" applyProtection="1"/>
    <xf numFmtId="0" fontId="1" fillId="0" borderId="0" xfId="0" applyFont="1" applyFill="1" applyBorder="1" applyAlignment="1" applyProtection="1">
      <alignment horizontal="right"/>
    </xf>
    <xf numFmtId="0" fontId="1" fillId="0" borderId="0" xfId="0" applyFont="1" applyFill="1" applyBorder="1" applyProtection="1"/>
    <xf numFmtId="0" fontId="1" fillId="0" borderId="109" xfId="0" applyFont="1" applyFill="1" applyBorder="1" applyProtection="1"/>
    <xf numFmtId="0" fontId="0" fillId="0" borderId="106" xfId="0" applyBorder="1" applyProtection="1"/>
    <xf numFmtId="0" fontId="1" fillId="0" borderId="106" xfId="0" applyFont="1" applyFill="1" applyBorder="1" applyProtection="1"/>
    <xf numFmtId="0" fontId="1" fillId="0" borderId="110" xfId="0" applyFont="1" applyFill="1" applyBorder="1" applyProtection="1"/>
    <xf numFmtId="0" fontId="9" fillId="0" borderId="0" xfId="22"/>
    <xf numFmtId="0" fontId="1" fillId="0" borderId="2" xfId="0" applyFont="1" applyBorder="1" applyAlignment="1">
      <alignment horizontal="left"/>
    </xf>
    <xf numFmtId="0" fontId="1" fillId="0" borderId="2" xfId="0" applyFont="1" applyBorder="1" applyAlignment="1"/>
    <xf numFmtId="0" fontId="8" fillId="0" borderId="26" xfId="0" applyFont="1" applyBorder="1" applyAlignment="1">
      <alignment horizontal="left" wrapText="1"/>
    </xf>
    <xf numFmtId="0" fontId="0" fillId="0" borderId="14" xfId="0" applyBorder="1"/>
    <xf numFmtId="0" fontId="8" fillId="0" borderId="0" xfId="0" applyNumberFormat="1" applyFont="1" applyFill="1" applyBorder="1" applyAlignment="1" applyProtection="1">
      <alignment horizontal="right"/>
    </xf>
    <xf numFmtId="0" fontId="1" fillId="0" borderId="30" xfId="0" applyFont="1" applyFill="1" applyBorder="1" applyAlignment="1">
      <alignment horizontal="left"/>
    </xf>
    <xf numFmtId="0" fontId="1" fillId="0" borderId="2" xfId="0" applyFont="1" applyBorder="1" applyAlignment="1">
      <alignment vertical="center" wrapText="1"/>
    </xf>
    <xf numFmtId="0" fontId="1" fillId="0" borderId="28" xfId="0" applyFont="1" applyBorder="1" applyAlignment="1">
      <alignment horizontal="center" wrapText="1"/>
    </xf>
    <xf numFmtId="14" fontId="7" fillId="0" borderId="26" xfId="0" applyNumberFormat="1" applyFont="1" applyBorder="1" applyAlignment="1">
      <alignment horizontal="center"/>
    </xf>
    <xf numFmtId="14" fontId="0" fillId="0" borderId="26" xfId="0" applyNumberFormat="1" applyBorder="1" applyAlignment="1">
      <alignment horizontal="center"/>
    </xf>
    <xf numFmtId="14" fontId="7" fillId="0" borderId="32" xfId="0" applyNumberFormat="1" applyFont="1" applyBorder="1" applyAlignment="1">
      <alignment horizontal="center" wrapText="1"/>
    </xf>
    <xf numFmtId="14" fontId="7" fillId="0" borderId="29" xfId="0" applyNumberFormat="1" applyFont="1" applyBorder="1" applyAlignment="1">
      <alignment horizontal="center" wrapText="1"/>
    </xf>
    <xf numFmtId="0" fontId="8" fillId="0" borderId="92" xfId="0" applyFont="1" applyBorder="1" applyAlignment="1">
      <alignment horizontal="left" wrapText="1"/>
    </xf>
    <xf numFmtId="0" fontId="9" fillId="0" borderId="97"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9" fillId="0" borderId="98" xfId="0" applyFont="1" applyFill="1" applyBorder="1" applyAlignment="1" applyProtection="1">
      <alignment horizontal="left" wrapText="1"/>
    </xf>
    <xf numFmtId="0" fontId="9" fillId="0" borderId="42" xfId="0" applyFont="1" applyFill="1" applyBorder="1" applyAlignment="1" applyProtection="1">
      <alignment horizontal="left" wrapText="1"/>
    </xf>
    <xf numFmtId="0" fontId="9" fillId="0" borderId="95" xfId="0" applyFont="1" applyFill="1" applyBorder="1" applyAlignment="1" applyProtection="1">
      <alignment horizontal="left" wrapText="1"/>
    </xf>
    <xf numFmtId="0" fontId="9" fillId="0" borderId="96" xfId="0" applyFont="1" applyFill="1" applyBorder="1" applyAlignment="1" applyProtection="1">
      <alignment horizontal="left" wrapText="1"/>
    </xf>
    <xf numFmtId="0" fontId="16" fillId="0" borderId="32" xfId="0" applyFont="1" applyFill="1" applyBorder="1" applyAlignment="1" applyProtection="1">
      <alignment horizontal="left" wrapText="1"/>
    </xf>
    <xf numFmtId="0" fontId="16" fillId="0" borderId="39" xfId="0" applyFont="1" applyFill="1" applyBorder="1" applyAlignment="1" applyProtection="1">
      <alignment horizontal="left" wrapText="1"/>
    </xf>
    <xf numFmtId="0" fontId="16" fillId="0" borderId="29" xfId="0" applyFont="1" applyFill="1" applyBorder="1" applyAlignment="1" applyProtection="1">
      <alignment horizontal="left" wrapText="1"/>
    </xf>
    <xf numFmtId="0" fontId="9" fillId="0" borderId="94" xfId="0" applyFont="1" applyFill="1" applyBorder="1" applyAlignment="1" applyProtection="1">
      <alignment horizontal="left" wrapText="1"/>
    </xf>
    <xf numFmtId="0" fontId="1"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8" fillId="0" borderId="26" xfId="0" applyFont="1" applyBorder="1" applyAlignment="1">
      <alignment horizontal="left"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164" fontId="21" fillId="6" borderId="25" xfId="1"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center"/>
    </xf>
    <xf numFmtId="0" fontId="8" fillId="0" borderId="53"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91" xfId="0" applyFont="1" applyBorder="1" applyAlignment="1" applyProtection="1">
      <alignment horizontal="center" wrapText="1"/>
    </xf>
    <xf numFmtId="0" fontId="8" fillId="0" borderId="73" xfId="0" applyFont="1" applyBorder="1" applyAlignment="1" applyProtection="1">
      <alignment horizontal="center" wrapText="1"/>
    </xf>
    <xf numFmtId="0" fontId="8" fillId="0" borderId="70" xfId="0" applyFont="1" applyBorder="1" applyAlignment="1" applyProtection="1">
      <alignment horizontal="center" wrapText="1"/>
    </xf>
    <xf numFmtId="0" fontId="8" fillId="0" borderId="41" xfId="0" applyFont="1" applyBorder="1" applyAlignment="1" applyProtection="1">
      <alignment horizontal="center" wrapText="1"/>
    </xf>
    <xf numFmtId="0" fontId="8" fillId="0" borderId="32" xfId="0" applyFont="1" applyBorder="1" applyAlignment="1" applyProtection="1">
      <alignment horizontal="left" wrapText="1"/>
    </xf>
    <xf numFmtId="0" fontId="8" fillId="0" borderId="39" xfId="0" applyFont="1" applyBorder="1" applyAlignment="1" applyProtection="1">
      <alignment horizontal="left" wrapText="1"/>
    </xf>
    <xf numFmtId="0" fontId="8" fillId="0" borderId="29" xfId="0" applyFont="1" applyBorder="1" applyAlignment="1" applyProtection="1">
      <alignment horizontal="lef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8" fillId="0" borderId="32" xfId="0" applyFont="1" applyBorder="1" applyAlignment="1">
      <alignment horizontal="left" wrapText="1"/>
    </xf>
    <xf numFmtId="0" fontId="8" fillId="0" borderId="39" xfId="0" applyFont="1" applyBorder="1" applyAlignment="1">
      <alignment horizontal="left" wrapText="1"/>
    </xf>
    <xf numFmtId="0" fontId="8" fillId="0" borderId="29" xfId="0" applyFont="1" applyBorder="1" applyAlignment="1">
      <alignment horizontal="left" wrapText="1"/>
    </xf>
    <xf numFmtId="0" fontId="0" fillId="0" borderId="26" xfId="0" applyBorder="1" applyAlignment="1" applyProtection="1">
      <alignment horizontal="right"/>
    </xf>
    <xf numFmtId="0" fontId="0" fillId="0" borderId="26" xfId="0" applyBorder="1" applyAlignment="1" applyProtection="1"/>
    <xf numFmtId="0" fontId="0" fillId="0" borderId="10" xfId="0" applyBorder="1" applyAlignment="1" applyProtection="1">
      <alignment horizontal="right"/>
    </xf>
    <xf numFmtId="0" fontId="10" fillId="0" borderId="32" xfId="0" applyFont="1" applyBorder="1" applyAlignment="1" applyProtection="1">
      <alignment horizontal="left" wrapText="1"/>
    </xf>
    <xf numFmtId="0" fontId="15" fillId="0" borderId="39" xfId="0" applyFont="1" applyBorder="1" applyAlignment="1" applyProtection="1">
      <alignment horizontal="left" wrapText="1"/>
    </xf>
    <xf numFmtId="0" fontId="15" fillId="0" borderId="29" xfId="0" applyFont="1" applyBorder="1" applyAlignment="1" applyProtection="1">
      <alignment horizontal="left" wrapText="1"/>
    </xf>
    <xf numFmtId="165" fontId="11" fillId="0" borderId="17" xfId="0" applyNumberFormat="1" applyFont="1" applyBorder="1" applyAlignment="1" applyProtection="1">
      <alignment horizontal="right" indent="1"/>
    </xf>
    <xf numFmtId="165" fontId="11" fillId="0" borderId="18"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5" fontId="11" fillId="0" borderId="19" xfId="0" applyNumberFormat="1" applyFont="1" applyBorder="1" applyAlignment="1" applyProtection="1">
      <alignment horizontal="right" indent="1"/>
    </xf>
    <xf numFmtId="165" fontId="11" fillId="0" borderId="20" xfId="0" applyNumberFormat="1" applyFont="1" applyBorder="1" applyAlignment="1" applyProtection="1">
      <alignment horizontal="right" indent="1"/>
    </xf>
    <xf numFmtId="0" fontId="11" fillId="0" borderId="21" xfId="0" applyFont="1" applyBorder="1" applyAlignment="1" applyProtection="1">
      <alignment horizontal="left" wrapText="1"/>
    </xf>
    <xf numFmtId="0" fontId="11" fillId="0" borderId="17" xfId="0" applyFont="1" applyBorder="1" applyAlignment="1" applyProtection="1">
      <alignment horizontal="left" wrapText="1"/>
    </xf>
    <xf numFmtId="0" fontId="11" fillId="0" borderId="22"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3" xfId="0" applyFont="1" applyBorder="1" applyAlignment="1" applyProtection="1">
      <alignment horizontal="left" wrapText="1"/>
    </xf>
    <xf numFmtId="0" fontId="11" fillId="0" borderId="19" xfId="0" applyFont="1" applyBorder="1" applyAlignment="1" applyProtection="1">
      <alignment horizontal="left" wrapText="1"/>
    </xf>
    <xf numFmtId="0" fontId="15" fillId="0" borderId="32" xfId="0" applyFont="1" applyFill="1" applyBorder="1" applyAlignment="1" applyProtection="1">
      <alignment horizontal="left"/>
    </xf>
    <xf numFmtId="0" fontId="15" fillId="0" borderId="39" xfId="0" applyFont="1" applyFill="1" applyBorder="1" applyAlignment="1" applyProtection="1">
      <alignment horizontal="left"/>
    </xf>
    <xf numFmtId="0" fontId="15" fillId="0" borderId="29" xfId="0" applyFont="1" applyFill="1" applyBorder="1" applyAlignment="1" applyProtection="1">
      <alignment horizontal="left"/>
    </xf>
    <xf numFmtId="0" fontId="10" fillId="0" borderId="32" xfId="0" applyFont="1" applyFill="1" applyBorder="1" applyAlignment="1" applyProtection="1">
      <alignment horizontal="left" wrapText="1"/>
    </xf>
    <xf numFmtId="0" fontId="15" fillId="0" borderId="39"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8" fillId="0" borderId="28" xfId="0" applyFont="1" applyBorder="1" applyAlignment="1" applyProtection="1">
      <alignment horizontal="center"/>
    </xf>
    <xf numFmtId="0" fontId="0" fillId="0" borderId="28" xfId="0" applyBorder="1" applyAlignment="1" applyProtection="1">
      <alignment horizontal="center"/>
    </xf>
    <xf numFmtId="165" fontId="11" fillId="0" borderId="9" xfId="0" applyNumberFormat="1" applyFont="1" applyBorder="1" applyAlignment="1" applyProtection="1">
      <alignment horizontal="right" indent="1"/>
    </xf>
    <xf numFmtId="165" fontId="11" fillId="0" borderId="16" xfId="0" applyNumberFormat="1" applyFont="1" applyBorder="1" applyAlignment="1" applyProtection="1">
      <alignment horizontal="right" inden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9" fillId="0" borderId="24" xfId="20" applyFont="1" applyBorder="1" applyAlignment="1">
      <alignment horizontal="left" vertical="top" wrapText="1"/>
    </xf>
    <xf numFmtId="0" fontId="9" fillId="0" borderId="0" xfId="20" applyFont="1" applyBorder="1" applyAlignment="1">
      <alignment horizontal="left" vertical="top" wrapText="1"/>
    </xf>
  </cellXfs>
  <cellStyles count="27">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zoomScaleNormal="100" workbookViewId="0">
      <selection activeCell="B22" sqref="B22"/>
    </sheetView>
  </sheetViews>
  <sheetFormatPr defaultColWidth="9.140625" defaultRowHeight="12.75" x14ac:dyDescent="0.2"/>
  <cols>
    <col min="1" max="1" width="30.42578125" style="3" customWidth="1"/>
    <col min="2" max="2" width="19" style="3" customWidth="1"/>
    <col min="3" max="4" width="12.85546875" style="3" customWidth="1"/>
    <col min="5" max="5" width="11.140625" style="3" bestFit="1" customWidth="1"/>
    <col min="6" max="7" width="13.5703125" style="4" customWidth="1"/>
    <col min="8" max="9" width="13.5703125" style="5" customWidth="1"/>
    <col min="10" max="10" width="12.42578125" style="5" customWidth="1"/>
    <col min="11" max="14" width="13.5703125" style="5" customWidth="1"/>
    <col min="15" max="16" width="13.5703125" style="30" customWidth="1"/>
    <col min="17" max="17" width="9.140625" style="30"/>
    <col min="18" max="18" width="8.85546875" style="30" bestFit="1" customWidth="1"/>
    <col min="19" max="19" width="13.5703125" style="30" bestFit="1" customWidth="1"/>
    <col min="20" max="20" width="9.42578125" style="30" bestFit="1" customWidth="1"/>
    <col min="21" max="21" width="18" style="30" bestFit="1" customWidth="1"/>
    <col min="22" max="22" width="9.42578125" style="30" bestFit="1" customWidth="1"/>
    <col min="23" max="23" width="16.42578125" style="30" customWidth="1"/>
    <col min="24" max="26" width="9.140625" style="30" customWidth="1"/>
    <col min="27" max="27" width="9.140625" style="30"/>
    <col min="28" max="16384" width="9.140625" style="5"/>
  </cols>
  <sheetData>
    <row r="1" spans="1:27" ht="39.950000000000003" customHeight="1" x14ac:dyDescent="0.2">
      <c r="A1" s="476" t="s">
        <v>327</v>
      </c>
      <c r="B1" s="476"/>
      <c r="C1" s="476"/>
      <c r="D1" s="476"/>
      <c r="E1" s="476"/>
      <c r="F1" s="476"/>
      <c r="G1" s="476"/>
      <c r="H1" s="476"/>
      <c r="I1" s="476"/>
    </row>
    <row r="2" spans="1:27" x14ac:dyDescent="0.2">
      <c r="A2" s="80"/>
      <c r="C2" s="6"/>
      <c r="D2" s="6"/>
      <c r="E2" s="6"/>
      <c r="F2" s="6"/>
    </row>
    <row r="3" spans="1:27" ht="18" x14ac:dyDescent="0.25">
      <c r="A3" s="297" t="s">
        <v>252</v>
      </c>
      <c r="C3" s="6"/>
      <c r="D3" s="6"/>
      <c r="E3" s="6"/>
      <c r="F3" s="6"/>
    </row>
    <row r="4" spans="1:27" x14ac:dyDescent="0.2">
      <c r="A4" s="80"/>
      <c r="B4" s="19"/>
      <c r="C4" s="6"/>
      <c r="D4" s="6"/>
      <c r="E4" s="6"/>
      <c r="F4" s="6"/>
    </row>
    <row r="5" spans="1:27" ht="12.75" customHeight="1" x14ac:dyDescent="0.25">
      <c r="A5" s="79" t="s">
        <v>271</v>
      </c>
      <c r="B5" s="337"/>
      <c r="C5" s="143"/>
      <c r="F5" s="6"/>
      <c r="S5" s="6"/>
      <c r="T5" s="6"/>
      <c r="V5" s="78"/>
    </row>
    <row r="6" spans="1:27" ht="12.75" customHeight="1" x14ac:dyDescent="0.25">
      <c r="A6" s="79" t="s">
        <v>269</v>
      </c>
      <c r="B6" s="338"/>
      <c r="C6" s="143"/>
      <c r="F6" s="6"/>
      <c r="P6" s="77"/>
      <c r="Q6" s="77"/>
      <c r="R6" s="77"/>
      <c r="U6" s="78"/>
      <c r="V6" s="78"/>
      <c r="W6" s="77"/>
      <c r="X6" s="77"/>
      <c r="Y6" s="77"/>
    </row>
    <row r="7" spans="1:27" ht="15" x14ac:dyDescent="0.25">
      <c r="A7" s="79" t="s">
        <v>270</v>
      </c>
      <c r="B7" s="338"/>
      <c r="C7" s="69"/>
      <c r="D7" s="5"/>
      <c r="E7" s="68"/>
      <c r="F7" s="5"/>
      <c r="G7" s="5"/>
      <c r="O7" s="5"/>
      <c r="P7" s="5"/>
      <c r="Q7" s="5"/>
      <c r="R7" s="5"/>
      <c r="S7" s="5"/>
      <c r="T7" s="5"/>
      <c r="U7" s="5"/>
      <c r="V7" s="5"/>
      <c r="X7" s="5"/>
      <c r="Y7" s="5"/>
      <c r="Z7" s="5"/>
      <c r="AA7" s="5"/>
    </row>
    <row r="8" spans="1:27" x14ac:dyDescent="0.2">
      <c r="A8" s="15"/>
      <c r="B8" s="134"/>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5" x14ac:dyDescent="0.25">
      <c r="A12" s="79" t="s">
        <v>292</v>
      </c>
      <c r="B12" s="137"/>
      <c r="C12" s="339"/>
      <c r="D12" s="82">
        <f>+Spending!P60</f>
        <v>0</v>
      </c>
      <c r="E12" s="82">
        <f>+C12*D12</f>
        <v>0</v>
      </c>
      <c r="F12" s="68"/>
      <c r="G12" s="68"/>
      <c r="H12" s="68"/>
      <c r="I12" s="68"/>
      <c r="J12" s="68"/>
      <c r="K12" s="68"/>
      <c r="L12" s="68"/>
      <c r="M12" s="68"/>
      <c r="N12" s="68"/>
      <c r="O12" s="68"/>
      <c r="P12" s="68"/>
      <c r="Q12" s="68"/>
      <c r="R12" s="68"/>
      <c r="S12" s="68"/>
      <c r="T12" s="68"/>
      <c r="U12" s="68"/>
      <c r="V12" s="68"/>
      <c r="W12" s="68"/>
      <c r="X12" s="5"/>
      <c r="Y12" s="5"/>
      <c r="Z12" s="5"/>
      <c r="AA12" s="5"/>
    </row>
    <row r="13" spans="1:27" ht="15" x14ac:dyDescent="0.25">
      <c r="A13" s="79" t="s">
        <v>293</v>
      </c>
      <c r="B13" s="137"/>
      <c r="C13" s="339"/>
      <c r="D13" s="82">
        <f>+Spending!S60</f>
        <v>0</v>
      </c>
      <c r="E13" s="82">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5" thickBot="1" x14ac:dyDescent="0.25">
      <c r="A15" s="19"/>
      <c r="B15" s="19"/>
      <c r="C15" s="138"/>
      <c r="D15" s="4"/>
      <c r="E15" s="4"/>
      <c r="F15" s="5"/>
      <c r="G15" s="5"/>
      <c r="O15" s="5"/>
      <c r="P15" s="5"/>
      <c r="Q15" s="5"/>
      <c r="R15" s="5"/>
      <c r="S15" s="5"/>
      <c r="T15" s="5"/>
      <c r="U15" s="5"/>
      <c r="V15" s="5"/>
      <c r="W15" s="5"/>
      <c r="X15" s="5"/>
      <c r="Y15" s="5"/>
      <c r="Z15" s="5"/>
      <c r="AA15" s="5"/>
    </row>
    <row r="16" spans="1:27" ht="18.75" thickBot="1" x14ac:dyDescent="0.3">
      <c r="A16" s="327" t="s">
        <v>103</v>
      </c>
      <c r="B16" s="328"/>
      <c r="C16" s="410">
        <f>IFERROR(D14/C14,0)</f>
        <v>0</v>
      </c>
      <c r="D16" s="316"/>
      <c r="E16" s="4"/>
      <c r="F16" s="22"/>
      <c r="G16" s="22"/>
      <c r="H16" s="22"/>
      <c r="I16" s="22"/>
      <c r="J16" s="22"/>
      <c r="L16" s="22"/>
      <c r="M16" s="22"/>
      <c r="N16" s="22"/>
      <c r="O16" s="22"/>
      <c r="P16" s="22"/>
      <c r="Q16" s="5"/>
      <c r="R16" s="5"/>
      <c r="S16" s="5"/>
      <c r="T16" s="5"/>
      <c r="U16" s="5"/>
      <c r="V16" s="5"/>
      <c r="W16" s="5"/>
      <c r="X16" s="5"/>
      <c r="Y16" s="5"/>
      <c r="Z16" s="5"/>
      <c r="AA16" s="5"/>
    </row>
    <row r="17" spans="1:27" ht="18" x14ac:dyDescent="0.25">
      <c r="A17" s="134"/>
      <c r="B17" s="134"/>
      <c r="C17" s="134"/>
      <c r="D17" s="316"/>
      <c r="E17" s="297" t="s">
        <v>260</v>
      </c>
      <c r="F17" s="22"/>
      <c r="G17" s="22"/>
      <c r="H17" s="22"/>
      <c r="I17" s="22"/>
      <c r="J17" s="22"/>
      <c r="L17" s="22"/>
      <c r="M17" s="22"/>
      <c r="N17" s="22"/>
      <c r="O17" s="22"/>
      <c r="P17" s="22"/>
      <c r="Q17" s="5"/>
      <c r="R17" s="297" t="s">
        <v>284</v>
      </c>
      <c r="S17" s="5"/>
      <c r="T17" s="5"/>
      <c r="U17" s="5"/>
      <c r="V17" s="5"/>
      <c r="W17" s="5"/>
      <c r="X17" s="5"/>
      <c r="Y17" s="5"/>
      <c r="Z17" s="5"/>
      <c r="AA17" s="5"/>
    </row>
    <row r="18" spans="1:27" x14ac:dyDescent="0.2">
      <c r="B18" s="134"/>
      <c r="C18" s="134"/>
      <c r="D18" s="144"/>
      <c r="E18" s="387" t="s">
        <v>282</v>
      </c>
      <c r="F18" s="388"/>
      <c r="G18" s="388"/>
      <c r="H18" s="390"/>
      <c r="I18" s="389"/>
      <c r="J18" s="146"/>
      <c r="K18" s="387" t="s">
        <v>283</v>
      </c>
      <c r="L18" s="388"/>
      <c r="M18" s="388"/>
      <c r="N18" s="390"/>
      <c r="O18" s="389"/>
      <c r="Q18" s="155"/>
      <c r="S18" s="472" t="s">
        <v>328</v>
      </c>
      <c r="T18" s="473"/>
      <c r="U18" s="474" t="s">
        <v>329</v>
      </c>
      <c r="V18" s="475"/>
      <c r="W18" s="136"/>
      <c r="X18" s="5"/>
      <c r="Y18" s="5"/>
      <c r="Z18" s="5"/>
      <c r="AA18" s="5"/>
    </row>
    <row r="19" spans="1:27" ht="51.75" x14ac:dyDescent="0.25">
      <c r="A19" s="135" t="s">
        <v>250</v>
      </c>
      <c r="B19" s="5"/>
      <c r="C19" s="5"/>
      <c r="D19" s="378" t="s">
        <v>92</v>
      </c>
      <c r="E19" s="385" t="s">
        <v>218</v>
      </c>
      <c r="F19" s="386" t="s">
        <v>1</v>
      </c>
      <c r="G19" s="386" t="s">
        <v>219</v>
      </c>
      <c r="H19" s="386" t="s">
        <v>220</v>
      </c>
      <c r="I19" s="145" t="s">
        <v>15</v>
      </c>
      <c r="J19" s="152"/>
      <c r="K19" s="385" t="s">
        <v>218</v>
      </c>
      <c r="L19" s="386" t="s">
        <v>1</v>
      </c>
      <c r="M19" s="386" t="s">
        <v>219</v>
      </c>
      <c r="N19" s="386" t="s">
        <v>220</v>
      </c>
      <c r="O19" s="145" t="s">
        <v>15</v>
      </c>
      <c r="Q19" s="147"/>
      <c r="R19" s="19"/>
      <c r="S19" s="84" t="s">
        <v>234</v>
      </c>
      <c r="T19" s="471" t="s">
        <v>108</v>
      </c>
      <c r="U19" s="86" t="s">
        <v>233</v>
      </c>
      <c r="V19" s="85" t="s">
        <v>235</v>
      </c>
      <c r="W19" s="22"/>
      <c r="X19" s="5"/>
      <c r="Y19" s="5"/>
      <c r="Z19" s="5"/>
      <c r="AA19" s="5"/>
    </row>
    <row r="20" spans="1:27" ht="15" x14ac:dyDescent="0.25">
      <c r="A20" s="79" t="s">
        <v>105</v>
      </c>
      <c r="B20" s="79"/>
      <c r="C20" s="79"/>
      <c r="D20" s="379" t="s">
        <v>54</v>
      </c>
      <c r="E20" s="351"/>
      <c r="F20" s="351"/>
      <c r="G20" s="351"/>
      <c r="H20" s="351"/>
      <c r="I20" s="148">
        <f t="shared" ref="I20:I55" si="0">SUM(E20:H20)</f>
        <v>0</v>
      </c>
      <c r="J20" s="153"/>
      <c r="K20" s="351"/>
      <c r="L20" s="351"/>
      <c r="M20" s="351"/>
      <c r="N20" s="351"/>
      <c r="O20" s="352">
        <f t="shared" ref="O20:O55" si="1">SUM(K20:N20)</f>
        <v>0</v>
      </c>
      <c r="Q20" s="147"/>
      <c r="R20" s="21" t="s">
        <v>54</v>
      </c>
      <c r="S20" s="347">
        <f t="shared" ref="S20:S55" si="2">I20</f>
        <v>0</v>
      </c>
      <c r="T20" s="346">
        <v>241.68</v>
      </c>
      <c r="U20" s="347">
        <f t="shared" ref="U20:U55" si="3">O20</f>
        <v>0</v>
      </c>
      <c r="V20" s="317">
        <v>241.68</v>
      </c>
      <c r="W20" s="342">
        <f>(S20*T20)+(U20*V20)</f>
        <v>0</v>
      </c>
      <c r="X20" s="5"/>
      <c r="Y20" s="5"/>
      <c r="Z20" s="5"/>
      <c r="AA20" s="5"/>
    </row>
    <row r="21" spans="1:27" ht="15" x14ac:dyDescent="0.25">
      <c r="A21" s="79" t="s">
        <v>105</v>
      </c>
      <c r="B21" s="79"/>
      <c r="C21" s="79"/>
      <c r="D21" s="379" t="s">
        <v>55</v>
      </c>
      <c r="E21" s="351"/>
      <c r="F21" s="351"/>
      <c r="G21" s="351"/>
      <c r="H21" s="351"/>
      <c r="I21" s="148">
        <f t="shared" si="0"/>
        <v>0</v>
      </c>
      <c r="J21" s="153"/>
      <c r="K21" s="351"/>
      <c r="L21" s="351"/>
      <c r="M21" s="351"/>
      <c r="N21" s="351"/>
      <c r="O21" s="352">
        <f t="shared" si="1"/>
        <v>0</v>
      </c>
      <c r="Q21" s="147"/>
      <c r="R21" s="21" t="s">
        <v>55</v>
      </c>
      <c r="S21" s="347">
        <f t="shared" si="2"/>
        <v>0</v>
      </c>
      <c r="T21" s="346">
        <v>204.5</v>
      </c>
      <c r="U21" s="347">
        <f t="shared" si="3"/>
        <v>0</v>
      </c>
      <c r="V21" s="317">
        <v>204.5</v>
      </c>
      <c r="W21" s="342">
        <f t="shared" ref="W21:W46" si="4">(S21*T21)+(U21*V21)</f>
        <v>0</v>
      </c>
      <c r="X21" s="5"/>
      <c r="Y21" s="5"/>
      <c r="Z21" s="5"/>
      <c r="AA21" s="5"/>
    </row>
    <row r="22" spans="1:27" ht="15" x14ac:dyDescent="0.25">
      <c r="A22" s="79" t="s">
        <v>105</v>
      </c>
      <c r="B22" s="79"/>
      <c r="C22" s="79"/>
      <c r="D22" s="379" t="s">
        <v>56</v>
      </c>
      <c r="E22" s="351"/>
      <c r="F22" s="351"/>
      <c r="G22" s="351"/>
      <c r="H22" s="351"/>
      <c r="I22" s="148">
        <f t="shared" si="0"/>
        <v>0</v>
      </c>
      <c r="J22" s="153"/>
      <c r="K22" s="351"/>
      <c r="L22" s="351"/>
      <c r="M22" s="351"/>
      <c r="N22" s="351"/>
      <c r="O22" s="352">
        <f t="shared" si="1"/>
        <v>0</v>
      </c>
      <c r="Q22" s="147"/>
      <c r="R22" s="21" t="s">
        <v>56</v>
      </c>
      <c r="S22" s="347">
        <f t="shared" si="2"/>
        <v>0</v>
      </c>
      <c r="T22" s="346">
        <v>187.38</v>
      </c>
      <c r="U22" s="347">
        <f t="shared" si="3"/>
        <v>0</v>
      </c>
      <c r="V22" s="317">
        <v>187.38</v>
      </c>
      <c r="W22" s="342">
        <f t="shared" si="4"/>
        <v>0</v>
      </c>
      <c r="X22" s="5"/>
      <c r="Y22" s="5"/>
      <c r="Z22" s="5"/>
      <c r="AA22" s="5"/>
    </row>
    <row r="23" spans="1:27" ht="15" x14ac:dyDescent="0.25">
      <c r="A23" s="79" t="s">
        <v>105</v>
      </c>
      <c r="B23" s="79"/>
      <c r="C23" s="79"/>
      <c r="D23" s="379" t="s">
        <v>57</v>
      </c>
      <c r="E23" s="351"/>
      <c r="F23" s="351"/>
      <c r="G23" s="351"/>
      <c r="H23" s="351"/>
      <c r="I23" s="148">
        <f t="shared" si="0"/>
        <v>0</v>
      </c>
      <c r="J23" s="153"/>
      <c r="K23" s="351"/>
      <c r="L23" s="351"/>
      <c r="M23" s="351"/>
      <c r="N23" s="351"/>
      <c r="O23" s="352">
        <f t="shared" si="1"/>
        <v>0</v>
      </c>
      <c r="Q23" s="147"/>
      <c r="R23" s="21" t="s">
        <v>57</v>
      </c>
      <c r="S23" s="347">
        <f t="shared" si="2"/>
        <v>0</v>
      </c>
      <c r="T23" s="346">
        <v>155.51</v>
      </c>
      <c r="U23" s="347">
        <f t="shared" si="3"/>
        <v>0</v>
      </c>
      <c r="V23" s="317">
        <v>155.51</v>
      </c>
      <c r="W23" s="342">
        <f t="shared" si="4"/>
        <v>0</v>
      </c>
      <c r="X23" s="5"/>
      <c r="Y23" s="5"/>
      <c r="Z23" s="5"/>
      <c r="AA23" s="5"/>
    </row>
    <row r="24" spans="1:27" ht="15" x14ac:dyDescent="0.25">
      <c r="A24" s="79" t="s">
        <v>105</v>
      </c>
      <c r="B24" s="79"/>
      <c r="C24" s="79"/>
      <c r="D24" s="379" t="s">
        <v>58</v>
      </c>
      <c r="E24" s="351"/>
      <c r="F24" s="351"/>
      <c r="G24" s="351"/>
      <c r="H24" s="351"/>
      <c r="I24" s="148">
        <f t="shared" si="0"/>
        <v>0</v>
      </c>
      <c r="J24" s="153"/>
      <c r="K24" s="351"/>
      <c r="L24" s="351"/>
      <c r="M24" s="351"/>
      <c r="N24" s="351"/>
      <c r="O24" s="352">
        <f t="shared" si="1"/>
        <v>0</v>
      </c>
      <c r="Q24" s="147"/>
      <c r="R24" s="21" t="s">
        <v>58</v>
      </c>
      <c r="S24" s="347">
        <f t="shared" si="2"/>
        <v>0</v>
      </c>
      <c r="T24" s="346">
        <v>303.60000000000002</v>
      </c>
      <c r="U24" s="347">
        <f t="shared" si="3"/>
        <v>0</v>
      </c>
      <c r="V24" s="317">
        <v>303.60000000000002</v>
      </c>
      <c r="W24" s="342">
        <f t="shared" si="4"/>
        <v>0</v>
      </c>
      <c r="X24" s="5"/>
      <c r="Y24" s="5"/>
      <c r="Z24" s="5"/>
      <c r="AA24" s="5"/>
    </row>
    <row r="25" spans="1:27" ht="15" x14ac:dyDescent="0.25">
      <c r="A25" s="79" t="s">
        <v>105</v>
      </c>
      <c r="B25" s="79"/>
      <c r="C25" s="79"/>
      <c r="D25" s="379" t="s">
        <v>59</v>
      </c>
      <c r="E25" s="351"/>
      <c r="F25" s="351"/>
      <c r="G25" s="351"/>
      <c r="H25" s="351"/>
      <c r="I25" s="148">
        <f t="shared" si="0"/>
        <v>0</v>
      </c>
      <c r="J25" s="153"/>
      <c r="K25" s="351"/>
      <c r="L25" s="351"/>
      <c r="M25" s="351"/>
      <c r="N25" s="351"/>
      <c r="O25" s="352">
        <f t="shared" si="1"/>
        <v>0</v>
      </c>
      <c r="Q25" s="147"/>
      <c r="R25" s="21" t="s">
        <v>59</v>
      </c>
      <c r="S25" s="347">
        <f t="shared" si="2"/>
        <v>0</v>
      </c>
      <c r="T25" s="346">
        <v>246.13</v>
      </c>
      <c r="U25" s="347">
        <f t="shared" si="3"/>
        <v>0</v>
      </c>
      <c r="V25" s="317">
        <v>246.13</v>
      </c>
      <c r="W25" s="342">
        <f t="shared" si="4"/>
        <v>0</v>
      </c>
      <c r="X25" s="5"/>
      <c r="Y25" s="5"/>
      <c r="Z25" s="5"/>
      <c r="AA25" s="5"/>
    </row>
    <row r="26" spans="1:27" ht="15" x14ac:dyDescent="0.25">
      <c r="A26" s="79" t="s">
        <v>105</v>
      </c>
      <c r="B26" s="79"/>
      <c r="C26" s="79"/>
      <c r="D26" s="379" t="s">
        <v>60</v>
      </c>
      <c r="E26" s="351"/>
      <c r="F26" s="351"/>
      <c r="G26" s="351"/>
      <c r="H26" s="351"/>
      <c r="I26" s="148">
        <f t="shared" si="0"/>
        <v>0</v>
      </c>
      <c r="J26" s="153"/>
      <c r="K26" s="351"/>
      <c r="L26" s="351"/>
      <c r="M26" s="351"/>
      <c r="N26" s="351"/>
      <c r="O26" s="352">
        <f t="shared" si="1"/>
        <v>0</v>
      </c>
      <c r="Q26" s="147"/>
      <c r="R26" s="21" t="s">
        <v>60</v>
      </c>
      <c r="S26" s="347">
        <f t="shared" si="2"/>
        <v>0</v>
      </c>
      <c r="T26" s="346">
        <v>203.61</v>
      </c>
      <c r="U26" s="347">
        <f t="shared" si="3"/>
        <v>0</v>
      </c>
      <c r="V26" s="317">
        <v>203.61</v>
      </c>
      <c r="W26" s="342">
        <f t="shared" si="4"/>
        <v>0</v>
      </c>
      <c r="X26" s="5"/>
      <c r="Y26" s="5"/>
      <c r="Z26" s="5"/>
      <c r="AA26" s="5"/>
    </row>
    <row r="27" spans="1:27" ht="15" x14ac:dyDescent="0.25">
      <c r="A27" s="79" t="s">
        <v>105</v>
      </c>
      <c r="B27" s="79"/>
      <c r="C27" s="79"/>
      <c r="D27" s="379" t="s">
        <v>61</v>
      </c>
      <c r="E27" s="351"/>
      <c r="F27" s="351"/>
      <c r="G27" s="351"/>
      <c r="H27" s="351"/>
      <c r="I27" s="148">
        <f t="shared" si="0"/>
        <v>0</v>
      </c>
      <c r="J27" s="153"/>
      <c r="K27" s="351"/>
      <c r="L27" s="351"/>
      <c r="M27" s="351"/>
      <c r="N27" s="351"/>
      <c r="O27" s="352">
        <f t="shared" si="1"/>
        <v>0</v>
      </c>
      <c r="Q27" s="147"/>
      <c r="R27" s="21" t="s">
        <v>61</v>
      </c>
      <c r="S27" s="347">
        <f t="shared" si="2"/>
        <v>0</v>
      </c>
      <c r="T27" s="346">
        <v>197.05</v>
      </c>
      <c r="U27" s="347">
        <f t="shared" si="3"/>
        <v>0</v>
      </c>
      <c r="V27" s="317">
        <v>197.05</v>
      </c>
      <c r="W27" s="342">
        <f t="shared" si="4"/>
        <v>0</v>
      </c>
      <c r="X27" s="5"/>
      <c r="Y27" s="5"/>
      <c r="Z27" s="5"/>
      <c r="AA27" s="5"/>
    </row>
    <row r="28" spans="1:27" ht="15" x14ac:dyDescent="0.25">
      <c r="A28" s="79" t="s">
        <v>105</v>
      </c>
      <c r="B28" s="79"/>
      <c r="C28" s="79"/>
      <c r="D28" s="379" t="s">
        <v>62</v>
      </c>
      <c r="E28" s="351"/>
      <c r="F28" s="351"/>
      <c r="G28" s="351"/>
      <c r="H28" s="351"/>
      <c r="I28" s="148">
        <f t="shared" si="0"/>
        <v>0</v>
      </c>
      <c r="J28" s="153"/>
      <c r="K28" s="351"/>
      <c r="L28" s="351"/>
      <c r="M28" s="351"/>
      <c r="N28" s="351"/>
      <c r="O28" s="352">
        <f t="shared" si="1"/>
        <v>0</v>
      </c>
      <c r="Q28" s="147"/>
      <c r="R28" s="21" t="s">
        <v>62</v>
      </c>
      <c r="S28" s="347">
        <f t="shared" si="2"/>
        <v>0</v>
      </c>
      <c r="T28" s="346">
        <v>182.08</v>
      </c>
      <c r="U28" s="347">
        <f t="shared" si="3"/>
        <v>0</v>
      </c>
      <c r="V28" s="317">
        <v>182.08</v>
      </c>
      <c r="W28" s="342">
        <f t="shared" si="4"/>
        <v>0</v>
      </c>
      <c r="X28" s="5"/>
      <c r="Y28" s="5"/>
      <c r="Z28" s="5"/>
      <c r="AA28" s="5"/>
    </row>
    <row r="29" spans="1:27" ht="15" x14ac:dyDescent="0.25">
      <c r="A29" s="79" t="s">
        <v>105</v>
      </c>
      <c r="B29" s="79"/>
      <c r="C29" s="79"/>
      <c r="D29" s="379" t="s">
        <v>63</v>
      </c>
      <c r="E29" s="351"/>
      <c r="F29" s="351"/>
      <c r="G29" s="351"/>
      <c r="H29" s="351"/>
      <c r="I29" s="148">
        <f t="shared" si="0"/>
        <v>0</v>
      </c>
      <c r="J29" s="153"/>
      <c r="K29" s="351"/>
      <c r="L29" s="351"/>
      <c r="M29" s="351"/>
      <c r="N29" s="351"/>
      <c r="O29" s="352">
        <f t="shared" si="1"/>
        <v>0</v>
      </c>
      <c r="Q29" s="147"/>
      <c r="R29" s="21" t="s">
        <v>63</v>
      </c>
      <c r="S29" s="347">
        <f t="shared" si="2"/>
        <v>0</v>
      </c>
      <c r="T29" s="346">
        <v>181.5</v>
      </c>
      <c r="U29" s="347">
        <f t="shared" si="3"/>
        <v>0</v>
      </c>
      <c r="V29" s="317">
        <v>181.5</v>
      </c>
      <c r="W29" s="342">
        <f t="shared" si="4"/>
        <v>0</v>
      </c>
      <c r="X29" s="5"/>
      <c r="Y29" s="5"/>
      <c r="Z29" s="5"/>
      <c r="AA29" s="5"/>
    </row>
    <row r="30" spans="1:27" ht="15" x14ac:dyDescent="0.25">
      <c r="A30" s="79" t="s">
        <v>105</v>
      </c>
      <c r="B30" s="79"/>
      <c r="C30" s="79"/>
      <c r="D30" s="379" t="s">
        <v>64</v>
      </c>
      <c r="E30" s="351"/>
      <c r="F30" s="351"/>
      <c r="G30" s="351"/>
      <c r="H30" s="351"/>
      <c r="I30" s="148">
        <f t="shared" si="0"/>
        <v>0</v>
      </c>
      <c r="J30" s="153"/>
      <c r="K30" s="351"/>
      <c r="L30" s="351"/>
      <c r="M30" s="351"/>
      <c r="N30" s="351"/>
      <c r="O30" s="352">
        <f t="shared" si="1"/>
        <v>0</v>
      </c>
      <c r="Q30" s="147"/>
      <c r="R30" s="21" t="s">
        <v>64</v>
      </c>
      <c r="S30" s="347">
        <f t="shared" si="2"/>
        <v>0</v>
      </c>
      <c r="T30" s="346">
        <v>146.86000000000001</v>
      </c>
      <c r="U30" s="347">
        <f t="shared" si="3"/>
        <v>0</v>
      </c>
      <c r="V30" s="317">
        <v>146.86000000000001</v>
      </c>
      <c r="W30" s="342">
        <f t="shared" si="4"/>
        <v>0</v>
      </c>
      <c r="X30" s="5"/>
      <c r="Y30" s="5"/>
      <c r="Z30" s="5"/>
      <c r="AA30" s="5"/>
    </row>
    <row r="31" spans="1:27" ht="15" x14ac:dyDescent="0.25">
      <c r="A31" s="79" t="s">
        <v>105</v>
      </c>
      <c r="B31" s="79"/>
      <c r="C31" s="79"/>
      <c r="D31" s="379" t="s">
        <v>65</v>
      </c>
      <c r="E31" s="351"/>
      <c r="F31" s="351"/>
      <c r="G31" s="351"/>
      <c r="H31" s="351"/>
      <c r="I31" s="148">
        <f t="shared" si="0"/>
        <v>0</v>
      </c>
      <c r="J31" s="153"/>
      <c r="K31" s="351"/>
      <c r="L31" s="351"/>
      <c r="M31" s="351"/>
      <c r="N31" s="351"/>
      <c r="O31" s="352">
        <f t="shared" si="1"/>
        <v>0</v>
      </c>
      <c r="Q31" s="147"/>
      <c r="R31" s="21" t="s">
        <v>65</v>
      </c>
      <c r="S31" s="347">
        <f t="shared" si="2"/>
        <v>0</v>
      </c>
      <c r="T31" s="346">
        <v>135.05000000000001</v>
      </c>
      <c r="U31" s="347">
        <f t="shared" si="3"/>
        <v>0</v>
      </c>
      <c r="V31" s="317">
        <v>135.05000000000001</v>
      </c>
      <c r="W31" s="342">
        <f t="shared" si="4"/>
        <v>0</v>
      </c>
      <c r="X31" s="5"/>
      <c r="Y31" s="5"/>
      <c r="Z31" s="5"/>
      <c r="AA31" s="5"/>
    </row>
    <row r="32" spans="1:27" ht="15" x14ac:dyDescent="0.25">
      <c r="A32" s="79" t="s">
        <v>105</v>
      </c>
      <c r="B32" s="79"/>
      <c r="C32" s="79"/>
      <c r="D32" s="379" t="s">
        <v>66</v>
      </c>
      <c r="E32" s="351"/>
      <c r="F32" s="351"/>
      <c r="G32" s="351"/>
      <c r="H32" s="351"/>
      <c r="I32" s="148">
        <f t="shared" si="0"/>
        <v>0</v>
      </c>
      <c r="J32" s="153"/>
      <c r="K32" s="351"/>
      <c r="L32" s="351"/>
      <c r="M32" s="351"/>
      <c r="N32" s="351"/>
      <c r="O32" s="352">
        <f t="shared" si="1"/>
        <v>0</v>
      </c>
      <c r="Q32" s="147"/>
      <c r="R32" s="21" t="s">
        <v>66</v>
      </c>
      <c r="S32" s="347">
        <f t="shared" si="2"/>
        <v>0</v>
      </c>
      <c r="T32" s="346">
        <v>128.37</v>
      </c>
      <c r="U32" s="347">
        <f t="shared" si="3"/>
        <v>0</v>
      </c>
      <c r="V32" s="317">
        <v>128.37</v>
      </c>
      <c r="W32" s="342">
        <f t="shared" si="4"/>
        <v>0</v>
      </c>
      <c r="X32" s="5"/>
      <c r="Y32" s="5"/>
      <c r="Z32" s="5"/>
      <c r="AA32" s="5"/>
    </row>
    <row r="33" spans="1:27" ht="15" x14ac:dyDescent="0.25">
      <c r="A33" s="79" t="s">
        <v>105</v>
      </c>
      <c r="B33" s="79"/>
      <c r="C33" s="79"/>
      <c r="D33" s="379" t="s">
        <v>67</v>
      </c>
      <c r="E33" s="351"/>
      <c r="F33" s="351"/>
      <c r="G33" s="351"/>
      <c r="H33" s="351"/>
      <c r="I33" s="148">
        <f t="shared" si="0"/>
        <v>0</v>
      </c>
      <c r="J33" s="153"/>
      <c r="K33" s="351"/>
      <c r="L33" s="351"/>
      <c r="M33" s="351"/>
      <c r="N33" s="351"/>
      <c r="O33" s="352">
        <f t="shared" si="1"/>
        <v>0</v>
      </c>
      <c r="Q33" s="147"/>
      <c r="R33" s="21" t="s">
        <v>67</v>
      </c>
      <c r="S33" s="347">
        <f t="shared" si="2"/>
        <v>0</v>
      </c>
      <c r="T33" s="346">
        <v>119.06</v>
      </c>
      <c r="U33" s="347">
        <f t="shared" si="3"/>
        <v>0</v>
      </c>
      <c r="V33" s="317">
        <v>119.06</v>
      </c>
      <c r="W33" s="342">
        <f t="shared" si="4"/>
        <v>0</v>
      </c>
      <c r="X33" s="5"/>
      <c r="Y33" s="5"/>
      <c r="Z33" s="5"/>
      <c r="AA33" s="5"/>
    </row>
    <row r="34" spans="1:27" ht="15" x14ac:dyDescent="0.25">
      <c r="A34" s="79" t="s">
        <v>105</v>
      </c>
      <c r="B34" s="79"/>
      <c r="C34" s="79"/>
      <c r="D34" s="379" t="s">
        <v>68</v>
      </c>
      <c r="E34" s="351"/>
      <c r="F34" s="351"/>
      <c r="G34" s="351"/>
      <c r="H34" s="351"/>
      <c r="I34" s="148">
        <f t="shared" si="0"/>
        <v>0</v>
      </c>
      <c r="J34" s="153"/>
      <c r="K34" s="351"/>
      <c r="L34" s="351"/>
      <c r="M34" s="351"/>
      <c r="N34" s="351"/>
      <c r="O34" s="352">
        <f t="shared" si="1"/>
        <v>0</v>
      </c>
      <c r="Q34" s="147"/>
      <c r="R34" s="21" t="s">
        <v>68</v>
      </c>
      <c r="S34" s="347">
        <f t="shared" si="2"/>
        <v>0</v>
      </c>
      <c r="T34" s="346">
        <v>109.15</v>
      </c>
      <c r="U34" s="347">
        <f t="shared" si="3"/>
        <v>0</v>
      </c>
      <c r="V34" s="317">
        <v>109.15</v>
      </c>
      <c r="W34" s="342">
        <f t="shared" si="4"/>
        <v>0</v>
      </c>
      <c r="X34" s="5"/>
      <c r="Y34" s="5"/>
      <c r="Z34" s="5"/>
      <c r="AA34" s="5"/>
    </row>
    <row r="35" spans="1:27" ht="15" x14ac:dyDescent="0.25">
      <c r="A35" s="79" t="s">
        <v>105</v>
      </c>
      <c r="B35" s="79"/>
      <c r="C35" s="79"/>
      <c r="D35" s="379" t="s">
        <v>69</v>
      </c>
      <c r="E35" s="351"/>
      <c r="F35" s="351"/>
      <c r="G35" s="351"/>
      <c r="H35" s="351"/>
      <c r="I35" s="148">
        <f t="shared" si="0"/>
        <v>0</v>
      </c>
      <c r="J35" s="153"/>
      <c r="K35" s="351"/>
      <c r="L35" s="351"/>
      <c r="M35" s="351"/>
      <c r="N35" s="351"/>
      <c r="O35" s="352">
        <f t="shared" si="1"/>
        <v>0</v>
      </c>
      <c r="Q35" s="147"/>
      <c r="R35" s="21" t="s">
        <v>69</v>
      </c>
      <c r="S35" s="347">
        <f t="shared" si="2"/>
        <v>0</v>
      </c>
      <c r="T35" s="346">
        <v>98.01</v>
      </c>
      <c r="U35" s="347">
        <f t="shared" si="3"/>
        <v>0</v>
      </c>
      <c r="V35" s="317">
        <v>98.01</v>
      </c>
      <c r="W35" s="342">
        <f t="shared" si="4"/>
        <v>0</v>
      </c>
      <c r="X35" s="5"/>
      <c r="Y35" s="5"/>
      <c r="Z35" s="5"/>
      <c r="AA35" s="5"/>
    </row>
    <row r="36" spans="1:27" ht="15" x14ac:dyDescent="0.25">
      <c r="A36" s="79" t="s">
        <v>105</v>
      </c>
      <c r="B36" s="79"/>
      <c r="C36" s="79"/>
      <c r="D36" s="379" t="s">
        <v>70</v>
      </c>
      <c r="E36" s="351"/>
      <c r="F36" s="351"/>
      <c r="G36" s="351"/>
      <c r="H36" s="351"/>
      <c r="I36" s="148">
        <f t="shared" si="0"/>
        <v>0</v>
      </c>
      <c r="J36" s="153"/>
      <c r="K36" s="351"/>
      <c r="L36" s="351"/>
      <c r="M36" s="351"/>
      <c r="N36" s="351"/>
      <c r="O36" s="352">
        <f t="shared" si="1"/>
        <v>0</v>
      </c>
      <c r="Q36" s="147"/>
      <c r="R36" s="21" t="s">
        <v>70</v>
      </c>
      <c r="S36" s="347">
        <f t="shared" si="2"/>
        <v>0</v>
      </c>
      <c r="T36" s="346">
        <v>109.44</v>
      </c>
      <c r="U36" s="347">
        <f t="shared" si="3"/>
        <v>0</v>
      </c>
      <c r="V36" s="317">
        <v>109.44</v>
      </c>
      <c r="W36" s="342">
        <f t="shared" si="4"/>
        <v>0</v>
      </c>
      <c r="X36" s="5"/>
      <c r="Y36" s="5"/>
      <c r="Z36" s="5"/>
      <c r="AA36" s="5"/>
    </row>
    <row r="37" spans="1:27" ht="15" x14ac:dyDescent="0.25">
      <c r="A37" s="79" t="s">
        <v>105</v>
      </c>
      <c r="B37" s="79"/>
      <c r="C37" s="79"/>
      <c r="D37" s="379" t="s">
        <v>71</v>
      </c>
      <c r="E37" s="351"/>
      <c r="F37" s="351"/>
      <c r="G37" s="351"/>
      <c r="H37" s="351"/>
      <c r="I37" s="148">
        <f t="shared" si="0"/>
        <v>0</v>
      </c>
      <c r="J37" s="153"/>
      <c r="K37" s="351"/>
      <c r="L37" s="351"/>
      <c r="M37" s="351"/>
      <c r="N37" s="351"/>
      <c r="O37" s="352">
        <f t="shared" si="1"/>
        <v>0</v>
      </c>
      <c r="Q37" s="147"/>
      <c r="R37" s="21" t="s">
        <v>71</v>
      </c>
      <c r="S37" s="347">
        <f t="shared" si="2"/>
        <v>0</v>
      </c>
      <c r="T37" s="346">
        <v>96.82</v>
      </c>
      <c r="U37" s="347">
        <f t="shared" si="3"/>
        <v>0</v>
      </c>
      <c r="V37" s="317">
        <v>96.82</v>
      </c>
      <c r="W37" s="342">
        <f t="shared" si="4"/>
        <v>0</v>
      </c>
      <c r="X37" s="5"/>
      <c r="Y37" s="5"/>
      <c r="Z37" s="5"/>
      <c r="AA37" s="5"/>
    </row>
    <row r="38" spans="1:27" ht="15" x14ac:dyDescent="0.25">
      <c r="A38" s="79" t="s">
        <v>105</v>
      </c>
      <c r="B38" s="79"/>
      <c r="C38" s="79"/>
      <c r="D38" s="379" t="s">
        <v>72</v>
      </c>
      <c r="E38" s="351"/>
      <c r="F38" s="351"/>
      <c r="G38" s="351"/>
      <c r="H38" s="351"/>
      <c r="I38" s="148">
        <f t="shared" si="0"/>
        <v>0</v>
      </c>
      <c r="J38" s="153"/>
      <c r="K38" s="351"/>
      <c r="L38" s="351"/>
      <c r="M38" s="351"/>
      <c r="N38" s="351"/>
      <c r="O38" s="352">
        <f t="shared" si="1"/>
        <v>0</v>
      </c>
      <c r="Q38" s="147"/>
      <c r="R38" s="21" t="s">
        <v>72</v>
      </c>
      <c r="S38" s="347">
        <f t="shared" si="2"/>
        <v>0</v>
      </c>
      <c r="T38" s="346">
        <v>81.739999999999995</v>
      </c>
      <c r="U38" s="347">
        <f t="shared" si="3"/>
        <v>0</v>
      </c>
      <c r="V38" s="317">
        <v>81.739999999999995</v>
      </c>
      <c r="W38" s="342">
        <f t="shared" si="4"/>
        <v>0</v>
      </c>
      <c r="X38" s="5"/>
      <c r="Y38" s="5"/>
      <c r="Z38" s="5"/>
      <c r="AA38" s="5"/>
    </row>
    <row r="39" spans="1:27" ht="15" x14ac:dyDescent="0.25">
      <c r="A39" s="79" t="s">
        <v>105</v>
      </c>
      <c r="B39" s="79"/>
      <c r="C39" s="79"/>
      <c r="D39" s="379" t="s">
        <v>73</v>
      </c>
      <c r="E39" s="351"/>
      <c r="F39" s="351"/>
      <c r="G39" s="351"/>
      <c r="H39" s="351"/>
      <c r="I39" s="148">
        <f t="shared" si="0"/>
        <v>0</v>
      </c>
      <c r="J39" s="153"/>
      <c r="K39" s="351"/>
      <c r="L39" s="351"/>
      <c r="M39" s="351"/>
      <c r="N39" s="351"/>
      <c r="O39" s="352">
        <f t="shared" si="1"/>
        <v>0</v>
      </c>
      <c r="Q39" s="147"/>
      <c r="R39" s="21" t="s">
        <v>73</v>
      </c>
      <c r="S39" s="347">
        <f t="shared" si="2"/>
        <v>0</v>
      </c>
      <c r="T39" s="346">
        <v>73.55</v>
      </c>
      <c r="U39" s="347">
        <f t="shared" si="3"/>
        <v>0</v>
      </c>
      <c r="V39" s="317">
        <v>73.55</v>
      </c>
      <c r="W39" s="342">
        <f t="shared" si="4"/>
        <v>0</v>
      </c>
      <c r="X39" s="5"/>
      <c r="Y39" s="5"/>
      <c r="Z39" s="5"/>
      <c r="AA39" s="5"/>
    </row>
    <row r="40" spans="1:27" ht="15" x14ac:dyDescent="0.25">
      <c r="A40" s="79" t="s">
        <v>105</v>
      </c>
      <c r="B40" s="79"/>
      <c r="C40" s="79"/>
      <c r="D40" s="379" t="s">
        <v>74</v>
      </c>
      <c r="E40" s="351"/>
      <c r="F40" s="351"/>
      <c r="G40" s="351"/>
      <c r="H40" s="351"/>
      <c r="I40" s="148">
        <f t="shared" si="0"/>
        <v>0</v>
      </c>
      <c r="J40" s="153"/>
      <c r="K40" s="351"/>
      <c r="L40" s="351"/>
      <c r="M40" s="351"/>
      <c r="N40" s="351"/>
      <c r="O40" s="352">
        <f t="shared" si="1"/>
        <v>0</v>
      </c>
      <c r="Q40" s="147"/>
      <c r="R40" s="21" t="s">
        <v>74</v>
      </c>
      <c r="S40" s="347">
        <f t="shared" si="2"/>
        <v>0</v>
      </c>
      <c r="T40" s="346">
        <v>106.08</v>
      </c>
      <c r="U40" s="347">
        <f t="shared" si="3"/>
        <v>0</v>
      </c>
      <c r="V40" s="317">
        <v>106.08</v>
      </c>
      <c r="W40" s="342">
        <f t="shared" si="4"/>
        <v>0</v>
      </c>
      <c r="X40" s="5"/>
      <c r="Y40" s="5"/>
      <c r="Z40" s="5"/>
      <c r="AA40" s="5"/>
    </row>
    <row r="41" spans="1:27" ht="15" x14ac:dyDescent="0.25">
      <c r="A41" s="79" t="s">
        <v>105</v>
      </c>
      <c r="B41" s="79"/>
      <c r="C41" s="79"/>
      <c r="D41" s="379" t="s">
        <v>75</v>
      </c>
      <c r="E41" s="351"/>
      <c r="F41" s="351"/>
      <c r="G41" s="351"/>
      <c r="H41" s="351"/>
      <c r="I41" s="148">
        <f t="shared" si="0"/>
        <v>0</v>
      </c>
      <c r="J41" s="153"/>
      <c r="K41" s="351"/>
      <c r="L41" s="351"/>
      <c r="M41" s="351"/>
      <c r="N41" s="351"/>
      <c r="O41" s="352">
        <f t="shared" si="1"/>
        <v>0</v>
      </c>
      <c r="Q41" s="147"/>
      <c r="R41" s="21" t="s">
        <v>75</v>
      </c>
      <c r="S41" s="347">
        <f t="shared" si="2"/>
        <v>0</v>
      </c>
      <c r="T41" s="346">
        <v>88.67</v>
      </c>
      <c r="U41" s="347">
        <f t="shared" si="3"/>
        <v>0</v>
      </c>
      <c r="V41" s="317">
        <v>88.67</v>
      </c>
      <c r="W41" s="342">
        <f t="shared" si="4"/>
        <v>0</v>
      </c>
      <c r="X41" s="5"/>
      <c r="Y41" s="5"/>
      <c r="Z41" s="5"/>
      <c r="AA41" s="5"/>
    </row>
    <row r="42" spans="1:27" ht="15" x14ac:dyDescent="0.25">
      <c r="A42" s="79" t="s">
        <v>105</v>
      </c>
      <c r="B42" s="79"/>
      <c r="C42" s="79"/>
      <c r="D42" s="379" t="s">
        <v>76</v>
      </c>
      <c r="E42" s="351"/>
      <c r="F42" s="351"/>
      <c r="G42" s="351"/>
      <c r="H42" s="351"/>
      <c r="I42" s="148">
        <f t="shared" si="0"/>
        <v>0</v>
      </c>
      <c r="J42" s="153"/>
      <c r="K42" s="351"/>
      <c r="L42" s="351"/>
      <c r="M42" s="351"/>
      <c r="N42" s="351"/>
      <c r="O42" s="352">
        <f t="shared" si="1"/>
        <v>0</v>
      </c>
      <c r="Q42" s="147"/>
      <c r="R42" s="21" t="s">
        <v>76</v>
      </c>
      <c r="S42" s="347">
        <f t="shared" si="2"/>
        <v>0</v>
      </c>
      <c r="T42" s="346">
        <v>78.75</v>
      </c>
      <c r="U42" s="347">
        <f t="shared" si="3"/>
        <v>0</v>
      </c>
      <c r="V42" s="317">
        <v>78.75</v>
      </c>
      <c r="W42" s="342">
        <f t="shared" si="4"/>
        <v>0</v>
      </c>
      <c r="X42" s="5"/>
      <c r="Y42" s="5"/>
      <c r="Z42" s="5"/>
      <c r="AA42" s="5"/>
    </row>
    <row r="43" spans="1:27" ht="15" x14ac:dyDescent="0.25">
      <c r="A43" s="79" t="s">
        <v>105</v>
      </c>
      <c r="B43" s="79"/>
      <c r="C43" s="79"/>
      <c r="D43" s="379" t="s">
        <v>77</v>
      </c>
      <c r="E43" s="351"/>
      <c r="F43" s="351"/>
      <c r="G43" s="351"/>
      <c r="H43" s="351"/>
      <c r="I43" s="148">
        <f t="shared" si="0"/>
        <v>0</v>
      </c>
      <c r="J43" s="153"/>
      <c r="K43" s="351"/>
      <c r="L43" s="351"/>
      <c r="M43" s="351"/>
      <c r="N43" s="351"/>
      <c r="O43" s="352">
        <f t="shared" si="1"/>
        <v>0</v>
      </c>
      <c r="Q43" s="147"/>
      <c r="R43" s="21" t="s">
        <v>77</v>
      </c>
      <c r="S43" s="347">
        <f t="shared" si="2"/>
        <v>0</v>
      </c>
      <c r="T43" s="346">
        <v>63.94</v>
      </c>
      <c r="U43" s="347">
        <f t="shared" si="3"/>
        <v>0</v>
      </c>
      <c r="V43" s="317">
        <v>63.94</v>
      </c>
      <c r="W43" s="342">
        <f t="shared" si="4"/>
        <v>0</v>
      </c>
      <c r="X43" s="5"/>
      <c r="Y43" s="5"/>
      <c r="Z43" s="5"/>
      <c r="AA43" s="5"/>
    </row>
    <row r="44" spans="1:27" ht="15" x14ac:dyDescent="0.25">
      <c r="A44" s="79" t="s">
        <v>105</v>
      </c>
      <c r="B44" s="79"/>
      <c r="C44" s="79"/>
      <c r="D44" s="379" t="s">
        <v>78</v>
      </c>
      <c r="E44" s="351"/>
      <c r="F44" s="351"/>
      <c r="G44" s="351"/>
      <c r="H44" s="351"/>
      <c r="I44" s="148">
        <f t="shared" si="0"/>
        <v>0</v>
      </c>
      <c r="J44" s="153"/>
      <c r="K44" s="351"/>
      <c r="L44" s="351"/>
      <c r="M44" s="351"/>
      <c r="N44" s="351"/>
      <c r="O44" s="352">
        <f t="shared" si="1"/>
        <v>0</v>
      </c>
      <c r="Q44" s="147"/>
      <c r="R44" s="21" t="s">
        <v>78</v>
      </c>
      <c r="S44" s="347">
        <f t="shared" si="2"/>
        <v>0</v>
      </c>
      <c r="T44" s="346">
        <v>120.14</v>
      </c>
      <c r="U44" s="347">
        <f t="shared" si="3"/>
        <v>0</v>
      </c>
      <c r="V44" s="317">
        <v>120.14</v>
      </c>
      <c r="W44" s="342">
        <f t="shared" si="4"/>
        <v>0</v>
      </c>
      <c r="X44" s="5"/>
      <c r="Y44" s="5"/>
      <c r="Z44" s="5"/>
      <c r="AA44" s="5"/>
    </row>
    <row r="45" spans="1:27" ht="15" x14ac:dyDescent="0.25">
      <c r="A45" s="79" t="s">
        <v>105</v>
      </c>
      <c r="B45" s="79"/>
      <c r="C45" s="79"/>
      <c r="D45" s="379" t="s">
        <v>79</v>
      </c>
      <c r="E45" s="351"/>
      <c r="F45" s="351"/>
      <c r="G45" s="351"/>
      <c r="H45" s="351"/>
      <c r="I45" s="148">
        <f t="shared" si="0"/>
        <v>0</v>
      </c>
      <c r="J45" s="153"/>
      <c r="K45" s="351"/>
      <c r="L45" s="351"/>
      <c r="M45" s="351"/>
      <c r="N45" s="351"/>
      <c r="O45" s="352">
        <f t="shared" si="1"/>
        <v>0</v>
      </c>
      <c r="Q45" s="147"/>
      <c r="R45" s="21" t="s">
        <v>79</v>
      </c>
      <c r="S45" s="347">
        <f t="shared" si="2"/>
        <v>0</v>
      </c>
      <c r="T45" s="346">
        <v>109.35</v>
      </c>
      <c r="U45" s="347">
        <f t="shared" si="3"/>
        <v>0</v>
      </c>
      <c r="V45" s="317">
        <v>109.35</v>
      </c>
      <c r="W45" s="342">
        <f t="shared" si="4"/>
        <v>0</v>
      </c>
      <c r="X45" s="5"/>
      <c r="Y45" s="5"/>
      <c r="Z45" s="5"/>
      <c r="AA45" s="5"/>
    </row>
    <row r="46" spans="1:27" ht="15" x14ac:dyDescent="0.25">
      <c r="A46" s="79" t="s">
        <v>105</v>
      </c>
      <c r="B46" s="79"/>
      <c r="C46" s="79"/>
      <c r="D46" s="379" t="s">
        <v>80</v>
      </c>
      <c r="E46" s="351"/>
      <c r="F46" s="351"/>
      <c r="G46" s="351"/>
      <c r="H46" s="351"/>
      <c r="I46" s="148">
        <f t="shared" si="0"/>
        <v>0</v>
      </c>
      <c r="J46" s="153"/>
      <c r="K46" s="351"/>
      <c r="L46" s="351"/>
      <c r="M46" s="351"/>
      <c r="N46" s="351"/>
      <c r="O46" s="352">
        <f t="shared" si="1"/>
        <v>0</v>
      </c>
      <c r="Q46" s="147"/>
      <c r="R46" s="21" t="s">
        <v>80</v>
      </c>
      <c r="S46" s="347">
        <f t="shared" si="2"/>
        <v>0</v>
      </c>
      <c r="T46" s="346">
        <v>112</v>
      </c>
      <c r="U46" s="347">
        <f t="shared" si="3"/>
        <v>0</v>
      </c>
      <c r="V46" s="317">
        <v>112</v>
      </c>
      <c r="W46" s="342">
        <f t="shared" si="4"/>
        <v>0</v>
      </c>
      <c r="X46" s="5">
        <v>100.84</v>
      </c>
      <c r="Y46" s="5"/>
      <c r="Z46" s="5"/>
      <c r="AA46" s="5"/>
    </row>
    <row r="47" spans="1:27" ht="15" x14ac:dyDescent="0.25">
      <c r="A47" s="79" t="s">
        <v>105</v>
      </c>
      <c r="B47" s="79"/>
      <c r="C47" s="79"/>
      <c r="D47" s="379" t="s">
        <v>53</v>
      </c>
      <c r="E47" s="351"/>
      <c r="F47" s="351"/>
      <c r="G47" s="351"/>
      <c r="H47" s="351"/>
      <c r="I47" s="148">
        <f t="shared" si="0"/>
        <v>0</v>
      </c>
      <c r="J47" s="153"/>
      <c r="K47" s="351"/>
      <c r="L47" s="351"/>
      <c r="M47" s="351"/>
      <c r="N47" s="351"/>
      <c r="O47" s="352">
        <f t="shared" si="1"/>
        <v>0</v>
      </c>
      <c r="Q47" s="147"/>
      <c r="R47" s="21" t="s">
        <v>53</v>
      </c>
      <c r="S47" s="347">
        <f t="shared" si="2"/>
        <v>0</v>
      </c>
      <c r="T47" s="346">
        <v>100.84</v>
      </c>
      <c r="U47" s="347">
        <f t="shared" si="3"/>
        <v>0</v>
      </c>
      <c r="V47" s="317">
        <v>100.84</v>
      </c>
      <c r="W47" s="342">
        <f t="shared" ref="W47:W55" si="5">(S47*T47)+(U47*V47)</f>
        <v>0</v>
      </c>
      <c r="X47" s="5"/>
      <c r="Y47" s="5"/>
      <c r="Z47" s="5"/>
      <c r="AA47" s="5"/>
    </row>
    <row r="48" spans="1:27" ht="15" x14ac:dyDescent="0.25">
      <c r="A48" s="79" t="s">
        <v>105</v>
      </c>
      <c r="B48" s="79"/>
      <c r="C48" s="79"/>
      <c r="D48" s="379" t="s">
        <v>81</v>
      </c>
      <c r="E48" s="351"/>
      <c r="F48" s="351"/>
      <c r="G48" s="351"/>
      <c r="H48" s="351"/>
      <c r="I48" s="148">
        <f t="shared" si="0"/>
        <v>0</v>
      </c>
      <c r="J48" s="153"/>
      <c r="K48" s="351"/>
      <c r="L48" s="351"/>
      <c r="M48" s="351"/>
      <c r="N48" s="351"/>
      <c r="O48" s="352">
        <f t="shared" si="1"/>
        <v>0</v>
      </c>
      <c r="Q48" s="147"/>
      <c r="R48" s="21" t="s">
        <v>81</v>
      </c>
      <c r="S48" s="347">
        <f t="shared" si="2"/>
        <v>0</v>
      </c>
      <c r="T48" s="346">
        <v>96.15</v>
      </c>
      <c r="U48" s="347">
        <f t="shared" si="3"/>
        <v>0</v>
      </c>
      <c r="V48" s="317">
        <v>96.15</v>
      </c>
      <c r="W48" s="342">
        <f t="shared" si="5"/>
        <v>0</v>
      </c>
      <c r="X48" s="5"/>
      <c r="Y48" s="5"/>
      <c r="Z48" s="5"/>
      <c r="AA48" s="5"/>
    </row>
    <row r="49" spans="1:27" ht="15" x14ac:dyDescent="0.25">
      <c r="A49" s="79" t="s">
        <v>105</v>
      </c>
      <c r="B49" s="79"/>
      <c r="C49" s="79"/>
      <c r="D49" s="379" t="s">
        <v>82</v>
      </c>
      <c r="E49" s="351"/>
      <c r="F49" s="351"/>
      <c r="G49" s="351"/>
      <c r="H49" s="351"/>
      <c r="I49" s="148">
        <f t="shared" si="0"/>
        <v>0</v>
      </c>
      <c r="J49" s="153"/>
      <c r="K49" s="351"/>
      <c r="L49" s="351"/>
      <c r="M49" s="351"/>
      <c r="N49" s="351"/>
      <c r="O49" s="352">
        <f t="shared" si="1"/>
        <v>0</v>
      </c>
      <c r="Q49" s="147"/>
      <c r="R49" s="21" t="s">
        <v>82</v>
      </c>
      <c r="S49" s="347">
        <f t="shared" si="2"/>
        <v>0</v>
      </c>
      <c r="T49" s="346">
        <v>89.03</v>
      </c>
      <c r="U49" s="347">
        <f t="shared" si="3"/>
        <v>0</v>
      </c>
      <c r="V49" s="317">
        <v>89.03</v>
      </c>
      <c r="W49" s="342">
        <f t="shared" si="5"/>
        <v>0</v>
      </c>
      <c r="X49" s="5"/>
      <c r="Y49" s="5"/>
      <c r="Z49" s="5"/>
      <c r="AA49" s="5"/>
    </row>
    <row r="50" spans="1:27" ht="15" x14ac:dyDescent="0.25">
      <c r="A50" s="79" t="s">
        <v>105</v>
      </c>
      <c r="B50" s="79"/>
      <c r="C50" s="79"/>
      <c r="D50" s="379" t="s">
        <v>83</v>
      </c>
      <c r="E50" s="351"/>
      <c r="F50" s="351"/>
      <c r="G50" s="351"/>
      <c r="H50" s="351"/>
      <c r="I50" s="148">
        <f t="shared" si="0"/>
        <v>0</v>
      </c>
      <c r="J50" s="153"/>
      <c r="K50" s="351"/>
      <c r="L50" s="351"/>
      <c r="M50" s="351"/>
      <c r="N50" s="351"/>
      <c r="O50" s="352">
        <f t="shared" si="1"/>
        <v>0</v>
      </c>
      <c r="Q50" s="147"/>
      <c r="R50" s="21" t="s">
        <v>83</v>
      </c>
      <c r="S50" s="347">
        <f t="shared" si="2"/>
        <v>0</v>
      </c>
      <c r="T50" s="346">
        <v>84.61</v>
      </c>
      <c r="U50" s="347">
        <f t="shared" si="3"/>
        <v>0</v>
      </c>
      <c r="V50" s="317">
        <v>84.61</v>
      </c>
      <c r="W50" s="342">
        <f t="shared" si="5"/>
        <v>0</v>
      </c>
      <c r="X50" s="5"/>
      <c r="Y50" s="5"/>
      <c r="Z50" s="5"/>
      <c r="AA50" s="5"/>
    </row>
    <row r="51" spans="1:27" ht="15" x14ac:dyDescent="0.25">
      <c r="A51" s="79" t="s">
        <v>105</v>
      </c>
      <c r="B51" s="79"/>
      <c r="C51" s="79"/>
      <c r="D51" s="379" t="s">
        <v>84</v>
      </c>
      <c r="E51" s="351"/>
      <c r="F51" s="351"/>
      <c r="G51" s="351"/>
      <c r="H51" s="351"/>
      <c r="I51" s="148">
        <f t="shared" si="0"/>
        <v>0</v>
      </c>
      <c r="J51" s="153"/>
      <c r="K51" s="351"/>
      <c r="L51" s="351"/>
      <c r="M51" s="351"/>
      <c r="N51" s="351"/>
      <c r="O51" s="352">
        <f t="shared" si="1"/>
        <v>0</v>
      </c>
      <c r="Q51" s="147"/>
      <c r="R51" s="21" t="s">
        <v>84</v>
      </c>
      <c r="S51" s="347">
        <f t="shared" si="2"/>
        <v>0</v>
      </c>
      <c r="T51" s="346">
        <v>76.819999999999993</v>
      </c>
      <c r="U51" s="347">
        <f t="shared" si="3"/>
        <v>0</v>
      </c>
      <c r="V51" s="317">
        <v>76.819999999999993</v>
      </c>
      <c r="W51" s="342">
        <f t="shared" si="5"/>
        <v>0</v>
      </c>
      <c r="X51" s="5"/>
      <c r="Y51" s="5"/>
      <c r="Z51" s="5"/>
      <c r="AA51" s="5"/>
    </row>
    <row r="52" spans="1:27" ht="15" x14ac:dyDescent="0.25">
      <c r="A52" s="79" t="s">
        <v>105</v>
      </c>
      <c r="B52" s="79"/>
      <c r="C52" s="79"/>
      <c r="D52" s="379" t="s">
        <v>85</v>
      </c>
      <c r="E52" s="351"/>
      <c r="F52" s="351"/>
      <c r="G52" s="351"/>
      <c r="H52" s="351"/>
      <c r="I52" s="148">
        <f t="shared" si="0"/>
        <v>0</v>
      </c>
      <c r="J52" s="153"/>
      <c r="K52" s="351"/>
      <c r="L52" s="351"/>
      <c r="M52" s="351"/>
      <c r="N52" s="351"/>
      <c r="O52" s="352">
        <f t="shared" si="1"/>
        <v>0</v>
      </c>
      <c r="Q52" s="147"/>
      <c r="R52" s="21" t="s">
        <v>85</v>
      </c>
      <c r="S52" s="347">
        <f t="shared" si="2"/>
        <v>0</v>
      </c>
      <c r="T52" s="346">
        <v>67.25</v>
      </c>
      <c r="U52" s="347">
        <f t="shared" si="3"/>
        <v>0</v>
      </c>
      <c r="V52" s="317">
        <v>67.25</v>
      </c>
      <c r="W52" s="342">
        <f t="shared" si="5"/>
        <v>0</v>
      </c>
      <c r="X52" s="5"/>
      <c r="Y52" s="5"/>
      <c r="Z52" s="5"/>
      <c r="AA52" s="5"/>
    </row>
    <row r="53" spans="1:27" ht="15" x14ac:dyDescent="0.25">
      <c r="A53" s="79" t="s">
        <v>105</v>
      </c>
      <c r="B53" s="79"/>
      <c r="C53" s="79"/>
      <c r="D53" s="379" t="s">
        <v>86</v>
      </c>
      <c r="E53" s="351"/>
      <c r="F53" s="351"/>
      <c r="G53" s="351"/>
      <c r="H53" s="351"/>
      <c r="I53" s="148">
        <f t="shared" si="0"/>
        <v>0</v>
      </c>
      <c r="J53" s="153"/>
      <c r="K53" s="351"/>
      <c r="L53" s="351"/>
      <c r="M53" s="351"/>
      <c r="N53" s="351"/>
      <c r="O53" s="352">
        <f t="shared" si="1"/>
        <v>0</v>
      </c>
      <c r="Q53" s="147"/>
      <c r="R53" s="21" t="s">
        <v>86</v>
      </c>
      <c r="S53" s="347">
        <f t="shared" si="2"/>
        <v>0</v>
      </c>
      <c r="T53" s="346">
        <v>59.08</v>
      </c>
      <c r="U53" s="347">
        <f t="shared" si="3"/>
        <v>0</v>
      </c>
      <c r="V53" s="317">
        <v>59.08</v>
      </c>
      <c r="W53" s="342">
        <f t="shared" si="5"/>
        <v>0</v>
      </c>
      <c r="X53" s="5"/>
      <c r="Y53" s="5"/>
      <c r="Z53" s="5"/>
      <c r="AA53" s="5"/>
    </row>
    <row r="54" spans="1:27" ht="15" x14ac:dyDescent="0.25">
      <c r="A54" s="79" t="s">
        <v>105</v>
      </c>
      <c r="B54" s="79"/>
      <c r="C54" s="79"/>
      <c r="D54" s="379" t="s">
        <v>87</v>
      </c>
      <c r="E54" s="351"/>
      <c r="F54" s="351"/>
      <c r="G54" s="351"/>
      <c r="H54" s="351"/>
      <c r="I54" s="148">
        <f t="shared" si="0"/>
        <v>0</v>
      </c>
      <c r="J54" s="154"/>
      <c r="K54" s="351"/>
      <c r="L54" s="351"/>
      <c r="M54" s="351"/>
      <c r="N54" s="351"/>
      <c r="O54" s="352">
        <f t="shared" si="1"/>
        <v>0</v>
      </c>
      <c r="Q54" s="147"/>
      <c r="R54" s="21" t="s">
        <v>87</v>
      </c>
      <c r="S54" s="347">
        <f t="shared" si="2"/>
        <v>0</v>
      </c>
      <c r="T54" s="346">
        <v>59.08</v>
      </c>
      <c r="U54" s="347">
        <f t="shared" si="3"/>
        <v>0</v>
      </c>
      <c r="V54" s="317">
        <v>59.08</v>
      </c>
      <c r="W54" s="342">
        <f t="shared" si="5"/>
        <v>0</v>
      </c>
      <c r="X54" s="7"/>
      <c r="Y54" s="5"/>
      <c r="Z54" s="5"/>
      <c r="AA54" s="5"/>
    </row>
    <row r="55" spans="1:27" ht="15" x14ac:dyDescent="0.25">
      <c r="A55" s="79" t="s">
        <v>105</v>
      </c>
      <c r="B55" s="79"/>
      <c r="C55" s="79"/>
      <c r="D55" s="379" t="s">
        <v>88</v>
      </c>
      <c r="E55" s="351"/>
      <c r="F55" s="351"/>
      <c r="G55" s="351"/>
      <c r="H55" s="351"/>
      <c r="I55" s="148">
        <f t="shared" si="0"/>
        <v>0</v>
      </c>
      <c r="J55" s="153"/>
      <c r="K55" s="351"/>
      <c r="L55" s="351"/>
      <c r="M55" s="351"/>
      <c r="N55" s="351"/>
      <c r="O55" s="353">
        <f t="shared" si="1"/>
        <v>0</v>
      </c>
      <c r="Q55" s="147"/>
      <c r="R55" s="21" t="s">
        <v>88</v>
      </c>
      <c r="S55" s="348">
        <f t="shared" si="2"/>
        <v>0</v>
      </c>
      <c r="T55" s="346">
        <v>59.08</v>
      </c>
      <c r="U55" s="348">
        <f t="shared" si="3"/>
        <v>0</v>
      </c>
      <c r="V55" s="345">
        <v>59.08</v>
      </c>
      <c r="W55" s="343">
        <f t="shared" si="5"/>
        <v>0</v>
      </c>
      <c r="X55" s="9">
        <f>IFERROR(ROUND(W56/(S56+U56),2),0)</f>
        <v>0</v>
      </c>
      <c r="Y55" s="5"/>
      <c r="Z55" s="5"/>
      <c r="AA55" s="5"/>
    </row>
    <row r="56" spans="1:27" x14ac:dyDescent="0.2">
      <c r="A56" s="5"/>
      <c r="B56" s="5"/>
      <c r="C56" s="5"/>
      <c r="D56" s="380" t="s">
        <v>221</v>
      </c>
      <c r="E56" s="149">
        <f>SUM(E20:E55)</f>
        <v>0</v>
      </c>
      <c r="F56" s="150">
        <f t="shared" ref="F56:O56" si="6">SUM(F20:F55)</f>
        <v>0</v>
      </c>
      <c r="G56" s="150">
        <f t="shared" si="6"/>
        <v>0</v>
      </c>
      <c r="H56" s="150">
        <f t="shared" si="6"/>
        <v>0</v>
      </c>
      <c r="I56" s="151">
        <f t="shared" si="6"/>
        <v>0</v>
      </c>
      <c r="J56" s="153"/>
      <c r="K56" s="354">
        <f t="shared" si="6"/>
        <v>0</v>
      </c>
      <c r="L56" s="355">
        <f t="shared" si="6"/>
        <v>0</v>
      </c>
      <c r="M56" s="355">
        <f t="shared" si="6"/>
        <v>0</v>
      </c>
      <c r="N56" s="355">
        <f t="shared" si="6"/>
        <v>0</v>
      </c>
      <c r="O56" s="356">
        <f t="shared" si="6"/>
        <v>0</v>
      </c>
      <c r="Q56" s="156"/>
      <c r="R56" s="20" t="s">
        <v>0</v>
      </c>
      <c r="S56" s="349">
        <f>SUM(S20:S55)</f>
        <v>0</v>
      </c>
      <c r="T56" s="83"/>
      <c r="U56" s="350">
        <f>SUM(U20:U55)</f>
        <v>0</v>
      </c>
      <c r="V56" s="83"/>
      <c r="W56" s="344">
        <f>SUM(W20:W55)+J67+J68+J69</f>
        <v>0</v>
      </c>
      <c r="X56" s="4"/>
      <c r="Y56" s="5"/>
      <c r="Z56" s="5"/>
      <c r="AA56" s="5"/>
    </row>
    <row r="57" spans="1:27" x14ac:dyDescent="0.2">
      <c r="F57" s="23"/>
      <c r="G57" s="23"/>
      <c r="H57" s="134"/>
      <c r="I57" s="134"/>
      <c r="J57" s="134"/>
      <c r="L57" s="134"/>
      <c r="M57" s="134"/>
      <c r="N57" s="134"/>
      <c r="O57" s="157"/>
      <c r="P57" s="158"/>
    </row>
    <row r="59" spans="1:27" ht="15" x14ac:dyDescent="0.25">
      <c r="A59" s="79" t="s">
        <v>215</v>
      </c>
      <c r="B59" s="79"/>
      <c r="C59" s="79"/>
      <c r="D59" s="79"/>
      <c r="E59" s="79" t="s">
        <v>2</v>
      </c>
      <c r="F59" s="351"/>
      <c r="G59" s="82">
        <v>177.11</v>
      </c>
      <c r="H59" s="351"/>
      <c r="I59" s="82">
        <v>177.11</v>
      </c>
      <c r="J59" s="358">
        <f>(F59*G59)+(H59*I59)</f>
        <v>0</v>
      </c>
      <c r="K59" s="30"/>
      <c r="L59" s="30"/>
      <c r="M59" s="30"/>
      <c r="N59" s="30"/>
    </row>
    <row r="60" spans="1:27" ht="23.25" customHeight="1" x14ac:dyDescent="0.25">
      <c r="A60" s="79" t="s">
        <v>104</v>
      </c>
      <c r="B60" s="79"/>
      <c r="C60" s="79"/>
      <c r="D60" s="79"/>
      <c r="E60" s="79" t="s">
        <v>3</v>
      </c>
      <c r="F60" s="351"/>
      <c r="G60" s="82">
        <f>IF($X55&lt;X46,$X55,X46)</f>
        <v>0</v>
      </c>
      <c r="H60" s="351"/>
      <c r="I60" s="82">
        <f>IFERROR(IF($X55&lt;X46,$X55,X46),0)</f>
        <v>0</v>
      </c>
      <c r="J60" s="358">
        <f>((F60*G60)+(H60*I60))</f>
        <v>0</v>
      </c>
      <c r="K60" s="30"/>
      <c r="L60" s="30"/>
      <c r="M60" s="30"/>
      <c r="N60" s="30"/>
    </row>
    <row r="61" spans="1:27" x14ac:dyDescent="0.2">
      <c r="A61" s="5"/>
      <c r="B61" s="5"/>
      <c r="C61" s="5"/>
      <c r="D61" s="5"/>
      <c r="E61" s="3" t="s">
        <v>4</v>
      </c>
      <c r="F61" s="357">
        <f>I56+F59+F60</f>
        <v>0</v>
      </c>
      <c r="G61" s="8"/>
      <c r="H61" s="357">
        <f>O56+H59+H60</f>
        <v>0</v>
      </c>
      <c r="I61" s="8"/>
      <c r="J61" s="359">
        <f>SUM(J59:J60,W56)</f>
        <v>0</v>
      </c>
      <c r="K61" s="30"/>
      <c r="L61" s="30"/>
      <c r="M61" s="30"/>
      <c r="N61" s="30"/>
    </row>
    <row r="62" spans="1:27" ht="15" x14ac:dyDescent="0.25">
      <c r="A62" s="469" t="s">
        <v>323</v>
      </c>
      <c r="B62" s="79"/>
      <c r="C62" s="79"/>
      <c r="D62" s="79"/>
      <c r="E62" s="79" t="s">
        <v>5</v>
      </c>
      <c r="F62" s="351"/>
      <c r="G62" s="82"/>
      <c r="H62" s="351"/>
      <c r="I62" s="82"/>
      <c r="J62" s="358"/>
      <c r="K62" s="30"/>
      <c r="L62" s="30"/>
      <c r="M62" s="30"/>
      <c r="N62" s="30"/>
    </row>
    <row r="63" spans="1:27" x14ac:dyDescent="0.2">
      <c r="A63" s="68"/>
      <c r="B63" s="5"/>
      <c r="C63" s="5"/>
      <c r="D63" s="5"/>
      <c r="E63" s="3" t="s">
        <v>6</v>
      </c>
      <c r="F63" s="357">
        <f>SUM(F61:F62)</f>
        <v>0</v>
      </c>
      <c r="G63" s="8"/>
      <c r="H63" s="357">
        <f>SUM(H61:H62)</f>
        <v>0</v>
      </c>
      <c r="I63" s="8"/>
      <c r="J63" s="359">
        <f>IFERROR(ROUND(J61/(F61+H61),2),0)</f>
        <v>0</v>
      </c>
      <c r="K63" s="10" t="s">
        <v>7</v>
      </c>
    </row>
    <row r="64" spans="1:27" x14ac:dyDescent="0.2">
      <c r="A64" s="68"/>
      <c r="B64" s="5"/>
      <c r="C64" s="5"/>
      <c r="D64" s="5"/>
      <c r="H64" s="4"/>
      <c r="I64" s="8"/>
      <c r="J64" s="360">
        <f>IFERROR(ROUNDDOWN(C16,0),0)</f>
        <v>0</v>
      </c>
      <c r="K64" s="81" t="s">
        <v>8</v>
      </c>
    </row>
    <row r="65" spans="1:15" x14ac:dyDescent="0.2">
      <c r="A65" s="68"/>
      <c r="B65" s="5"/>
      <c r="C65" s="5"/>
      <c r="D65" s="5"/>
      <c r="H65" s="4"/>
      <c r="I65" s="8"/>
      <c r="J65" s="361">
        <f>SUM(J63:J64)</f>
        <v>0</v>
      </c>
      <c r="K65" s="3" t="s">
        <v>9</v>
      </c>
    </row>
    <row r="66" spans="1:15" x14ac:dyDescent="0.2">
      <c r="A66" s="141"/>
      <c r="B66" s="133"/>
      <c r="C66" s="133"/>
      <c r="D66" s="133"/>
      <c r="E66" s="139"/>
      <c r="F66" s="140"/>
      <c r="G66" s="140"/>
      <c r="H66" s="140"/>
      <c r="I66" s="142"/>
      <c r="J66" s="140"/>
      <c r="K66" s="3"/>
    </row>
    <row r="67" spans="1:15" ht="15" x14ac:dyDescent="0.25">
      <c r="A67" s="79" t="s">
        <v>105</v>
      </c>
      <c r="B67" s="79"/>
      <c r="C67" s="79"/>
      <c r="D67" s="79"/>
      <c r="E67" s="79" t="s">
        <v>49</v>
      </c>
      <c r="F67" s="339"/>
      <c r="G67" s="82">
        <v>214.89</v>
      </c>
      <c r="H67" s="339"/>
      <c r="I67" s="82">
        <v>214.89</v>
      </c>
      <c r="J67" s="317">
        <f>(F67*G67) + (H67*I67)</f>
        <v>0</v>
      </c>
      <c r="O67" s="5"/>
    </row>
    <row r="68" spans="1:15" ht="15" x14ac:dyDescent="0.25">
      <c r="A68" s="79" t="s">
        <v>105</v>
      </c>
      <c r="B68" s="79"/>
      <c r="C68" s="79"/>
      <c r="D68" s="79"/>
      <c r="E68" s="79" t="s">
        <v>50</v>
      </c>
      <c r="F68" s="339"/>
      <c r="G68" s="82">
        <v>85.96</v>
      </c>
      <c r="H68" s="339"/>
      <c r="I68" s="82">
        <v>85.96</v>
      </c>
      <c r="J68" s="317">
        <f>(F68*G68) + (H68*I68)</f>
        <v>0</v>
      </c>
      <c r="O68" s="5"/>
    </row>
    <row r="69" spans="1:15" ht="15" x14ac:dyDescent="0.25">
      <c r="A69" s="79" t="s">
        <v>105</v>
      </c>
      <c r="B69" s="79"/>
      <c r="C69" s="79"/>
      <c r="D69" s="79"/>
      <c r="E69" s="79" t="s">
        <v>51</v>
      </c>
      <c r="F69" s="339"/>
      <c r="G69" s="82">
        <v>128.94</v>
      </c>
      <c r="H69" s="339"/>
      <c r="I69" s="82">
        <v>128.94</v>
      </c>
      <c r="J69" s="317">
        <f>(F69*G69) + (H69*I69)</f>
        <v>0</v>
      </c>
      <c r="O69" s="5"/>
    </row>
    <row r="70" spans="1:15" x14ac:dyDescent="0.2">
      <c r="A70" s="68"/>
      <c r="B70" s="5"/>
      <c r="C70" s="5"/>
      <c r="D70" s="5"/>
      <c r="F70" s="3"/>
      <c r="G70" s="3"/>
      <c r="H70" s="10"/>
      <c r="I70" s="10"/>
      <c r="J70" s="4"/>
      <c r="K70" s="4"/>
    </row>
    <row r="71" spans="1:15" x14ac:dyDescent="0.2">
      <c r="A71" s="68"/>
      <c r="B71" s="5"/>
      <c r="C71" s="5"/>
      <c r="D71" s="5"/>
      <c r="F71" s="4" t="s">
        <v>10</v>
      </c>
      <c r="G71" s="4" t="s">
        <v>11</v>
      </c>
      <c r="H71" s="4" t="s">
        <v>16</v>
      </c>
      <c r="I71" s="4" t="s">
        <v>12</v>
      </c>
      <c r="K71" s="4"/>
      <c r="M71" s="30"/>
    </row>
    <row r="72" spans="1:15" ht="15" x14ac:dyDescent="0.25">
      <c r="A72" s="79" t="s">
        <v>106</v>
      </c>
      <c r="B72" s="79"/>
      <c r="C72" s="79"/>
      <c r="D72" s="79"/>
      <c r="E72" s="79" t="s">
        <v>13</v>
      </c>
      <c r="F72" s="340"/>
      <c r="G72" s="340"/>
      <c r="H72" s="340"/>
      <c r="I72" s="340"/>
      <c r="O72" s="5"/>
    </row>
    <row r="73" spans="1:15" ht="15" x14ac:dyDescent="0.25">
      <c r="A73" s="79" t="s">
        <v>107</v>
      </c>
      <c r="B73" s="79"/>
      <c r="C73" s="79"/>
      <c r="D73" s="79"/>
      <c r="E73" s="79" t="s">
        <v>14</v>
      </c>
      <c r="F73" s="340"/>
      <c r="G73" s="340"/>
      <c r="H73" s="340"/>
      <c r="I73" s="340"/>
      <c r="O73" s="5"/>
    </row>
    <row r="74" spans="1:15" x14ac:dyDescent="0.2">
      <c r="A74" s="30"/>
      <c r="B74" s="5"/>
      <c r="C74" s="5"/>
      <c r="D74" s="5"/>
      <c r="E74" s="3" t="s">
        <v>15</v>
      </c>
      <c r="F74" s="416">
        <f>SUM(F72:F73)</f>
        <v>0</v>
      </c>
      <c r="G74" s="417">
        <f>SUM(G72:G73)</f>
        <v>0</v>
      </c>
      <c r="H74" s="416">
        <f>SUM(H72:H73)</f>
        <v>0</v>
      </c>
      <c r="I74" s="416">
        <f>SUM(I72:I73)</f>
        <v>0</v>
      </c>
    </row>
    <row r="75" spans="1:15" x14ac:dyDescent="0.2">
      <c r="A75" s="30"/>
      <c r="B75" s="5"/>
      <c r="C75" s="5"/>
      <c r="D75" s="5"/>
      <c r="E75" s="79" t="s">
        <v>261</v>
      </c>
      <c r="F75" s="82">
        <v>1.4615</v>
      </c>
      <c r="G75" s="82">
        <v>1</v>
      </c>
      <c r="H75" s="82">
        <v>0.48720000000000002</v>
      </c>
      <c r="I75" s="82">
        <v>0.48720000000000002</v>
      </c>
    </row>
    <row r="76" spans="1:15" x14ac:dyDescent="0.2">
      <c r="A76" s="30"/>
      <c r="B76" s="5"/>
      <c r="C76" s="5"/>
      <c r="D76" s="5"/>
      <c r="E76" s="79" t="s">
        <v>262</v>
      </c>
      <c r="F76" s="318">
        <f>F74*F75</f>
        <v>0</v>
      </c>
      <c r="G76" s="318">
        <f>G74*G75</f>
        <v>0</v>
      </c>
      <c r="H76" s="318">
        <f>H74*H75</f>
        <v>0</v>
      </c>
      <c r="I76" s="318">
        <f>I74*I75</f>
        <v>0</v>
      </c>
    </row>
    <row r="77" spans="1:15" x14ac:dyDescent="0.2">
      <c r="A77" s="30"/>
      <c r="B77" s="5"/>
      <c r="C77" s="5"/>
      <c r="D77" s="5"/>
      <c r="E77" s="79" t="s">
        <v>263</v>
      </c>
      <c r="F77" s="82">
        <v>60</v>
      </c>
      <c r="G77" s="82">
        <v>60</v>
      </c>
      <c r="H77" s="82">
        <v>60</v>
      </c>
      <c r="I77" s="82">
        <v>60</v>
      </c>
    </row>
    <row r="78" spans="1:15" x14ac:dyDescent="0.2">
      <c r="A78" s="30"/>
      <c r="B78" s="5"/>
      <c r="C78" s="5"/>
      <c r="D78" s="5"/>
      <c r="E78" s="79" t="s">
        <v>15</v>
      </c>
      <c r="F78" s="317">
        <f>F76*F77</f>
        <v>0</v>
      </c>
      <c r="G78" s="317">
        <f>G76*G77</f>
        <v>0</v>
      </c>
      <c r="H78" s="317">
        <f>H76*H77</f>
        <v>0</v>
      </c>
      <c r="I78" s="317">
        <f>I76*I77</f>
        <v>0</v>
      </c>
    </row>
    <row r="79" spans="1:15" x14ac:dyDescent="0.2">
      <c r="A79" s="30"/>
      <c r="B79" s="5"/>
      <c r="C79" s="5"/>
      <c r="D79" s="5"/>
      <c r="F79" s="5"/>
    </row>
    <row r="80" spans="1:15" x14ac:dyDescent="0.2">
      <c r="A80" s="79" t="s">
        <v>239</v>
      </c>
      <c r="B80" s="79"/>
      <c r="C80" s="79"/>
      <c r="D80" s="79"/>
      <c r="E80" s="79"/>
      <c r="F80" s="79"/>
      <c r="G80" s="79"/>
      <c r="H80" s="79"/>
      <c r="I80" s="317">
        <f>SUM(F78:I78)</f>
        <v>0</v>
      </c>
    </row>
    <row r="81" spans="1:27" x14ac:dyDescent="0.2">
      <c r="A81" s="79" t="s">
        <v>4</v>
      </c>
      <c r="B81" s="79"/>
      <c r="C81" s="79"/>
      <c r="D81" s="79"/>
      <c r="E81" s="79"/>
      <c r="F81" s="79"/>
      <c r="G81" s="79"/>
      <c r="H81" s="79"/>
      <c r="I81" s="317">
        <f>F61+H61</f>
        <v>0</v>
      </c>
    </row>
    <row r="82" spans="1:27" x14ac:dyDescent="0.2">
      <c r="A82" s="79" t="s">
        <v>17</v>
      </c>
      <c r="B82" s="79"/>
      <c r="C82" s="79"/>
      <c r="D82" s="79"/>
      <c r="E82" s="79"/>
      <c r="F82" s="79"/>
      <c r="G82" s="79"/>
      <c r="H82" s="79"/>
      <c r="I82" s="82">
        <f>IFERROR(ROUND(I80/I81,2),0)</f>
        <v>0</v>
      </c>
    </row>
    <row r="83" spans="1:27" x14ac:dyDescent="0.2">
      <c r="A83" s="136"/>
      <c r="B83" s="22"/>
      <c r="C83" s="22"/>
      <c r="D83" s="22"/>
      <c r="E83" s="19"/>
      <c r="F83" s="22"/>
      <c r="G83" s="138"/>
      <c r="H83" s="22"/>
      <c r="I83" s="22"/>
    </row>
    <row r="84" spans="1:27" x14ac:dyDescent="0.2">
      <c r="A84" s="423"/>
      <c r="B84" s="133"/>
      <c r="C84" s="133"/>
      <c r="D84" s="133"/>
      <c r="E84" s="139"/>
      <c r="F84" s="133"/>
      <c r="G84" s="140"/>
      <c r="H84" s="133"/>
      <c r="I84" s="133">
        <f>+(J64-(J65-I82))</f>
        <v>0</v>
      </c>
    </row>
    <row r="85" spans="1:27" x14ac:dyDescent="0.2">
      <c r="A85" s="320" t="s">
        <v>259</v>
      </c>
      <c r="B85" s="321"/>
      <c r="C85" s="321"/>
      <c r="D85" s="321"/>
      <c r="E85" s="322"/>
      <c r="F85" s="323"/>
      <c r="G85" s="323"/>
      <c r="H85" s="321"/>
      <c r="I85" s="321">
        <f>ROUNDDOWN(J64-(J65-I82),0)</f>
        <v>0</v>
      </c>
    </row>
    <row r="86" spans="1:27" x14ac:dyDescent="0.2">
      <c r="A86" s="79" t="s">
        <v>240</v>
      </c>
      <c r="B86" s="79"/>
      <c r="C86" s="79"/>
      <c r="D86" s="79"/>
      <c r="E86" s="79"/>
      <c r="F86" s="79"/>
      <c r="G86" s="79"/>
      <c r="H86" s="79"/>
      <c r="I86" s="82">
        <f>J64</f>
        <v>0</v>
      </c>
    </row>
    <row r="87" spans="1:27" x14ac:dyDescent="0.2">
      <c r="A87" s="79" t="s">
        <v>241</v>
      </c>
      <c r="B87" s="79"/>
      <c r="C87" s="79"/>
      <c r="D87" s="79"/>
      <c r="E87" s="79"/>
      <c r="F87" s="79"/>
      <c r="G87" s="79"/>
      <c r="H87" s="79"/>
      <c r="I87" s="82">
        <f>IF(I85&gt;0,(TRUNC(I85,0)),0)</f>
        <v>0</v>
      </c>
      <c r="J87" s="69"/>
    </row>
    <row r="88" spans="1:27" x14ac:dyDescent="0.2">
      <c r="A88" s="79" t="s">
        <v>258</v>
      </c>
      <c r="B88" s="79"/>
      <c r="C88" s="79"/>
      <c r="D88" s="79"/>
      <c r="E88" s="79"/>
      <c r="F88" s="79"/>
      <c r="G88" s="79"/>
      <c r="H88" s="79"/>
      <c r="I88" s="82">
        <f>IF(I87&gt;=I86,0,Spending!J82)</f>
        <v>0</v>
      </c>
      <c r="J88" s="12"/>
    </row>
    <row r="89" spans="1:27" x14ac:dyDescent="0.2">
      <c r="J89" s="69"/>
      <c r="K89" s="5">
        <f>IFERROR(I91+Spending!J82,0)</f>
        <v>0</v>
      </c>
    </row>
    <row r="90" spans="1:27" x14ac:dyDescent="0.2">
      <c r="A90" s="246"/>
      <c r="B90" s="111"/>
      <c r="C90" s="111"/>
      <c r="D90" s="185"/>
      <c r="E90" s="162"/>
      <c r="F90" s="184"/>
      <c r="G90" s="105"/>
      <c r="H90" s="105"/>
      <c r="I90" s="105"/>
      <c r="J90" s="105"/>
      <c r="K90" s="105"/>
      <c r="L90" s="272"/>
      <c r="O90" s="5"/>
      <c r="P90" s="5"/>
      <c r="Q90" s="5"/>
      <c r="R90" s="5"/>
      <c r="S90" s="5"/>
      <c r="T90" s="5"/>
      <c r="U90" s="5"/>
      <c r="V90" s="5"/>
      <c r="W90" s="5"/>
      <c r="X90" s="5"/>
      <c r="Y90" s="5"/>
      <c r="Z90" s="5"/>
      <c r="AA90" s="5"/>
    </row>
    <row r="91" spans="1:27" ht="18" x14ac:dyDescent="0.25">
      <c r="A91" s="319" t="s">
        <v>242</v>
      </c>
      <c r="B91" s="319"/>
      <c r="C91" s="319"/>
      <c r="D91" s="319"/>
      <c r="E91" s="319"/>
      <c r="F91" s="319"/>
      <c r="G91" s="319"/>
      <c r="H91" s="319"/>
      <c r="I91" s="424">
        <f>(I84+I88)</f>
        <v>0</v>
      </c>
      <c r="O91" s="5"/>
      <c r="P91" s="5"/>
      <c r="Q91" s="5"/>
      <c r="R91" s="5"/>
      <c r="S91" s="5"/>
      <c r="T91" s="5"/>
      <c r="U91" s="5"/>
      <c r="V91" s="5"/>
      <c r="W91" s="5"/>
      <c r="X91" s="5"/>
      <c r="Y91" s="5"/>
      <c r="Z91" s="5"/>
      <c r="AA91" s="5"/>
    </row>
    <row r="92" spans="1:27" x14ac:dyDescent="0.2">
      <c r="O92" s="5"/>
      <c r="P92" s="5"/>
      <c r="Q92" s="5"/>
      <c r="R92" s="5"/>
      <c r="S92" s="5"/>
      <c r="T92" s="5"/>
      <c r="U92" s="5"/>
      <c r="V92" s="5"/>
      <c r="W92" s="5"/>
      <c r="X92" s="5"/>
      <c r="Y92" s="5"/>
      <c r="Z92" s="5"/>
      <c r="AA92" s="5"/>
    </row>
    <row r="93" spans="1:27" x14ac:dyDescent="0.2">
      <c r="O93" s="5"/>
      <c r="P93" s="5"/>
      <c r="Q93" s="5"/>
      <c r="R93" s="5"/>
      <c r="S93" s="5"/>
      <c r="T93" s="5"/>
      <c r="U93" s="5"/>
      <c r="V93" s="5"/>
      <c r="W93" s="5"/>
      <c r="X93" s="5"/>
      <c r="Y93" s="5"/>
      <c r="Z93" s="5"/>
      <c r="AA93" s="5"/>
    </row>
    <row r="94" spans="1:27" x14ac:dyDescent="0.2">
      <c r="A94" s="5"/>
      <c r="B94" s="5"/>
      <c r="C94" s="5"/>
      <c r="D94" s="5"/>
      <c r="E94" s="5"/>
      <c r="F94" s="3"/>
      <c r="H94" s="4"/>
      <c r="O94" s="5"/>
      <c r="P94" s="5"/>
      <c r="Q94" s="5"/>
      <c r="R94" s="5"/>
      <c r="S94" s="5"/>
      <c r="T94" s="5"/>
      <c r="U94" s="5"/>
      <c r="V94" s="5"/>
      <c r="W94" s="5"/>
      <c r="X94" s="5"/>
      <c r="Y94" s="5"/>
      <c r="Z94" s="5"/>
      <c r="AA94" s="5"/>
    </row>
    <row r="95" spans="1:27" x14ac:dyDescent="0.2">
      <c r="A95" s="5"/>
      <c r="B95" s="5"/>
      <c r="C95" s="5"/>
      <c r="D95" s="5"/>
      <c r="E95" s="5"/>
      <c r="F95" s="3"/>
      <c r="H95" s="4"/>
      <c r="O95" s="5"/>
      <c r="P95" s="5"/>
      <c r="Q95" s="5"/>
      <c r="R95" s="5"/>
      <c r="S95" s="5"/>
      <c r="T95" s="5"/>
      <c r="U95" s="5"/>
      <c r="V95" s="5"/>
      <c r="W95" s="5"/>
      <c r="X95" s="5"/>
      <c r="Y95" s="5"/>
      <c r="Z95" s="5"/>
      <c r="AA95" s="5"/>
    </row>
    <row r="97" spans="1:27" x14ac:dyDescent="0.2">
      <c r="A97" s="5"/>
      <c r="B97" s="5"/>
      <c r="C97" s="5"/>
      <c r="D97" s="5"/>
      <c r="E97" s="5"/>
      <c r="F97" s="5"/>
      <c r="G97" s="5"/>
      <c r="P97" s="5"/>
      <c r="Q97" s="5"/>
      <c r="R97" s="5"/>
      <c r="S97" s="5"/>
      <c r="T97" s="5"/>
      <c r="U97" s="5"/>
      <c r="V97" s="5"/>
      <c r="W97" s="5"/>
      <c r="X97" s="5"/>
      <c r="Y97" s="5"/>
      <c r="Z97" s="5"/>
      <c r="AA97" s="5"/>
    </row>
  </sheetData>
  <sheetProtection algorithmName="SHA-512" hashValue="xhy7wWNWpRpiOc5jL+yapMXJOgnzNPYev3W4OvVL7/M5O/59xd7J9KK9p/JHASoyP0iImYLCOl7fY6AxHTEvfQ==" saltValue="/Khzv57tYmFTQWZ8WQYDNw==" spinCount="100000" sheet="1" objects="1" scenarios="1"/>
  <mergeCells count="3">
    <mergeCell ref="S18:T18"/>
    <mergeCell ref="U18:V18"/>
    <mergeCell ref="A1:I1"/>
  </mergeCells>
  <phoneticPr fontId="0" type="noConversion"/>
  <dataValidations xWindow="434" yWindow="529"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B2D337F8-F3A2-422C-A364-3226823CA572}">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topLeftCell="A58" zoomScaleNormal="100" workbookViewId="0">
      <selection activeCell="P23" sqref="P23"/>
    </sheetView>
  </sheetViews>
  <sheetFormatPr defaultColWidth="9.140625" defaultRowHeight="12.75" x14ac:dyDescent="0.2"/>
  <cols>
    <col min="1" max="1" width="14.140625" style="101" customWidth="1"/>
    <col min="2" max="2" width="14.140625" style="89" customWidth="1"/>
    <col min="3" max="3" width="14.140625" style="88" customWidth="1"/>
    <col min="4" max="4" width="11.85546875" style="89" customWidth="1"/>
    <col min="5" max="5" width="12.140625" style="89" customWidth="1"/>
    <col min="6" max="6" width="14.140625" style="89" customWidth="1"/>
    <col min="7" max="8" width="12.140625" style="89" customWidth="1"/>
    <col min="9" max="9" width="9.85546875" style="89" customWidth="1"/>
    <col min="10" max="13" width="12.140625" style="89" customWidth="1"/>
    <col min="14" max="14" width="9.140625" style="89"/>
    <col min="15" max="15" width="9.140625" style="129"/>
    <col min="16" max="16" width="14.42578125" style="129" customWidth="1"/>
    <col min="17" max="17" width="10.42578125" style="129" bestFit="1" customWidth="1"/>
    <col min="18" max="18" width="11.42578125" style="129" bestFit="1" customWidth="1"/>
    <col min="19" max="19" width="16.42578125" style="129" bestFit="1" customWidth="1"/>
    <col min="20" max="20" width="10.42578125" style="129" bestFit="1" customWidth="1"/>
    <col min="21" max="21" width="14.140625" style="129" customWidth="1"/>
    <col min="22" max="24" width="9.140625" style="129"/>
    <col min="25" max="16384" width="9.140625" style="89"/>
  </cols>
  <sheetData>
    <row r="1" spans="1:24" ht="39.950000000000003" customHeight="1" x14ac:dyDescent="0.2">
      <c r="A1" s="476" t="str">
        <f>Staffing!A1</f>
        <v xml:space="preserve">NURSING FACILITY - COST REPORT - 
RATE ENHANCEMENT OPTIONAL WORKSHEETS
</v>
      </c>
      <c r="B1" s="476"/>
      <c r="C1" s="476"/>
      <c r="D1" s="476"/>
      <c r="E1" s="476"/>
      <c r="F1" s="476"/>
      <c r="G1" s="476"/>
      <c r="H1" s="476"/>
      <c r="I1" s="381"/>
      <c r="J1" s="381"/>
      <c r="K1" s="381"/>
      <c r="L1" s="381"/>
      <c r="M1" s="381"/>
      <c r="N1" s="381"/>
      <c r="O1" s="412"/>
      <c r="P1" s="397"/>
    </row>
    <row r="2" spans="1:24" x14ac:dyDescent="0.2">
      <c r="A2" s="80"/>
      <c r="B2" s="3"/>
      <c r="C2" s="6"/>
      <c r="D2" s="6"/>
      <c r="E2" s="6"/>
      <c r="F2" s="6"/>
      <c r="G2" s="4"/>
      <c r="H2" s="5"/>
      <c r="I2" s="5"/>
      <c r="J2" s="5"/>
      <c r="K2" s="5"/>
      <c r="L2" s="5"/>
      <c r="M2" s="5"/>
      <c r="N2" s="5"/>
      <c r="O2" s="30"/>
      <c r="P2" s="30"/>
    </row>
    <row r="3" spans="1:24" ht="18" x14ac:dyDescent="0.25">
      <c r="A3" s="297" t="s">
        <v>253</v>
      </c>
      <c r="B3" s="3"/>
      <c r="C3" s="6"/>
      <c r="D3" s="6"/>
      <c r="E3" s="6"/>
      <c r="F3" s="6"/>
      <c r="G3" s="4"/>
      <c r="H3" s="5"/>
      <c r="I3" s="5"/>
      <c r="J3" s="5"/>
      <c r="K3" s="5"/>
      <c r="L3" s="5"/>
      <c r="M3" s="5"/>
      <c r="N3" s="5"/>
      <c r="O3" s="30"/>
      <c r="P3" s="30"/>
    </row>
    <row r="4" spans="1:24" ht="18" x14ac:dyDescent="0.25">
      <c r="A4" s="297" t="s">
        <v>254</v>
      </c>
    </row>
    <row r="5" spans="1:24" ht="18" x14ac:dyDescent="0.25">
      <c r="A5" s="297" t="s">
        <v>255</v>
      </c>
    </row>
    <row r="6" spans="1:24" ht="18" x14ac:dyDescent="0.25">
      <c r="A6" s="297"/>
      <c r="C6" s="419"/>
    </row>
    <row r="7" spans="1:24" ht="18" x14ac:dyDescent="0.25">
      <c r="A7" s="297"/>
    </row>
    <row r="8" spans="1:24" x14ac:dyDescent="0.2">
      <c r="A8" s="15" t="s">
        <v>236</v>
      </c>
      <c r="B8" s="87">
        <f>+Staffing!B5</f>
        <v>0</v>
      </c>
      <c r="G8" s="88"/>
      <c r="H8" s="88"/>
      <c r="L8" s="90"/>
      <c r="M8" s="90"/>
      <c r="N8" s="90"/>
      <c r="O8" s="90"/>
      <c r="P8" s="89"/>
      <c r="Q8" s="89"/>
      <c r="R8" s="89"/>
      <c r="S8" s="89"/>
      <c r="T8" s="89"/>
      <c r="U8" s="90"/>
      <c r="V8" s="90"/>
      <c r="W8" s="90"/>
      <c r="X8" s="90"/>
    </row>
    <row r="9" spans="1:24" x14ac:dyDescent="0.2">
      <c r="A9" s="15" t="s">
        <v>237</v>
      </c>
      <c r="C9" s="91">
        <f>+Staffing!B6</f>
        <v>0</v>
      </c>
      <c r="G9" s="418"/>
      <c r="H9" s="418"/>
      <c r="L9" s="90"/>
      <c r="M9" s="90"/>
      <c r="N9" s="90"/>
      <c r="O9" s="90"/>
      <c r="P9" s="90"/>
      <c r="Q9" s="418"/>
      <c r="R9" s="418"/>
      <c r="S9" s="90"/>
      <c r="T9" s="418"/>
      <c r="U9" s="90"/>
      <c r="V9" s="90"/>
      <c r="W9" s="90"/>
      <c r="X9" s="90"/>
    </row>
    <row r="10" spans="1:24" x14ac:dyDescent="0.2">
      <c r="A10" s="15" t="s">
        <v>238</v>
      </c>
      <c r="C10" s="91">
        <f>+Staffing!B7</f>
        <v>0</v>
      </c>
      <c r="G10" s="418"/>
      <c r="H10" s="418"/>
      <c r="L10" s="90"/>
      <c r="M10" s="90"/>
      <c r="N10" s="90"/>
      <c r="O10" s="90"/>
      <c r="P10" s="90"/>
      <c r="Q10" s="418"/>
      <c r="R10" s="418"/>
      <c r="S10" s="90"/>
      <c r="T10" s="418"/>
      <c r="U10" s="90"/>
      <c r="V10" s="90"/>
      <c r="W10" s="90"/>
      <c r="X10" s="90"/>
    </row>
    <row r="11" spans="1:24" x14ac:dyDescent="0.2">
      <c r="A11" s="15"/>
      <c r="B11" s="87"/>
      <c r="C11" s="418"/>
      <c r="G11" s="418"/>
      <c r="H11" s="418"/>
      <c r="L11" s="90"/>
      <c r="M11" s="90"/>
      <c r="N11" s="90"/>
      <c r="O11" s="90"/>
      <c r="P11" s="90"/>
      <c r="Q11" s="418"/>
      <c r="R11" s="418"/>
      <c r="S11" s="90"/>
      <c r="T11" s="418"/>
      <c r="U11" s="90"/>
      <c r="V11" s="90"/>
      <c r="W11" s="90"/>
      <c r="X11" s="90"/>
    </row>
    <row r="12" spans="1:24" x14ac:dyDescent="0.2">
      <c r="A12" s="80" t="s">
        <v>255</v>
      </c>
      <c r="C12" s="91"/>
      <c r="G12" s="418"/>
      <c r="H12" s="418"/>
      <c r="L12" s="90"/>
      <c r="M12" s="90"/>
      <c r="N12" s="90"/>
      <c r="O12" s="90"/>
      <c r="P12" s="90"/>
      <c r="Q12" s="418"/>
      <c r="R12" s="418"/>
      <c r="S12" s="90"/>
      <c r="T12" s="418"/>
      <c r="U12" s="90"/>
      <c r="V12" s="90"/>
      <c r="W12" s="90"/>
      <c r="X12" s="90"/>
    </row>
    <row r="13" spans="1:24" ht="28.5" customHeight="1" x14ac:dyDescent="0.25">
      <c r="A13" s="480" t="s">
        <v>195</v>
      </c>
      <c r="B13" s="481"/>
      <c r="C13" s="482"/>
      <c r="D13" s="341"/>
      <c r="G13" s="418"/>
      <c r="H13" s="418"/>
      <c r="L13" s="90"/>
      <c r="M13" s="90"/>
      <c r="N13" s="90"/>
      <c r="O13" s="90"/>
      <c r="P13" s="90"/>
      <c r="Q13" s="418"/>
      <c r="R13" s="418"/>
      <c r="S13" s="90"/>
      <c r="T13" s="418"/>
      <c r="U13" s="90"/>
      <c r="V13" s="90"/>
      <c r="W13" s="90"/>
      <c r="X13" s="90"/>
    </row>
    <row r="14" spans="1:24" x14ac:dyDescent="0.2">
      <c r="A14" s="15"/>
      <c r="B14" s="87"/>
      <c r="C14" s="418"/>
      <c r="G14" s="418"/>
      <c r="H14" s="418"/>
      <c r="L14" s="90"/>
      <c r="M14" s="90"/>
      <c r="N14" s="90"/>
      <c r="O14" s="90"/>
      <c r="P14" s="90"/>
      <c r="Q14" s="418"/>
      <c r="R14" s="418"/>
      <c r="S14" s="90"/>
      <c r="T14" s="418"/>
      <c r="U14" s="90"/>
      <c r="V14" s="90"/>
      <c r="W14" s="90"/>
      <c r="X14" s="90"/>
    </row>
    <row r="15" spans="1:24" x14ac:dyDescent="0.2">
      <c r="A15" s="80" t="s">
        <v>254</v>
      </c>
      <c r="C15" s="89"/>
      <c r="G15" s="418"/>
      <c r="H15" s="418"/>
      <c r="L15" s="90"/>
      <c r="M15" s="90"/>
      <c r="N15" s="90"/>
      <c r="O15" s="90"/>
      <c r="P15" s="90"/>
      <c r="Q15" s="418"/>
      <c r="R15" s="418"/>
      <c r="S15" s="90"/>
      <c r="T15" s="418"/>
      <c r="U15" s="90"/>
      <c r="V15" s="90"/>
      <c r="W15" s="90"/>
      <c r="X15" s="90"/>
    </row>
    <row r="16" spans="1:24" x14ac:dyDescent="0.2">
      <c r="A16" s="222" t="s">
        <v>40</v>
      </c>
      <c r="B16" s="114"/>
      <c r="C16" s="122"/>
      <c r="D16" s="228">
        <f>I105</f>
        <v>0</v>
      </c>
      <c r="G16" s="418"/>
      <c r="H16" s="418"/>
      <c r="L16" s="90"/>
      <c r="M16" s="90"/>
      <c r="N16" s="90"/>
      <c r="O16" s="90"/>
      <c r="P16" s="90"/>
      <c r="Q16" s="418"/>
      <c r="R16" s="418"/>
      <c r="S16" s="90"/>
      <c r="T16" s="418"/>
      <c r="U16" s="90"/>
      <c r="V16" s="90"/>
      <c r="W16" s="90"/>
      <c r="X16" s="90"/>
    </row>
    <row r="17" spans="1:24" x14ac:dyDescent="0.2">
      <c r="A17" s="222" t="s">
        <v>41</v>
      </c>
      <c r="B17" s="114"/>
      <c r="C17" s="225"/>
      <c r="D17" s="229">
        <f>I106</f>
        <v>0</v>
      </c>
      <c r="G17" s="418"/>
      <c r="H17" s="418"/>
      <c r="L17" s="90"/>
      <c r="M17" s="90"/>
      <c r="N17" s="90"/>
      <c r="O17" s="90"/>
      <c r="P17" s="90"/>
      <c r="Q17" s="418"/>
      <c r="R17" s="418"/>
      <c r="S17" s="90"/>
      <c r="T17" s="418"/>
      <c r="U17" s="90"/>
      <c r="V17" s="90"/>
      <c r="W17" s="90"/>
      <c r="X17" s="90"/>
    </row>
    <row r="18" spans="1:24" x14ac:dyDescent="0.2">
      <c r="A18" s="89"/>
      <c r="C18" s="89"/>
      <c r="G18" s="418"/>
      <c r="H18" s="418"/>
      <c r="L18" s="90"/>
      <c r="M18" s="90"/>
      <c r="N18" s="90"/>
      <c r="O18" s="90"/>
      <c r="P18" s="90"/>
      <c r="Q18" s="418"/>
      <c r="R18" s="418"/>
      <c r="S18" s="90"/>
      <c r="T18" s="418"/>
      <c r="U18" s="90"/>
      <c r="V18" s="90"/>
      <c r="W18" s="90"/>
      <c r="X18" s="90"/>
    </row>
    <row r="19" spans="1:24" x14ac:dyDescent="0.2">
      <c r="A19" s="246" t="s">
        <v>285</v>
      </c>
      <c r="B19" s="182"/>
      <c r="C19" s="420"/>
      <c r="D19" s="421"/>
      <c r="G19" s="418"/>
      <c r="H19" s="418"/>
      <c r="L19" s="90"/>
      <c r="M19" s="90"/>
      <c r="N19" s="90"/>
      <c r="O19" s="90"/>
      <c r="P19" s="90" t="s">
        <v>42</v>
      </c>
      <c r="Q19" s="88">
        <f>IF(Staffing!I87&lt;1,0,IF(Staffing!I87&gt;Staffing!I86,Staffing!I86,Staffing!I87))</f>
        <v>0</v>
      </c>
      <c r="R19" s="88"/>
      <c r="S19" s="90" t="s">
        <v>42</v>
      </c>
      <c r="T19" s="88">
        <f>IF(Staffing!I87&lt;1,0,IF(Staffing!I87&gt;Staffing!I86,Staffing!I86,Staffing!I87))</f>
        <v>0</v>
      </c>
      <c r="U19" s="90"/>
      <c r="V19" s="90"/>
      <c r="W19" s="90"/>
      <c r="X19" s="90"/>
    </row>
    <row r="20" spans="1:24" ht="18" x14ac:dyDescent="0.25">
      <c r="A20" s="89"/>
      <c r="D20" s="88"/>
      <c r="E20" s="297" t="s">
        <v>260</v>
      </c>
      <c r="F20" s="88"/>
      <c r="G20" s="88"/>
      <c r="H20" s="88"/>
      <c r="O20" s="297" t="s">
        <v>284</v>
      </c>
    </row>
    <row r="21" spans="1:24" x14ac:dyDescent="0.2">
      <c r="A21" s="89"/>
      <c r="E21" s="111" t="s">
        <v>256</v>
      </c>
      <c r="F21" s="162"/>
      <c r="G21" s="162"/>
      <c r="H21" s="162"/>
      <c r="J21" s="111" t="s">
        <v>256</v>
      </c>
      <c r="K21" s="162"/>
      <c r="L21" s="162"/>
      <c r="M21" s="162"/>
      <c r="O21" s="178"/>
      <c r="P21" s="178"/>
      <c r="Q21" s="178"/>
      <c r="R21" s="178"/>
      <c r="S21" s="178"/>
      <c r="T21" s="178"/>
      <c r="U21" s="178"/>
    </row>
    <row r="22" spans="1:24" x14ac:dyDescent="0.2">
      <c r="A22" s="90"/>
      <c r="B22" s="90"/>
      <c r="C22" s="90"/>
      <c r="D22" s="159"/>
      <c r="E22" s="164" t="s">
        <v>282</v>
      </c>
      <c r="F22" s="165"/>
      <c r="G22" s="166"/>
      <c r="H22" s="167"/>
      <c r="I22" s="170"/>
      <c r="J22" s="173" t="s">
        <v>283</v>
      </c>
      <c r="K22" s="174"/>
      <c r="L22" s="174"/>
      <c r="M22" s="175"/>
      <c r="N22" s="176"/>
      <c r="O22" s="283" t="str">
        <f>E22</f>
        <v>Period 1</v>
      </c>
      <c r="P22" s="163"/>
      <c r="Q22" s="163"/>
      <c r="R22" s="284"/>
      <c r="S22" s="283" t="str">
        <f>J22</f>
        <v>Period 2</v>
      </c>
      <c r="T22" s="163"/>
      <c r="U22" s="284"/>
      <c r="V22" s="181"/>
    </row>
    <row r="23" spans="1:24" ht="64.5" x14ac:dyDescent="0.25">
      <c r="A23" s="483" t="s">
        <v>250</v>
      </c>
      <c r="B23" s="484"/>
      <c r="C23" s="485"/>
      <c r="D23" s="159"/>
      <c r="E23" s="168" t="s">
        <v>218</v>
      </c>
      <c r="F23" s="96" t="s">
        <v>219</v>
      </c>
      <c r="G23" s="96" t="s">
        <v>220</v>
      </c>
      <c r="H23" s="169" t="s">
        <v>221</v>
      </c>
      <c r="I23" s="170"/>
      <c r="J23" s="168" t="s">
        <v>218</v>
      </c>
      <c r="K23" s="96" t="s">
        <v>219</v>
      </c>
      <c r="L23" s="96" t="s">
        <v>220</v>
      </c>
      <c r="M23" s="169" t="s">
        <v>221</v>
      </c>
      <c r="N23" s="176"/>
      <c r="O23" s="285" t="s">
        <v>23</v>
      </c>
      <c r="P23" s="93" t="s">
        <v>243</v>
      </c>
      <c r="Q23" s="94" t="str">
        <f>"Level "&amp; (IF(Staffing!I87&lt;1,999,IF(Staffing!I87&gt;Staffing!I86,Staffing!I86,Staffing!I87))) &amp;"      " &amp;
"DCS Rates
Eff. 9/1/14"</f>
        <v>Level 999      DCS Rates
Eff. 9/1/14</v>
      </c>
      <c r="R23" s="286"/>
      <c r="S23" s="177" t="s">
        <v>243</v>
      </c>
      <c r="T23" s="94" t="str">
        <f>"Level "&amp; (IF(Staffing!I87&lt;1,999,IF(Staffing!I87&gt;Staffing!I86,Staffing!I86,Staffing!I87))) &amp;"      " &amp;
"DCS Rates
Eff. 9/1/14"</f>
        <v>Level 999      DCS Rates
Eff. 9/1/14</v>
      </c>
      <c r="U23" s="292"/>
      <c r="V23" s="181"/>
    </row>
    <row r="24" spans="1:24" x14ac:dyDescent="0.2">
      <c r="A24" s="97" t="s">
        <v>176</v>
      </c>
      <c r="B24" s="97"/>
      <c r="C24" s="97"/>
      <c r="D24" s="160" t="s">
        <v>54</v>
      </c>
      <c r="E24" s="362">
        <f>Staffing!E20</f>
        <v>0</v>
      </c>
      <c r="F24" s="363">
        <f>Staffing!G20</f>
        <v>0</v>
      </c>
      <c r="G24" s="363">
        <f>Staffing!H20</f>
        <v>0</v>
      </c>
      <c r="H24" s="364">
        <f t="shared" ref="H24:H60" si="0">+E24+F24+G24</f>
        <v>0</v>
      </c>
      <c r="I24" s="171"/>
      <c r="J24" s="362">
        <f>Staffing!K20</f>
        <v>0</v>
      </c>
      <c r="K24" s="363">
        <f>Staffing!M20</f>
        <v>0</v>
      </c>
      <c r="L24" s="363">
        <f>Staffing!N20</f>
        <v>0</v>
      </c>
      <c r="M24" s="364">
        <f t="shared" ref="M24:M60" si="1">SUM(J24:L24)</f>
        <v>0</v>
      </c>
      <c r="N24" s="176"/>
      <c r="O24" s="287" t="s">
        <v>54</v>
      </c>
      <c r="P24" s="369">
        <f t="shared" ref="P24:P59" si="2">H24</f>
        <v>0</v>
      </c>
      <c r="Q24" s="180">
        <f>HLOOKUP($Q$19,'9-1-2014 Rates to current'!$K$11:$AL$48,3,FALSE)</f>
        <v>109.87</v>
      </c>
      <c r="R24" s="372">
        <f>P24*Q24</f>
        <v>0</v>
      </c>
      <c r="S24" s="375">
        <f t="shared" ref="S24:S59" si="3">M24</f>
        <v>0</v>
      </c>
      <c r="T24" s="98">
        <f>HLOOKUP($T$19,'9-1-2014 Rates to current'!$K$11:$AL$48,3,FALSE)</f>
        <v>109.87</v>
      </c>
      <c r="U24" s="293">
        <f>S24*T24</f>
        <v>0</v>
      </c>
      <c r="V24" s="181"/>
    </row>
    <row r="25" spans="1:24" x14ac:dyDescent="0.2">
      <c r="A25" s="97" t="s">
        <v>176</v>
      </c>
      <c r="B25" s="97"/>
      <c r="C25" s="97"/>
      <c r="D25" s="160" t="s">
        <v>55</v>
      </c>
      <c r="E25" s="362">
        <f>Staffing!E21</f>
        <v>0</v>
      </c>
      <c r="F25" s="363">
        <f>Staffing!G21</f>
        <v>0</v>
      </c>
      <c r="G25" s="363">
        <f>Staffing!H21</f>
        <v>0</v>
      </c>
      <c r="H25" s="364">
        <f t="shared" si="0"/>
        <v>0</v>
      </c>
      <c r="I25" s="171"/>
      <c r="J25" s="362">
        <f>Staffing!K21</f>
        <v>0</v>
      </c>
      <c r="K25" s="363">
        <f>Staffing!M21</f>
        <v>0</v>
      </c>
      <c r="L25" s="363">
        <f>Staffing!N21</f>
        <v>0</v>
      </c>
      <c r="M25" s="364">
        <f t="shared" si="1"/>
        <v>0</v>
      </c>
      <c r="N25" s="176"/>
      <c r="O25" s="287" t="s">
        <v>55</v>
      </c>
      <c r="P25" s="369">
        <f t="shared" si="2"/>
        <v>0</v>
      </c>
      <c r="Q25" s="180">
        <f>HLOOKUP($Q$19,'9-1-2014 Rates to current'!$K$11:$AL$48,4,FALSE)</f>
        <v>92.97</v>
      </c>
      <c r="R25" s="372">
        <f t="shared" ref="R25:R59" si="4">P25*Q25</f>
        <v>0</v>
      </c>
      <c r="S25" s="375">
        <f t="shared" si="3"/>
        <v>0</v>
      </c>
      <c r="T25" s="98">
        <f>HLOOKUP($T$19,'9-1-2014 Rates to current'!$K$11:$AL$48,4,FALSE)</f>
        <v>92.97</v>
      </c>
      <c r="U25" s="293">
        <f t="shared" ref="U25:U58" si="5">S25*T25</f>
        <v>0</v>
      </c>
      <c r="V25" s="181"/>
    </row>
    <row r="26" spans="1:24" x14ac:dyDescent="0.2">
      <c r="A26" s="97" t="s">
        <v>176</v>
      </c>
      <c r="B26" s="97"/>
      <c r="C26" s="97"/>
      <c r="D26" s="160" t="s">
        <v>56</v>
      </c>
      <c r="E26" s="362">
        <f>Staffing!E22</f>
        <v>0</v>
      </c>
      <c r="F26" s="363">
        <f>Staffing!G22</f>
        <v>0</v>
      </c>
      <c r="G26" s="363">
        <f>Staffing!H22</f>
        <v>0</v>
      </c>
      <c r="H26" s="364">
        <f t="shared" si="0"/>
        <v>0</v>
      </c>
      <c r="I26" s="171"/>
      <c r="J26" s="362">
        <f>Staffing!K22</f>
        <v>0</v>
      </c>
      <c r="K26" s="363">
        <f>Staffing!M22</f>
        <v>0</v>
      </c>
      <c r="L26" s="363">
        <f>Staffing!N22</f>
        <v>0</v>
      </c>
      <c r="M26" s="364">
        <f t="shared" si="1"/>
        <v>0</v>
      </c>
      <c r="N26" s="176"/>
      <c r="O26" s="287" t="s">
        <v>56</v>
      </c>
      <c r="P26" s="369">
        <f t="shared" si="2"/>
        <v>0</v>
      </c>
      <c r="Q26" s="180">
        <f>HLOOKUP($Q$19,'9-1-2014 Rates to current'!$K$11:$AL$48,5,FALSE)</f>
        <v>85.18</v>
      </c>
      <c r="R26" s="372">
        <f t="shared" si="4"/>
        <v>0</v>
      </c>
      <c r="S26" s="375">
        <f t="shared" si="3"/>
        <v>0</v>
      </c>
      <c r="T26" s="98">
        <f>HLOOKUP($T$19,'9-1-2014 Rates to current'!$K$11:$AL$48,5,FALSE)</f>
        <v>85.18</v>
      </c>
      <c r="U26" s="293">
        <f t="shared" si="5"/>
        <v>0</v>
      </c>
      <c r="V26" s="181"/>
    </row>
    <row r="27" spans="1:24" x14ac:dyDescent="0.2">
      <c r="A27" s="97" t="s">
        <v>176</v>
      </c>
      <c r="B27" s="97"/>
      <c r="C27" s="97"/>
      <c r="D27" s="160" t="s">
        <v>57</v>
      </c>
      <c r="E27" s="362">
        <f>Staffing!E23</f>
        <v>0</v>
      </c>
      <c r="F27" s="363">
        <f>Staffing!G23</f>
        <v>0</v>
      </c>
      <c r="G27" s="363">
        <f>Staffing!H23</f>
        <v>0</v>
      </c>
      <c r="H27" s="364">
        <f t="shared" si="0"/>
        <v>0</v>
      </c>
      <c r="I27" s="171"/>
      <c r="J27" s="362">
        <f>Staffing!K23</f>
        <v>0</v>
      </c>
      <c r="K27" s="363">
        <f>Staffing!M23</f>
        <v>0</v>
      </c>
      <c r="L27" s="363">
        <f>Staffing!N23</f>
        <v>0</v>
      </c>
      <c r="M27" s="364">
        <f t="shared" si="1"/>
        <v>0</v>
      </c>
      <c r="N27" s="176"/>
      <c r="O27" s="287" t="s">
        <v>57</v>
      </c>
      <c r="P27" s="369">
        <f t="shared" si="2"/>
        <v>0</v>
      </c>
      <c r="Q27" s="180">
        <f>HLOOKUP($Q$19,'9-1-2014 Rates to current'!$K$11:$AL$48,6,FALSE)</f>
        <v>70.7</v>
      </c>
      <c r="R27" s="372">
        <f t="shared" si="4"/>
        <v>0</v>
      </c>
      <c r="S27" s="375">
        <f t="shared" si="3"/>
        <v>0</v>
      </c>
      <c r="T27" s="98">
        <f>HLOOKUP($T$19,'9-1-2014 Rates to current'!$K$11:$AL$48,6,FALSE)</f>
        <v>70.7</v>
      </c>
      <c r="U27" s="293">
        <f t="shared" si="5"/>
        <v>0</v>
      </c>
      <c r="V27" s="181"/>
    </row>
    <row r="28" spans="1:24" x14ac:dyDescent="0.2">
      <c r="A28" s="97" t="s">
        <v>176</v>
      </c>
      <c r="B28" s="97"/>
      <c r="C28" s="97"/>
      <c r="D28" s="160" t="s">
        <v>58</v>
      </c>
      <c r="E28" s="362">
        <f>Staffing!E24</f>
        <v>0</v>
      </c>
      <c r="F28" s="363">
        <f>Staffing!G24</f>
        <v>0</v>
      </c>
      <c r="G28" s="363">
        <f>Staffing!H24</f>
        <v>0</v>
      </c>
      <c r="H28" s="364">
        <f t="shared" si="0"/>
        <v>0</v>
      </c>
      <c r="I28" s="171"/>
      <c r="J28" s="362">
        <f>Staffing!K24</f>
        <v>0</v>
      </c>
      <c r="K28" s="363">
        <f>Staffing!M24</f>
        <v>0</v>
      </c>
      <c r="L28" s="363">
        <f>Staffing!N24</f>
        <v>0</v>
      </c>
      <c r="M28" s="364">
        <f t="shared" si="1"/>
        <v>0</v>
      </c>
      <c r="N28" s="176"/>
      <c r="O28" s="287" t="s">
        <v>58</v>
      </c>
      <c r="P28" s="369">
        <f t="shared" si="2"/>
        <v>0</v>
      </c>
      <c r="Q28" s="180">
        <f>HLOOKUP($Q$19,'9-1-2014 Rates to current'!$K$11:$AL$48,7,FALSE)</f>
        <v>138.02000000000001</v>
      </c>
      <c r="R28" s="372">
        <f t="shared" si="4"/>
        <v>0</v>
      </c>
      <c r="S28" s="375">
        <f t="shared" si="3"/>
        <v>0</v>
      </c>
      <c r="T28" s="98">
        <f>HLOOKUP($T$19,'9-1-2014 Rates to current'!$K$11:$AL$48,7,FALSE)</f>
        <v>138.02000000000001</v>
      </c>
      <c r="U28" s="293">
        <f t="shared" si="5"/>
        <v>0</v>
      </c>
      <c r="V28" s="181"/>
    </row>
    <row r="29" spans="1:24" x14ac:dyDescent="0.2">
      <c r="A29" s="97" t="s">
        <v>176</v>
      </c>
      <c r="B29" s="97"/>
      <c r="C29" s="97"/>
      <c r="D29" s="160" t="s">
        <v>59</v>
      </c>
      <c r="E29" s="362">
        <f>Staffing!E25</f>
        <v>0</v>
      </c>
      <c r="F29" s="363">
        <f>Staffing!G25</f>
        <v>0</v>
      </c>
      <c r="G29" s="363">
        <f>Staffing!H25</f>
        <v>0</v>
      </c>
      <c r="H29" s="364">
        <f t="shared" si="0"/>
        <v>0</v>
      </c>
      <c r="I29" s="171"/>
      <c r="J29" s="362">
        <f>Staffing!K25</f>
        <v>0</v>
      </c>
      <c r="K29" s="363">
        <f>Staffing!M25</f>
        <v>0</v>
      </c>
      <c r="L29" s="363">
        <f>Staffing!N25</f>
        <v>0</v>
      </c>
      <c r="M29" s="364">
        <f t="shared" si="1"/>
        <v>0</v>
      </c>
      <c r="N29" s="176"/>
      <c r="O29" s="287" t="s">
        <v>59</v>
      </c>
      <c r="P29" s="369">
        <f t="shared" si="2"/>
        <v>0</v>
      </c>
      <c r="Q29" s="180">
        <f>HLOOKUP($Q$19,'9-1-2014 Rates to current'!$K$11:$AL$48,8,FALSE)</f>
        <v>111.9</v>
      </c>
      <c r="R29" s="372">
        <f t="shared" si="4"/>
        <v>0</v>
      </c>
      <c r="S29" s="375">
        <f t="shared" si="3"/>
        <v>0</v>
      </c>
      <c r="T29" s="98">
        <f>HLOOKUP($T$19,'9-1-2014 Rates to current'!$K$11:$AL$48,8,FALSE)</f>
        <v>111.9</v>
      </c>
      <c r="U29" s="293">
        <f t="shared" si="5"/>
        <v>0</v>
      </c>
      <c r="V29" s="181"/>
    </row>
    <row r="30" spans="1:24" x14ac:dyDescent="0.2">
      <c r="A30" s="97" t="s">
        <v>176</v>
      </c>
      <c r="B30" s="97"/>
      <c r="C30" s="97"/>
      <c r="D30" s="160" t="s">
        <v>60</v>
      </c>
      <c r="E30" s="362">
        <f>Staffing!E26</f>
        <v>0</v>
      </c>
      <c r="F30" s="363">
        <f>Staffing!G26</f>
        <v>0</v>
      </c>
      <c r="G30" s="363">
        <f>Staffing!H26</f>
        <v>0</v>
      </c>
      <c r="H30" s="364">
        <f t="shared" si="0"/>
        <v>0</v>
      </c>
      <c r="I30" s="171"/>
      <c r="J30" s="362">
        <f>Staffing!K26</f>
        <v>0</v>
      </c>
      <c r="K30" s="363">
        <f>Staffing!M26</f>
        <v>0</v>
      </c>
      <c r="L30" s="363">
        <f>Staffing!N26</f>
        <v>0</v>
      </c>
      <c r="M30" s="364">
        <f t="shared" si="1"/>
        <v>0</v>
      </c>
      <c r="N30" s="176"/>
      <c r="O30" s="287" t="s">
        <v>60</v>
      </c>
      <c r="P30" s="369">
        <f t="shared" si="2"/>
        <v>0</v>
      </c>
      <c r="Q30" s="180">
        <f>HLOOKUP($Q$19,'9-1-2014 Rates to current'!$K$11:$AL$48,9,FALSE)</f>
        <v>92.56</v>
      </c>
      <c r="R30" s="372">
        <f t="shared" si="4"/>
        <v>0</v>
      </c>
      <c r="S30" s="375">
        <f t="shared" si="3"/>
        <v>0</v>
      </c>
      <c r="T30" s="98">
        <f>HLOOKUP($T$19,'9-1-2014 Rates to current'!$K$11:$AL$48,9,FALSE)</f>
        <v>92.56</v>
      </c>
      <c r="U30" s="293">
        <f t="shared" si="5"/>
        <v>0</v>
      </c>
      <c r="V30" s="181"/>
    </row>
    <row r="31" spans="1:24" x14ac:dyDescent="0.2">
      <c r="A31" s="97" t="s">
        <v>176</v>
      </c>
      <c r="B31" s="97"/>
      <c r="C31" s="97"/>
      <c r="D31" s="160" t="s">
        <v>61</v>
      </c>
      <c r="E31" s="362">
        <f>Staffing!E27</f>
        <v>0</v>
      </c>
      <c r="F31" s="363">
        <f>Staffing!G27</f>
        <v>0</v>
      </c>
      <c r="G31" s="363">
        <f>Staffing!H27</f>
        <v>0</v>
      </c>
      <c r="H31" s="364">
        <f t="shared" si="0"/>
        <v>0</v>
      </c>
      <c r="I31" s="171"/>
      <c r="J31" s="362">
        <f>Staffing!K27</f>
        <v>0</v>
      </c>
      <c r="K31" s="363">
        <f>Staffing!M27</f>
        <v>0</v>
      </c>
      <c r="L31" s="363">
        <f>Staffing!N27</f>
        <v>0</v>
      </c>
      <c r="M31" s="364">
        <f t="shared" si="1"/>
        <v>0</v>
      </c>
      <c r="N31" s="176"/>
      <c r="O31" s="287" t="s">
        <v>61</v>
      </c>
      <c r="P31" s="369">
        <f t="shared" si="2"/>
        <v>0</v>
      </c>
      <c r="Q31" s="180">
        <f>HLOOKUP($Q$19,'9-1-2014 Rates to current'!$K$11:$AL$48,10,FALSE)</f>
        <v>89.58</v>
      </c>
      <c r="R31" s="372">
        <f t="shared" si="4"/>
        <v>0</v>
      </c>
      <c r="S31" s="375">
        <f t="shared" si="3"/>
        <v>0</v>
      </c>
      <c r="T31" s="98">
        <f>HLOOKUP($T$19,'9-1-2014 Rates to current'!$K$11:$AL$48,10,FALSE)</f>
        <v>89.58</v>
      </c>
      <c r="U31" s="293">
        <f t="shared" si="5"/>
        <v>0</v>
      </c>
      <c r="V31" s="181"/>
    </row>
    <row r="32" spans="1:24" x14ac:dyDescent="0.2">
      <c r="A32" s="97" t="s">
        <v>176</v>
      </c>
      <c r="B32" s="97"/>
      <c r="C32" s="97"/>
      <c r="D32" s="160" t="s">
        <v>62</v>
      </c>
      <c r="E32" s="362">
        <f>Staffing!E28</f>
        <v>0</v>
      </c>
      <c r="F32" s="363">
        <f>Staffing!G28</f>
        <v>0</v>
      </c>
      <c r="G32" s="363">
        <f>Staffing!H28</f>
        <v>0</v>
      </c>
      <c r="H32" s="364">
        <f t="shared" si="0"/>
        <v>0</v>
      </c>
      <c r="I32" s="171"/>
      <c r="J32" s="362">
        <f>Staffing!K28</f>
        <v>0</v>
      </c>
      <c r="K32" s="363">
        <f>Staffing!M28</f>
        <v>0</v>
      </c>
      <c r="L32" s="363">
        <f>Staffing!N28</f>
        <v>0</v>
      </c>
      <c r="M32" s="364">
        <f t="shared" si="1"/>
        <v>0</v>
      </c>
      <c r="N32" s="176"/>
      <c r="O32" s="287" t="s">
        <v>62</v>
      </c>
      <c r="P32" s="369">
        <f t="shared" si="2"/>
        <v>0</v>
      </c>
      <c r="Q32" s="180">
        <f>HLOOKUP($Q$19,'9-1-2014 Rates to current'!$K$11:$AL$48,11,FALSE)</f>
        <v>82.78</v>
      </c>
      <c r="R32" s="372">
        <f t="shared" si="4"/>
        <v>0</v>
      </c>
      <c r="S32" s="375">
        <f t="shared" si="3"/>
        <v>0</v>
      </c>
      <c r="T32" s="98">
        <f>HLOOKUP($T$19,'9-1-2014 Rates to current'!$K$11:$AL$48,11,FALSE)</f>
        <v>82.78</v>
      </c>
      <c r="U32" s="293">
        <f t="shared" si="5"/>
        <v>0</v>
      </c>
      <c r="V32" s="181"/>
    </row>
    <row r="33" spans="1:22" x14ac:dyDescent="0.2">
      <c r="A33" s="97" t="s">
        <v>176</v>
      </c>
      <c r="B33" s="97"/>
      <c r="C33" s="97"/>
      <c r="D33" s="160" t="s">
        <v>63</v>
      </c>
      <c r="E33" s="362">
        <f>Staffing!E29</f>
        <v>0</v>
      </c>
      <c r="F33" s="363">
        <f>Staffing!G29</f>
        <v>0</v>
      </c>
      <c r="G33" s="363">
        <f>Staffing!H29</f>
        <v>0</v>
      </c>
      <c r="H33" s="364">
        <f t="shared" si="0"/>
        <v>0</v>
      </c>
      <c r="I33" s="171"/>
      <c r="J33" s="362">
        <f>Staffing!K29</f>
        <v>0</v>
      </c>
      <c r="K33" s="363">
        <f>Staffing!M29</f>
        <v>0</v>
      </c>
      <c r="L33" s="363">
        <f>Staffing!N29</f>
        <v>0</v>
      </c>
      <c r="M33" s="364">
        <f t="shared" si="1"/>
        <v>0</v>
      </c>
      <c r="N33" s="176"/>
      <c r="O33" s="287" t="s">
        <v>63</v>
      </c>
      <c r="P33" s="369">
        <f t="shared" si="2"/>
        <v>0</v>
      </c>
      <c r="Q33" s="180">
        <f>HLOOKUP($Q$19,'9-1-2014 Rates to current'!$K$11:$AL$48,12,FALSE)</f>
        <v>82.51</v>
      </c>
      <c r="R33" s="372">
        <f t="shared" si="4"/>
        <v>0</v>
      </c>
      <c r="S33" s="375">
        <f t="shared" si="3"/>
        <v>0</v>
      </c>
      <c r="T33" s="98">
        <f>HLOOKUP($T$19,'9-1-2014 Rates to current'!$K$11:$AL$48,12,FALSE)</f>
        <v>82.51</v>
      </c>
      <c r="U33" s="293">
        <f t="shared" si="5"/>
        <v>0</v>
      </c>
      <c r="V33" s="181"/>
    </row>
    <row r="34" spans="1:22" x14ac:dyDescent="0.2">
      <c r="A34" s="97" t="s">
        <v>176</v>
      </c>
      <c r="B34" s="97"/>
      <c r="C34" s="97"/>
      <c r="D34" s="160" t="s">
        <v>64</v>
      </c>
      <c r="E34" s="362">
        <f>Staffing!E30</f>
        <v>0</v>
      </c>
      <c r="F34" s="363">
        <f>Staffing!G30</f>
        <v>0</v>
      </c>
      <c r="G34" s="363">
        <f>Staffing!H30</f>
        <v>0</v>
      </c>
      <c r="H34" s="364">
        <f t="shared" si="0"/>
        <v>0</v>
      </c>
      <c r="I34" s="171"/>
      <c r="J34" s="362">
        <f>Staffing!K30</f>
        <v>0</v>
      </c>
      <c r="K34" s="363">
        <f>Staffing!M30</f>
        <v>0</v>
      </c>
      <c r="L34" s="363">
        <f>Staffing!N30</f>
        <v>0</v>
      </c>
      <c r="M34" s="364">
        <f t="shared" si="1"/>
        <v>0</v>
      </c>
      <c r="N34" s="176"/>
      <c r="O34" s="287" t="s">
        <v>64</v>
      </c>
      <c r="P34" s="369">
        <f t="shared" si="2"/>
        <v>0</v>
      </c>
      <c r="Q34" s="180">
        <f>HLOOKUP($Q$19,'9-1-2014 Rates to current'!$K$11:$AL$48,13,FALSE)</f>
        <v>66.760000000000005</v>
      </c>
      <c r="R34" s="372">
        <f t="shared" si="4"/>
        <v>0</v>
      </c>
      <c r="S34" s="375">
        <f t="shared" si="3"/>
        <v>0</v>
      </c>
      <c r="T34" s="98">
        <f>HLOOKUP($T$19,'9-1-2014 Rates to current'!$K$11:$AL$48,13,FALSE)</f>
        <v>66.760000000000005</v>
      </c>
      <c r="U34" s="293">
        <f t="shared" si="5"/>
        <v>0</v>
      </c>
      <c r="V34" s="181"/>
    </row>
    <row r="35" spans="1:22" x14ac:dyDescent="0.2">
      <c r="A35" s="97" t="s">
        <v>176</v>
      </c>
      <c r="B35" s="97"/>
      <c r="C35" s="97"/>
      <c r="D35" s="160" t="s">
        <v>65</v>
      </c>
      <c r="E35" s="362">
        <f>Staffing!E31</f>
        <v>0</v>
      </c>
      <c r="F35" s="363">
        <f>Staffing!G31</f>
        <v>0</v>
      </c>
      <c r="G35" s="363">
        <f>Staffing!H31</f>
        <v>0</v>
      </c>
      <c r="H35" s="364">
        <f t="shared" si="0"/>
        <v>0</v>
      </c>
      <c r="I35" s="171"/>
      <c r="J35" s="362">
        <f>Staffing!K31</f>
        <v>0</v>
      </c>
      <c r="K35" s="363">
        <f>Staffing!M31</f>
        <v>0</v>
      </c>
      <c r="L35" s="363">
        <f>Staffing!N31</f>
        <v>0</v>
      </c>
      <c r="M35" s="364">
        <f t="shared" si="1"/>
        <v>0</v>
      </c>
      <c r="N35" s="176"/>
      <c r="O35" s="287" t="s">
        <v>65</v>
      </c>
      <c r="P35" s="369">
        <f t="shared" si="2"/>
        <v>0</v>
      </c>
      <c r="Q35" s="180">
        <f>HLOOKUP($Q$19,'9-1-2014 Rates to current'!$K$11:$AL$48,14,FALSE)</f>
        <v>61.4</v>
      </c>
      <c r="R35" s="372">
        <f t="shared" si="4"/>
        <v>0</v>
      </c>
      <c r="S35" s="375">
        <f t="shared" si="3"/>
        <v>0</v>
      </c>
      <c r="T35" s="98">
        <f>HLOOKUP($T$19,'9-1-2014 Rates to current'!$K$11:$AL$48,14,FALSE)</f>
        <v>61.4</v>
      </c>
      <c r="U35" s="293">
        <f t="shared" si="5"/>
        <v>0</v>
      </c>
      <c r="V35" s="181"/>
    </row>
    <row r="36" spans="1:22" x14ac:dyDescent="0.2">
      <c r="A36" s="97" t="s">
        <v>176</v>
      </c>
      <c r="B36" s="97"/>
      <c r="C36" s="97"/>
      <c r="D36" s="160" t="s">
        <v>66</v>
      </c>
      <c r="E36" s="362">
        <f>Staffing!E32</f>
        <v>0</v>
      </c>
      <c r="F36" s="363">
        <f>Staffing!G32</f>
        <v>0</v>
      </c>
      <c r="G36" s="363">
        <f>Staffing!H32</f>
        <v>0</v>
      </c>
      <c r="H36" s="364">
        <f t="shared" si="0"/>
        <v>0</v>
      </c>
      <c r="I36" s="171"/>
      <c r="J36" s="362">
        <f>Staffing!K32</f>
        <v>0</v>
      </c>
      <c r="K36" s="363">
        <f>Staffing!M32</f>
        <v>0</v>
      </c>
      <c r="L36" s="363">
        <f>Staffing!N32</f>
        <v>0</v>
      </c>
      <c r="M36" s="364">
        <f t="shared" si="1"/>
        <v>0</v>
      </c>
      <c r="N36" s="176"/>
      <c r="O36" s="287" t="s">
        <v>66</v>
      </c>
      <c r="P36" s="369">
        <f t="shared" si="2"/>
        <v>0</v>
      </c>
      <c r="Q36" s="180">
        <f>HLOOKUP($Q$19,'9-1-2014 Rates to current'!$K$11:$AL$48,15,FALSE)</f>
        <v>58.35</v>
      </c>
      <c r="R36" s="372">
        <f t="shared" si="4"/>
        <v>0</v>
      </c>
      <c r="S36" s="375">
        <f t="shared" si="3"/>
        <v>0</v>
      </c>
      <c r="T36" s="98">
        <f>HLOOKUP($T$19,'9-1-2014 Rates to current'!$K$11:$AL$48,15,FALSE)</f>
        <v>58.35</v>
      </c>
      <c r="U36" s="293">
        <f t="shared" si="5"/>
        <v>0</v>
      </c>
      <c r="V36" s="181"/>
    </row>
    <row r="37" spans="1:22" x14ac:dyDescent="0.2">
      <c r="A37" s="97" t="s">
        <v>176</v>
      </c>
      <c r="B37" s="97"/>
      <c r="C37" s="97"/>
      <c r="D37" s="160" t="s">
        <v>67</v>
      </c>
      <c r="E37" s="362">
        <f>Staffing!E33</f>
        <v>0</v>
      </c>
      <c r="F37" s="363">
        <f>Staffing!G33</f>
        <v>0</v>
      </c>
      <c r="G37" s="363">
        <f>Staffing!H33</f>
        <v>0</v>
      </c>
      <c r="H37" s="364">
        <f t="shared" si="0"/>
        <v>0</v>
      </c>
      <c r="I37" s="171"/>
      <c r="J37" s="362">
        <f>Staffing!K33</f>
        <v>0</v>
      </c>
      <c r="K37" s="363">
        <f>Staffing!M33</f>
        <v>0</v>
      </c>
      <c r="L37" s="363">
        <f>Staffing!N33</f>
        <v>0</v>
      </c>
      <c r="M37" s="364">
        <f t="shared" si="1"/>
        <v>0</v>
      </c>
      <c r="N37" s="176"/>
      <c r="O37" s="287" t="s">
        <v>67</v>
      </c>
      <c r="P37" s="369">
        <f t="shared" si="2"/>
        <v>0</v>
      </c>
      <c r="Q37" s="180">
        <f>HLOOKUP($Q$19,'9-1-2014 Rates to current'!$K$11:$AL$48,16,FALSE)</f>
        <v>54.13</v>
      </c>
      <c r="R37" s="372">
        <f t="shared" si="4"/>
        <v>0</v>
      </c>
      <c r="S37" s="375">
        <f t="shared" si="3"/>
        <v>0</v>
      </c>
      <c r="T37" s="98">
        <f>HLOOKUP($T$19,'9-1-2014 Rates to current'!$K$11:$AL$48,16,FALSE)</f>
        <v>54.13</v>
      </c>
      <c r="U37" s="293">
        <f t="shared" si="5"/>
        <v>0</v>
      </c>
      <c r="V37" s="181"/>
    </row>
    <row r="38" spans="1:22" x14ac:dyDescent="0.2">
      <c r="A38" s="97" t="s">
        <v>176</v>
      </c>
      <c r="B38" s="97"/>
      <c r="C38" s="97"/>
      <c r="D38" s="160" t="s">
        <v>68</v>
      </c>
      <c r="E38" s="362">
        <f>Staffing!E34</f>
        <v>0</v>
      </c>
      <c r="F38" s="363">
        <f>Staffing!G34</f>
        <v>0</v>
      </c>
      <c r="G38" s="363">
        <f>Staffing!H34</f>
        <v>0</v>
      </c>
      <c r="H38" s="364">
        <f t="shared" si="0"/>
        <v>0</v>
      </c>
      <c r="I38" s="171"/>
      <c r="J38" s="362">
        <f>Staffing!K34</f>
        <v>0</v>
      </c>
      <c r="K38" s="363">
        <f>Staffing!M34</f>
        <v>0</v>
      </c>
      <c r="L38" s="363">
        <f>Staffing!N34</f>
        <v>0</v>
      </c>
      <c r="M38" s="364">
        <f t="shared" si="1"/>
        <v>0</v>
      </c>
      <c r="N38" s="176"/>
      <c r="O38" s="287" t="s">
        <v>68</v>
      </c>
      <c r="P38" s="369">
        <f t="shared" si="2"/>
        <v>0</v>
      </c>
      <c r="Q38" s="180">
        <f>HLOOKUP($Q$19,'9-1-2014 Rates to current'!$K$11:$AL$48,17,FALSE)</f>
        <v>49.62</v>
      </c>
      <c r="R38" s="372">
        <f t="shared" si="4"/>
        <v>0</v>
      </c>
      <c r="S38" s="375">
        <f t="shared" si="3"/>
        <v>0</v>
      </c>
      <c r="T38" s="98">
        <f>HLOOKUP($T$19,'9-1-2014 Rates to current'!$K$11:$AL$48,17,FALSE)</f>
        <v>49.62</v>
      </c>
      <c r="U38" s="293">
        <f t="shared" si="5"/>
        <v>0</v>
      </c>
      <c r="V38" s="181"/>
    </row>
    <row r="39" spans="1:22" x14ac:dyDescent="0.2">
      <c r="A39" s="97" t="s">
        <v>176</v>
      </c>
      <c r="B39" s="97"/>
      <c r="C39" s="97"/>
      <c r="D39" s="160" t="s">
        <v>69</v>
      </c>
      <c r="E39" s="362">
        <f>Staffing!E35</f>
        <v>0</v>
      </c>
      <c r="F39" s="363">
        <f>Staffing!G35</f>
        <v>0</v>
      </c>
      <c r="G39" s="363">
        <f>Staffing!H35</f>
        <v>0</v>
      </c>
      <c r="H39" s="364">
        <f t="shared" si="0"/>
        <v>0</v>
      </c>
      <c r="I39" s="171"/>
      <c r="J39" s="362">
        <f>Staffing!K35</f>
        <v>0</v>
      </c>
      <c r="K39" s="363">
        <f>Staffing!M35</f>
        <v>0</v>
      </c>
      <c r="L39" s="363">
        <f>Staffing!N35</f>
        <v>0</v>
      </c>
      <c r="M39" s="364">
        <f t="shared" si="1"/>
        <v>0</v>
      </c>
      <c r="N39" s="176"/>
      <c r="O39" s="287" t="s">
        <v>69</v>
      </c>
      <c r="P39" s="369">
        <f t="shared" si="2"/>
        <v>0</v>
      </c>
      <c r="Q39" s="180">
        <f>HLOOKUP($Q$19,'9-1-2014 Rates to current'!$K$11:$AL$48,18,FALSE)</f>
        <v>44.55</v>
      </c>
      <c r="R39" s="372">
        <f t="shared" si="4"/>
        <v>0</v>
      </c>
      <c r="S39" s="375">
        <f t="shared" si="3"/>
        <v>0</v>
      </c>
      <c r="T39" s="98">
        <f>HLOOKUP($T$19,'9-1-2014 Rates to current'!$K$11:$AL$48,18,FALSE)</f>
        <v>44.55</v>
      </c>
      <c r="U39" s="293">
        <f t="shared" si="5"/>
        <v>0</v>
      </c>
      <c r="V39" s="181"/>
    </row>
    <row r="40" spans="1:22" x14ac:dyDescent="0.2">
      <c r="A40" s="97" t="s">
        <v>176</v>
      </c>
      <c r="B40" s="97"/>
      <c r="C40" s="97"/>
      <c r="D40" s="160" t="s">
        <v>70</v>
      </c>
      <c r="E40" s="362">
        <f>Staffing!E36</f>
        <v>0</v>
      </c>
      <c r="F40" s="363">
        <f>Staffing!G36</f>
        <v>0</v>
      </c>
      <c r="G40" s="363">
        <f>Staffing!H36</f>
        <v>0</v>
      </c>
      <c r="H40" s="364">
        <f t="shared" si="0"/>
        <v>0</v>
      </c>
      <c r="I40" s="171"/>
      <c r="J40" s="362">
        <f>Staffing!K36</f>
        <v>0</v>
      </c>
      <c r="K40" s="363">
        <f>Staffing!M36</f>
        <v>0</v>
      </c>
      <c r="L40" s="363">
        <f>Staffing!N36</f>
        <v>0</v>
      </c>
      <c r="M40" s="364">
        <f t="shared" si="1"/>
        <v>0</v>
      </c>
      <c r="N40" s="176"/>
      <c r="O40" s="287" t="s">
        <v>70</v>
      </c>
      <c r="P40" s="369">
        <f t="shared" si="2"/>
        <v>0</v>
      </c>
      <c r="Q40" s="180">
        <f>HLOOKUP($Q$19,'9-1-2014 Rates to current'!$K$11:$AL$48,19,FALSE)</f>
        <v>49.76</v>
      </c>
      <c r="R40" s="372">
        <f t="shared" si="4"/>
        <v>0</v>
      </c>
      <c r="S40" s="375">
        <f t="shared" si="3"/>
        <v>0</v>
      </c>
      <c r="T40" s="98">
        <f>HLOOKUP($T$19,'9-1-2014 Rates to current'!$K$11:$AL$48,19,FALSE)</f>
        <v>49.76</v>
      </c>
      <c r="U40" s="293">
        <f t="shared" si="5"/>
        <v>0</v>
      </c>
      <c r="V40" s="181"/>
    </row>
    <row r="41" spans="1:22" x14ac:dyDescent="0.2">
      <c r="A41" s="97" t="s">
        <v>176</v>
      </c>
      <c r="B41" s="97"/>
      <c r="C41" s="97"/>
      <c r="D41" s="160" t="s">
        <v>71</v>
      </c>
      <c r="E41" s="362">
        <f>Staffing!E37</f>
        <v>0</v>
      </c>
      <c r="F41" s="363">
        <f>Staffing!G37</f>
        <v>0</v>
      </c>
      <c r="G41" s="363">
        <f>Staffing!H37</f>
        <v>0</v>
      </c>
      <c r="H41" s="364">
        <f t="shared" si="0"/>
        <v>0</v>
      </c>
      <c r="I41" s="171"/>
      <c r="J41" s="362">
        <f>Staffing!K37</f>
        <v>0</v>
      </c>
      <c r="K41" s="363">
        <f>Staffing!M37</f>
        <v>0</v>
      </c>
      <c r="L41" s="363">
        <f>Staffing!N37</f>
        <v>0</v>
      </c>
      <c r="M41" s="364">
        <f t="shared" si="1"/>
        <v>0</v>
      </c>
      <c r="N41" s="176"/>
      <c r="O41" s="287" t="s">
        <v>71</v>
      </c>
      <c r="P41" s="369">
        <f t="shared" si="2"/>
        <v>0</v>
      </c>
      <c r="Q41" s="180">
        <f>HLOOKUP($Q$19,'9-1-2014 Rates to current'!$K$11:$AL$48,20,FALSE)</f>
        <v>44.02</v>
      </c>
      <c r="R41" s="372">
        <f t="shared" si="4"/>
        <v>0</v>
      </c>
      <c r="S41" s="375">
        <f t="shared" si="3"/>
        <v>0</v>
      </c>
      <c r="T41" s="98">
        <f>HLOOKUP($T$19,'9-1-2014 Rates to current'!$K$11:$AL$48,20,FALSE)</f>
        <v>44.02</v>
      </c>
      <c r="U41" s="293">
        <f t="shared" si="5"/>
        <v>0</v>
      </c>
      <c r="V41" s="181"/>
    </row>
    <row r="42" spans="1:22" x14ac:dyDescent="0.2">
      <c r="A42" s="97" t="s">
        <v>176</v>
      </c>
      <c r="B42" s="97"/>
      <c r="C42" s="97"/>
      <c r="D42" s="160" t="s">
        <v>72</v>
      </c>
      <c r="E42" s="362">
        <f>Staffing!E38</f>
        <v>0</v>
      </c>
      <c r="F42" s="363">
        <f>Staffing!G38</f>
        <v>0</v>
      </c>
      <c r="G42" s="363">
        <f>Staffing!H38</f>
        <v>0</v>
      </c>
      <c r="H42" s="364">
        <f t="shared" si="0"/>
        <v>0</v>
      </c>
      <c r="I42" s="171"/>
      <c r="J42" s="362">
        <f>Staffing!K38</f>
        <v>0</v>
      </c>
      <c r="K42" s="363">
        <f>Staffing!M38</f>
        <v>0</v>
      </c>
      <c r="L42" s="363">
        <f>Staffing!N38</f>
        <v>0</v>
      </c>
      <c r="M42" s="364">
        <f t="shared" si="1"/>
        <v>0</v>
      </c>
      <c r="N42" s="176"/>
      <c r="O42" s="287" t="s">
        <v>72</v>
      </c>
      <c r="P42" s="369">
        <f t="shared" si="2"/>
        <v>0</v>
      </c>
      <c r="Q42" s="180">
        <f>HLOOKUP($Q$19,'9-1-2014 Rates to current'!$K$11:$AL$48,21,FALSE)</f>
        <v>37.159999999999997</v>
      </c>
      <c r="R42" s="372">
        <f t="shared" si="4"/>
        <v>0</v>
      </c>
      <c r="S42" s="375">
        <f t="shared" si="3"/>
        <v>0</v>
      </c>
      <c r="T42" s="98">
        <f>HLOOKUP($T$19,'9-1-2014 Rates to current'!$K$11:$AL$48,21,FALSE)</f>
        <v>37.159999999999997</v>
      </c>
      <c r="U42" s="293">
        <f t="shared" si="5"/>
        <v>0</v>
      </c>
      <c r="V42" s="181"/>
    </row>
    <row r="43" spans="1:22" x14ac:dyDescent="0.2">
      <c r="A43" s="97" t="s">
        <v>176</v>
      </c>
      <c r="B43" s="97"/>
      <c r="C43" s="97"/>
      <c r="D43" s="160" t="s">
        <v>73</v>
      </c>
      <c r="E43" s="362">
        <f>Staffing!E39</f>
        <v>0</v>
      </c>
      <c r="F43" s="363">
        <f>Staffing!G39</f>
        <v>0</v>
      </c>
      <c r="G43" s="363">
        <f>Staffing!H39</f>
        <v>0</v>
      </c>
      <c r="H43" s="364">
        <f t="shared" si="0"/>
        <v>0</v>
      </c>
      <c r="I43" s="171"/>
      <c r="J43" s="362">
        <f>Staffing!K39</f>
        <v>0</v>
      </c>
      <c r="K43" s="363">
        <f>Staffing!M39</f>
        <v>0</v>
      </c>
      <c r="L43" s="363">
        <f>Staffing!N39</f>
        <v>0</v>
      </c>
      <c r="M43" s="364">
        <f t="shared" si="1"/>
        <v>0</v>
      </c>
      <c r="N43" s="176"/>
      <c r="O43" s="287" t="s">
        <v>73</v>
      </c>
      <c r="P43" s="369">
        <f t="shared" si="2"/>
        <v>0</v>
      </c>
      <c r="Q43" s="180">
        <f>HLOOKUP($Q$19,'9-1-2014 Rates to current'!$K$11:$AL$48,22,FALSE)</f>
        <v>33.43</v>
      </c>
      <c r="R43" s="372">
        <f t="shared" si="4"/>
        <v>0</v>
      </c>
      <c r="S43" s="375">
        <f t="shared" si="3"/>
        <v>0</v>
      </c>
      <c r="T43" s="98">
        <f>HLOOKUP($T$19,'9-1-2014 Rates to current'!$K$11:$AL$48,22,FALSE)</f>
        <v>33.43</v>
      </c>
      <c r="U43" s="293">
        <f t="shared" si="5"/>
        <v>0</v>
      </c>
      <c r="V43" s="181"/>
    </row>
    <row r="44" spans="1:22" x14ac:dyDescent="0.2">
      <c r="A44" s="97" t="s">
        <v>176</v>
      </c>
      <c r="B44" s="97"/>
      <c r="C44" s="97"/>
      <c r="D44" s="160" t="s">
        <v>74</v>
      </c>
      <c r="E44" s="362">
        <f>Staffing!E40</f>
        <v>0</v>
      </c>
      <c r="F44" s="363">
        <f>Staffing!G40</f>
        <v>0</v>
      </c>
      <c r="G44" s="363">
        <f>Staffing!H40</f>
        <v>0</v>
      </c>
      <c r="H44" s="364">
        <f t="shared" si="0"/>
        <v>0</v>
      </c>
      <c r="I44" s="171"/>
      <c r="J44" s="362">
        <f>Staffing!K40</f>
        <v>0</v>
      </c>
      <c r="K44" s="363">
        <f>Staffing!M40</f>
        <v>0</v>
      </c>
      <c r="L44" s="363">
        <f>Staffing!N40</f>
        <v>0</v>
      </c>
      <c r="M44" s="364">
        <f t="shared" si="1"/>
        <v>0</v>
      </c>
      <c r="N44" s="176"/>
      <c r="O44" s="287" t="s">
        <v>74</v>
      </c>
      <c r="P44" s="369">
        <f t="shared" si="2"/>
        <v>0</v>
      </c>
      <c r="Q44" s="180">
        <f>HLOOKUP($Q$19,'9-1-2014 Rates to current'!$K$11:$AL$48,23,FALSE)</f>
        <v>48.22</v>
      </c>
      <c r="R44" s="372">
        <f t="shared" si="4"/>
        <v>0</v>
      </c>
      <c r="S44" s="375">
        <f t="shared" si="3"/>
        <v>0</v>
      </c>
      <c r="T44" s="98">
        <f>HLOOKUP($T$19,'9-1-2014 Rates to current'!$K$11:$AL$48,23,FALSE)</f>
        <v>48.22</v>
      </c>
      <c r="U44" s="293">
        <f t="shared" si="5"/>
        <v>0</v>
      </c>
      <c r="V44" s="181"/>
    </row>
    <row r="45" spans="1:22" x14ac:dyDescent="0.2">
      <c r="A45" s="97" t="s">
        <v>176</v>
      </c>
      <c r="B45" s="97"/>
      <c r="C45" s="97"/>
      <c r="D45" s="160" t="s">
        <v>75</v>
      </c>
      <c r="E45" s="362">
        <f>Staffing!E41</f>
        <v>0</v>
      </c>
      <c r="F45" s="363">
        <f>Staffing!G41</f>
        <v>0</v>
      </c>
      <c r="G45" s="363">
        <f>Staffing!H41</f>
        <v>0</v>
      </c>
      <c r="H45" s="364">
        <f t="shared" si="0"/>
        <v>0</v>
      </c>
      <c r="I45" s="171"/>
      <c r="J45" s="362">
        <f>Staffing!K41</f>
        <v>0</v>
      </c>
      <c r="K45" s="363">
        <f>Staffing!M41</f>
        <v>0</v>
      </c>
      <c r="L45" s="363">
        <f>Staffing!N41</f>
        <v>0</v>
      </c>
      <c r="M45" s="364">
        <f t="shared" si="1"/>
        <v>0</v>
      </c>
      <c r="N45" s="176"/>
      <c r="O45" s="287" t="s">
        <v>75</v>
      </c>
      <c r="P45" s="369">
        <f t="shared" si="2"/>
        <v>0</v>
      </c>
      <c r="Q45" s="180">
        <f>HLOOKUP($Q$19,'9-1-2014 Rates to current'!$K$11:$AL$48,24,FALSE)</f>
        <v>40.31</v>
      </c>
      <c r="R45" s="372">
        <f t="shared" si="4"/>
        <v>0</v>
      </c>
      <c r="S45" s="375">
        <f t="shared" si="3"/>
        <v>0</v>
      </c>
      <c r="T45" s="98">
        <f>HLOOKUP($T$19,'9-1-2014 Rates to current'!$K$11:$AL$48,24,FALSE)</f>
        <v>40.31</v>
      </c>
      <c r="U45" s="293">
        <f t="shared" si="5"/>
        <v>0</v>
      </c>
      <c r="V45" s="181"/>
    </row>
    <row r="46" spans="1:22" x14ac:dyDescent="0.2">
      <c r="A46" s="97" t="s">
        <v>176</v>
      </c>
      <c r="B46" s="97"/>
      <c r="C46" s="97"/>
      <c r="D46" s="160" t="s">
        <v>76</v>
      </c>
      <c r="E46" s="362">
        <f>Staffing!E42</f>
        <v>0</v>
      </c>
      <c r="F46" s="363">
        <f>Staffing!G42</f>
        <v>0</v>
      </c>
      <c r="G46" s="363">
        <f>Staffing!H42</f>
        <v>0</v>
      </c>
      <c r="H46" s="364">
        <f t="shared" si="0"/>
        <v>0</v>
      </c>
      <c r="I46" s="171"/>
      <c r="J46" s="362">
        <f>Staffing!K42</f>
        <v>0</v>
      </c>
      <c r="K46" s="363">
        <f>Staffing!M42</f>
        <v>0</v>
      </c>
      <c r="L46" s="363">
        <f>Staffing!N42</f>
        <v>0</v>
      </c>
      <c r="M46" s="364">
        <f t="shared" si="1"/>
        <v>0</v>
      </c>
      <c r="N46" s="176"/>
      <c r="O46" s="287" t="s">
        <v>76</v>
      </c>
      <c r="P46" s="369">
        <f t="shared" si="2"/>
        <v>0</v>
      </c>
      <c r="Q46" s="180">
        <f>HLOOKUP($Q$19,'9-1-2014 Rates to current'!$K$11:$AL$48,25,FALSE)</f>
        <v>35.81</v>
      </c>
      <c r="R46" s="372">
        <f t="shared" si="4"/>
        <v>0</v>
      </c>
      <c r="S46" s="375">
        <f t="shared" si="3"/>
        <v>0</v>
      </c>
      <c r="T46" s="98">
        <f>HLOOKUP($T$19,'9-1-2014 Rates to current'!$K$11:$AL$48,25,FALSE)</f>
        <v>35.81</v>
      </c>
      <c r="U46" s="293">
        <f t="shared" si="5"/>
        <v>0</v>
      </c>
      <c r="V46" s="181"/>
    </row>
    <row r="47" spans="1:22" x14ac:dyDescent="0.2">
      <c r="A47" s="97" t="s">
        <v>176</v>
      </c>
      <c r="B47" s="97"/>
      <c r="C47" s="97"/>
      <c r="D47" s="160" t="s">
        <v>77</v>
      </c>
      <c r="E47" s="362">
        <f>Staffing!E43</f>
        <v>0</v>
      </c>
      <c r="F47" s="363">
        <f>Staffing!G43</f>
        <v>0</v>
      </c>
      <c r="G47" s="363">
        <f>Staffing!H43</f>
        <v>0</v>
      </c>
      <c r="H47" s="364">
        <f t="shared" si="0"/>
        <v>0</v>
      </c>
      <c r="I47" s="171"/>
      <c r="J47" s="362">
        <f>Staffing!K43</f>
        <v>0</v>
      </c>
      <c r="K47" s="363">
        <f>Staffing!M43</f>
        <v>0</v>
      </c>
      <c r="L47" s="363">
        <f>Staffing!N43</f>
        <v>0</v>
      </c>
      <c r="M47" s="364">
        <f t="shared" si="1"/>
        <v>0</v>
      </c>
      <c r="N47" s="176"/>
      <c r="O47" s="287" t="s">
        <v>77</v>
      </c>
      <c r="P47" s="369">
        <f t="shared" si="2"/>
        <v>0</v>
      </c>
      <c r="Q47" s="180">
        <f>HLOOKUP($Q$19,'9-1-2014 Rates to current'!$K$11:$AL$48,26,FALSE)</f>
        <v>29.07</v>
      </c>
      <c r="R47" s="372">
        <f t="shared" si="4"/>
        <v>0</v>
      </c>
      <c r="S47" s="375">
        <f t="shared" si="3"/>
        <v>0</v>
      </c>
      <c r="T47" s="98">
        <f>HLOOKUP($T$19,'9-1-2014 Rates to current'!$K$11:$AL$48,26,FALSE)</f>
        <v>29.07</v>
      </c>
      <c r="U47" s="293">
        <f t="shared" si="5"/>
        <v>0</v>
      </c>
      <c r="V47" s="181"/>
    </row>
    <row r="48" spans="1:22" x14ac:dyDescent="0.2">
      <c r="A48" s="97" t="s">
        <v>176</v>
      </c>
      <c r="B48" s="97"/>
      <c r="C48" s="97"/>
      <c r="D48" s="160" t="s">
        <v>78</v>
      </c>
      <c r="E48" s="362">
        <f>Staffing!E44</f>
        <v>0</v>
      </c>
      <c r="F48" s="363">
        <f>Staffing!G44</f>
        <v>0</v>
      </c>
      <c r="G48" s="363">
        <f>Staffing!H44</f>
        <v>0</v>
      </c>
      <c r="H48" s="364">
        <f t="shared" si="0"/>
        <v>0</v>
      </c>
      <c r="I48" s="171"/>
      <c r="J48" s="362">
        <f>Staffing!K44</f>
        <v>0</v>
      </c>
      <c r="K48" s="363">
        <f>Staffing!M44</f>
        <v>0</v>
      </c>
      <c r="L48" s="363">
        <f>Staffing!N44</f>
        <v>0</v>
      </c>
      <c r="M48" s="364">
        <f t="shared" si="1"/>
        <v>0</v>
      </c>
      <c r="N48" s="176"/>
      <c r="O48" s="287" t="s">
        <v>78</v>
      </c>
      <c r="P48" s="369">
        <f t="shared" si="2"/>
        <v>0</v>
      </c>
      <c r="Q48" s="180">
        <f>HLOOKUP($Q$19,'9-1-2014 Rates to current'!$K$11:$AL$48,27,FALSE)</f>
        <v>54.62</v>
      </c>
      <c r="R48" s="372">
        <f t="shared" si="4"/>
        <v>0</v>
      </c>
      <c r="S48" s="375">
        <f t="shared" si="3"/>
        <v>0</v>
      </c>
      <c r="T48" s="98">
        <f>HLOOKUP($T$19,'9-1-2014 Rates to current'!$K$11:$AL$48,27,FALSE)</f>
        <v>54.62</v>
      </c>
      <c r="U48" s="293">
        <f t="shared" si="5"/>
        <v>0</v>
      </c>
      <c r="V48" s="181"/>
    </row>
    <row r="49" spans="1:24" x14ac:dyDescent="0.2">
      <c r="A49" s="97" t="s">
        <v>176</v>
      </c>
      <c r="B49" s="97"/>
      <c r="C49" s="97"/>
      <c r="D49" s="160" t="s">
        <v>79</v>
      </c>
      <c r="E49" s="362">
        <f>Staffing!E45</f>
        <v>0</v>
      </c>
      <c r="F49" s="363">
        <f>Staffing!G45</f>
        <v>0</v>
      </c>
      <c r="G49" s="363">
        <f>Staffing!H45</f>
        <v>0</v>
      </c>
      <c r="H49" s="364">
        <f t="shared" si="0"/>
        <v>0</v>
      </c>
      <c r="I49" s="171"/>
      <c r="J49" s="362">
        <f>Staffing!K45</f>
        <v>0</v>
      </c>
      <c r="K49" s="363">
        <f>Staffing!M45</f>
        <v>0</v>
      </c>
      <c r="L49" s="363">
        <f>Staffing!N45</f>
        <v>0</v>
      </c>
      <c r="M49" s="364">
        <f t="shared" si="1"/>
        <v>0</v>
      </c>
      <c r="N49" s="176"/>
      <c r="O49" s="287" t="s">
        <v>79</v>
      </c>
      <c r="P49" s="369">
        <f t="shared" si="2"/>
        <v>0</v>
      </c>
      <c r="Q49" s="180">
        <f>HLOOKUP($Q$19,'9-1-2014 Rates to current'!$K$11:$AL$48,28,FALSE)</f>
        <v>49.72</v>
      </c>
      <c r="R49" s="372">
        <f t="shared" si="4"/>
        <v>0</v>
      </c>
      <c r="S49" s="375">
        <f t="shared" si="3"/>
        <v>0</v>
      </c>
      <c r="T49" s="98">
        <f>HLOOKUP($T$19,'9-1-2014 Rates to current'!$K$11:$AL$48,28,FALSE)</f>
        <v>49.72</v>
      </c>
      <c r="U49" s="293">
        <f t="shared" si="5"/>
        <v>0</v>
      </c>
      <c r="V49" s="181"/>
    </row>
    <row r="50" spans="1:24" x14ac:dyDescent="0.2">
      <c r="A50" s="97" t="s">
        <v>176</v>
      </c>
      <c r="B50" s="97"/>
      <c r="C50" s="97"/>
      <c r="D50" s="160" t="s">
        <v>80</v>
      </c>
      <c r="E50" s="362">
        <f>Staffing!E46</f>
        <v>0</v>
      </c>
      <c r="F50" s="363">
        <f>Staffing!G46</f>
        <v>0</v>
      </c>
      <c r="G50" s="363">
        <f>Staffing!H46</f>
        <v>0</v>
      </c>
      <c r="H50" s="364">
        <f t="shared" si="0"/>
        <v>0</v>
      </c>
      <c r="I50" s="171"/>
      <c r="J50" s="362">
        <f>Staffing!K46</f>
        <v>0</v>
      </c>
      <c r="K50" s="363">
        <f>Staffing!M46</f>
        <v>0</v>
      </c>
      <c r="L50" s="363">
        <f>Staffing!N46</f>
        <v>0</v>
      </c>
      <c r="M50" s="364">
        <f t="shared" si="1"/>
        <v>0</v>
      </c>
      <c r="N50" s="176"/>
      <c r="O50" s="287" t="s">
        <v>80</v>
      </c>
      <c r="P50" s="369">
        <f t="shared" si="2"/>
        <v>0</v>
      </c>
      <c r="Q50" s="180">
        <f>HLOOKUP($Q$19,'9-1-2014 Rates to current'!$K$11:$AL$48,29,FALSE)</f>
        <v>50.91</v>
      </c>
      <c r="R50" s="372">
        <f t="shared" si="4"/>
        <v>0</v>
      </c>
      <c r="S50" s="375">
        <f t="shared" si="3"/>
        <v>0</v>
      </c>
      <c r="T50" s="98">
        <f>HLOOKUP($T$19,'9-1-2014 Rates to current'!$K$11:$AL$48,29,FALSE)</f>
        <v>50.91</v>
      </c>
      <c r="U50" s="293">
        <f t="shared" si="5"/>
        <v>0</v>
      </c>
      <c r="V50" s="181"/>
    </row>
    <row r="51" spans="1:24" x14ac:dyDescent="0.2">
      <c r="A51" s="97" t="s">
        <v>176</v>
      </c>
      <c r="B51" s="97"/>
      <c r="C51" s="97"/>
      <c r="D51" s="160" t="s">
        <v>53</v>
      </c>
      <c r="E51" s="362">
        <f>Staffing!E47</f>
        <v>0</v>
      </c>
      <c r="F51" s="363">
        <f>Staffing!G47</f>
        <v>0</v>
      </c>
      <c r="G51" s="363">
        <f>Staffing!H47</f>
        <v>0</v>
      </c>
      <c r="H51" s="364">
        <f t="shared" si="0"/>
        <v>0</v>
      </c>
      <c r="I51" s="171"/>
      <c r="J51" s="362">
        <f>Staffing!K47</f>
        <v>0</v>
      </c>
      <c r="K51" s="363">
        <f>Staffing!M47</f>
        <v>0</v>
      </c>
      <c r="L51" s="363">
        <f>Staffing!N47</f>
        <v>0</v>
      </c>
      <c r="M51" s="364">
        <f t="shared" si="1"/>
        <v>0</v>
      </c>
      <c r="N51" s="176"/>
      <c r="O51" s="287" t="s">
        <v>53</v>
      </c>
      <c r="P51" s="369">
        <f t="shared" si="2"/>
        <v>0</v>
      </c>
      <c r="Q51" s="180">
        <f>HLOOKUP($Q$19,'9-1-2014 Rates to current'!$K$11:$AL$48,30,FALSE)</f>
        <v>45.85</v>
      </c>
      <c r="R51" s="372">
        <f t="shared" si="4"/>
        <v>0</v>
      </c>
      <c r="S51" s="375">
        <f t="shared" si="3"/>
        <v>0</v>
      </c>
      <c r="T51" s="98">
        <f>HLOOKUP($T$19,'9-1-2014 Rates to current'!$K$11:$AL$48,30,FALSE)</f>
        <v>45.85</v>
      </c>
      <c r="U51" s="293">
        <f t="shared" si="5"/>
        <v>0</v>
      </c>
      <c r="V51" s="181"/>
    </row>
    <row r="52" spans="1:24" x14ac:dyDescent="0.2">
      <c r="A52" s="97" t="s">
        <v>176</v>
      </c>
      <c r="B52" s="97"/>
      <c r="C52" s="97"/>
      <c r="D52" s="160" t="s">
        <v>81</v>
      </c>
      <c r="E52" s="362">
        <f>Staffing!E48</f>
        <v>0</v>
      </c>
      <c r="F52" s="363">
        <f>Staffing!G48</f>
        <v>0</v>
      </c>
      <c r="G52" s="363">
        <f>Staffing!H48</f>
        <v>0</v>
      </c>
      <c r="H52" s="364">
        <f t="shared" si="0"/>
        <v>0</v>
      </c>
      <c r="I52" s="171"/>
      <c r="J52" s="362">
        <f>Staffing!K48</f>
        <v>0</v>
      </c>
      <c r="K52" s="363">
        <f>Staffing!M48</f>
        <v>0</v>
      </c>
      <c r="L52" s="363">
        <f>Staffing!N48</f>
        <v>0</v>
      </c>
      <c r="M52" s="364">
        <f t="shared" si="1"/>
        <v>0</v>
      </c>
      <c r="N52" s="176"/>
      <c r="O52" s="287" t="s">
        <v>81</v>
      </c>
      <c r="P52" s="369">
        <f t="shared" si="2"/>
        <v>0</v>
      </c>
      <c r="Q52" s="180">
        <f>HLOOKUP($Q$19,'9-1-2014 Rates to current'!$K$11:$AL$48,31,FALSE)</f>
        <v>43.7</v>
      </c>
      <c r="R52" s="372">
        <f t="shared" si="4"/>
        <v>0</v>
      </c>
      <c r="S52" s="375">
        <f t="shared" si="3"/>
        <v>0</v>
      </c>
      <c r="T52" s="98">
        <f>HLOOKUP($T$19,'9-1-2014 Rates to current'!$K$11:$AL$48,31,FALSE)</f>
        <v>43.7</v>
      </c>
      <c r="U52" s="293">
        <f t="shared" si="5"/>
        <v>0</v>
      </c>
      <c r="V52" s="181"/>
    </row>
    <row r="53" spans="1:24" x14ac:dyDescent="0.2">
      <c r="A53" s="97" t="s">
        <v>176</v>
      </c>
      <c r="B53" s="97"/>
      <c r="C53" s="97"/>
      <c r="D53" s="160" t="s">
        <v>82</v>
      </c>
      <c r="E53" s="362">
        <f>Staffing!E49</f>
        <v>0</v>
      </c>
      <c r="F53" s="363">
        <f>Staffing!G49</f>
        <v>0</v>
      </c>
      <c r="G53" s="363">
        <f>Staffing!H49</f>
        <v>0</v>
      </c>
      <c r="H53" s="364">
        <f t="shared" si="0"/>
        <v>0</v>
      </c>
      <c r="I53" s="171"/>
      <c r="J53" s="362">
        <f>Staffing!K49</f>
        <v>0</v>
      </c>
      <c r="K53" s="363">
        <f>Staffing!M49</f>
        <v>0</v>
      </c>
      <c r="L53" s="363">
        <f>Staffing!N49</f>
        <v>0</v>
      </c>
      <c r="M53" s="364">
        <f t="shared" si="1"/>
        <v>0</v>
      </c>
      <c r="N53" s="176"/>
      <c r="O53" s="287" t="s">
        <v>82</v>
      </c>
      <c r="P53" s="369">
        <f t="shared" si="2"/>
        <v>0</v>
      </c>
      <c r="Q53" s="180">
        <f>HLOOKUP($Q$19,'9-1-2014 Rates to current'!$K$11:$AL$48,32,FALSE)</f>
        <v>40.47</v>
      </c>
      <c r="R53" s="372">
        <f t="shared" si="4"/>
        <v>0</v>
      </c>
      <c r="S53" s="375">
        <f t="shared" si="3"/>
        <v>0</v>
      </c>
      <c r="T53" s="98">
        <f>HLOOKUP($T$19,'9-1-2014 Rates to current'!$K$11:$AL$48,32,FALSE)</f>
        <v>40.47</v>
      </c>
      <c r="U53" s="293">
        <f t="shared" si="5"/>
        <v>0</v>
      </c>
      <c r="V53" s="181"/>
    </row>
    <row r="54" spans="1:24" x14ac:dyDescent="0.2">
      <c r="A54" s="97" t="s">
        <v>176</v>
      </c>
      <c r="B54" s="97"/>
      <c r="C54" s="97"/>
      <c r="D54" s="160" t="s">
        <v>83</v>
      </c>
      <c r="E54" s="362">
        <f>Staffing!E50</f>
        <v>0</v>
      </c>
      <c r="F54" s="363">
        <f>Staffing!G50</f>
        <v>0</v>
      </c>
      <c r="G54" s="363">
        <f>Staffing!H50</f>
        <v>0</v>
      </c>
      <c r="H54" s="364">
        <f t="shared" si="0"/>
        <v>0</v>
      </c>
      <c r="I54" s="171"/>
      <c r="J54" s="362">
        <f>Staffing!K50</f>
        <v>0</v>
      </c>
      <c r="K54" s="363">
        <f>Staffing!M50</f>
        <v>0</v>
      </c>
      <c r="L54" s="363">
        <f>Staffing!N50</f>
        <v>0</v>
      </c>
      <c r="M54" s="364">
        <f t="shared" si="1"/>
        <v>0</v>
      </c>
      <c r="N54" s="176"/>
      <c r="O54" s="287" t="s">
        <v>83</v>
      </c>
      <c r="P54" s="369">
        <f t="shared" si="2"/>
        <v>0</v>
      </c>
      <c r="Q54" s="180">
        <f>HLOOKUP($Q$19,'9-1-2014 Rates to current'!$K$11:$AL$48,33,FALSE)</f>
        <v>38.479999999999997</v>
      </c>
      <c r="R54" s="372">
        <f t="shared" si="4"/>
        <v>0</v>
      </c>
      <c r="S54" s="375">
        <f t="shared" si="3"/>
        <v>0</v>
      </c>
      <c r="T54" s="98">
        <f>HLOOKUP($T$19,'9-1-2014 Rates to current'!$K$11:$AL$48,33,FALSE)</f>
        <v>38.479999999999997</v>
      </c>
      <c r="U54" s="293">
        <f t="shared" si="5"/>
        <v>0</v>
      </c>
      <c r="V54" s="181"/>
    </row>
    <row r="55" spans="1:24" x14ac:dyDescent="0.2">
      <c r="A55" s="97" t="s">
        <v>176</v>
      </c>
      <c r="B55" s="97"/>
      <c r="C55" s="97"/>
      <c r="D55" s="160" t="s">
        <v>84</v>
      </c>
      <c r="E55" s="362">
        <f>Staffing!E51</f>
        <v>0</v>
      </c>
      <c r="F55" s="363">
        <f>Staffing!G51</f>
        <v>0</v>
      </c>
      <c r="G55" s="363">
        <f>Staffing!H51</f>
        <v>0</v>
      </c>
      <c r="H55" s="364">
        <f t="shared" si="0"/>
        <v>0</v>
      </c>
      <c r="I55" s="171"/>
      <c r="J55" s="362">
        <f>Staffing!K51</f>
        <v>0</v>
      </c>
      <c r="K55" s="363">
        <f>Staffing!M51</f>
        <v>0</v>
      </c>
      <c r="L55" s="363">
        <f>Staffing!N51</f>
        <v>0</v>
      </c>
      <c r="M55" s="364">
        <f t="shared" si="1"/>
        <v>0</v>
      </c>
      <c r="N55" s="176"/>
      <c r="O55" s="287" t="s">
        <v>84</v>
      </c>
      <c r="P55" s="369">
        <f t="shared" si="2"/>
        <v>0</v>
      </c>
      <c r="Q55" s="180">
        <f>HLOOKUP($Q$19,'9-1-2014 Rates to current'!$K$11:$AL$48,34,FALSE)</f>
        <v>34.92</v>
      </c>
      <c r="R55" s="372">
        <f t="shared" si="4"/>
        <v>0</v>
      </c>
      <c r="S55" s="375">
        <f t="shared" si="3"/>
        <v>0</v>
      </c>
      <c r="T55" s="98">
        <f>HLOOKUP($T$19,'9-1-2014 Rates to current'!$K$11:$AL$48,34,FALSE)</f>
        <v>34.92</v>
      </c>
      <c r="U55" s="293">
        <f t="shared" si="5"/>
        <v>0</v>
      </c>
      <c r="V55" s="181"/>
    </row>
    <row r="56" spans="1:24" x14ac:dyDescent="0.2">
      <c r="A56" s="97" t="s">
        <v>176</v>
      </c>
      <c r="B56" s="97"/>
      <c r="C56" s="97"/>
      <c r="D56" s="160" t="s">
        <v>85</v>
      </c>
      <c r="E56" s="362">
        <f>Staffing!E52</f>
        <v>0</v>
      </c>
      <c r="F56" s="363">
        <f>Staffing!G52</f>
        <v>0</v>
      </c>
      <c r="G56" s="363">
        <f>Staffing!H52</f>
        <v>0</v>
      </c>
      <c r="H56" s="364">
        <f t="shared" si="0"/>
        <v>0</v>
      </c>
      <c r="I56" s="171"/>
      <c r="J56" s="362">
        <f>Staffing!K52</f>
        <v>0</v>
      </c>
      <c r="K56" s="363">
        <f>Staffing!M52</f>
        <v>0</v>
      </c>
      <c r="L56" s="363">
        <f>Staffing!N52</f>
        <v>0</v>
      </c>
      <c r="M56" s="364">
        <f t="shared" si="1"/>
        <v>0</v>
      </c>
      <c r="N56" s="176"/>
      <c r="O56" s="287" t="s">
        <v>85</v>
      </c>
      <c r="P56" s="369">
        <f t="shared" si="2"/>
        <v>0</v>
      </c>
      <c r="Q56" s="180">
        <f>HLOOKUP($Q$19,'9-1-2014 Rates to current'!$K$11:$AL$48,35,FALSE)</f>
        <v>30.57</v>
      </c>
      <c r="R56" s="372">
        <f t="shared" si="4"/>
        <v>0</v>
      </c>
      <c r="S56" s="375">
        <f t="shared" si="3"/>
        <v>0</v>
      </c>
      <c r="T56" s="98">
        <f>HLOOKUP($T$19,'9-1-2014 Rates to current'!$K$11:$AL$48,35,FALSE)</f>
        <v>30.57</v>
      </c>
      <c r="U56" s="293">
        <f t="shared" si="5"/>
        <v>0</v>
      </c>
      <c r="V56" s="181"/>
    </row>
    <row r="57" spans="1:24" x14ac:dyDescent="0.2">
      <c r="A57" s="97" t="s">
        <v>176</v>
      </c>
      <c r="B57" s="97"/>
      <c r="C57" s="97"/>
      <c r="D57" s="160" t="s">
        <v>86</v>
      </c>
      <c r="E57" s="362">
        <f>Staffing!E53</f>
        <v>0</v>
      </c>
      <c r="F57" s="363">
        <f>Staffing!G53</f>
        <v>0</v>
      </c>
      <c r="G57" s="363">
        <f>Staffing!H53</f>
        <v>0</v>
      </c>
      <c r="H57" s="364">
        <f t="shared" si="0"/>
        <v>0</v>
      </c>
      <c r="I57" s="171"/>
      <c r="J57" s="362">
        <f>Staffing!K53</f>
        <v>0</v>
      </c>
      <c r="K57" s="363">
        <f>Staffing!M53</f>
        <v>0</v>
      </c>
      <c r="L57" s="363">
        <f>Staffing!N53</f>
        <v>0</v>
      </c>
      <c r="M57" s="364">
        <f t="shared" si="1"/>
        <v>0</v>
      </c>
      <c r="N57" s="176"/>
      <c r="O57" s="287" t="s">
        <v>86</v>
      </c>
      <c r="P57" s="369">
        <f t="shared" si="2"/>
        <v>0</v>
      </c>
      <c r="Q57" s="180">
        <f>HLOOKUP($Q$19,'9-1-2014 Rates to current'!$K$11:$AL$48,36,FALSE)</f>
        <v>26.86</v>
      </c>
      <c r="R57" s="372">
        <f t="shared" si="4"/>
        <v>0</v>
      </c>
      <c r="S57" s="375">
        <f t="shared" si="3"/>
        <v>0</v>
      </c>
      <c r="T57" s="98">
        <f>HLOOKUP($T$19,'9-1-2014 Rates to current'!$K$11:$AL$48,36,FALSE)</f>
        <v>26.86</v>
      </c>
      <c r="U57" s="293">
        <f t="shared" si="5"/>
        <v>0</v>
      </c>
      <c r="V57" s="181"/>
    </row>
    <row r="58" spans="1:24" x14ac:dyDescent="0.2">
      <c r="A58" s="97" t="s">
        <v>176</v>
      </c>
      <c r="B58" s="97"/>
      <c r="C58" s="97"/>
      <c r="D58" s="160" t="s">
        <v>87</v>
      </c>
      <c r="E58" s="362">
        <f>Staffing!E54</f>
        <v>0</v>
      </c>
      <c r="F58" s="363">
        <f>Staffing!G54</f>
        <v>0</v>
      </c>
      <c r="G58" s="363">
        <f>Staffing!H54</f>
        <v>0</v>
      </c>
      <c r="H58" s="364">
        <f t="shared" si="0"/>
        <v>0</v>
      </c>
      <c r="I58" s="171"/>
      <c r="J58" s="362">
        <f>Staffing!K54</f>
        <v>0</v>
      </c>
      <c r="K58" s="363">
        <f>Staffing!M54</f>
        <v>0</v>
      </c>
      <c r="L58" s="363">
        <f>Staffing!N54</f>
        <v>0</v>
      </c>
      <c r="M58" s="364">
        <f t="shared" si="1"/>
        <v>0</v>
      </c>
      <c r="N58" s="176"/>
      <c r="O58" s="287" t="s">
        <v>87</v>
      </c>
      <c r="P58" s="369">
        <f t="shared" si="2"/>
        <v>0</v>
      </c>
      <c r="Q58" s="180">
        <f>HLOOKUP($Q$19,'9-1-2014 Rates to current'!$K$11:$AL$48,37,FALSE)</f>
        <v>26.86</v>
      </c>
      <c r="R58" s="372">
        <f t="shared" si="4"/>
        <v>0</v>
      </c>
      <c r="S58" s="375">
        <f t="shared" si="3"/>
        <v>0</v>
      </c>
      <c r="T58" s="98">
        <f>HLOOKUP($T$19,'9-1-2014 Rates to current'!$K$11:$AL$48,37,FALSE)</f>
        <v>26.86</v>
      </c>
      <c r="U58" s="293">
        <f t="shared" si="5"/>
        <v>0</v>
      </c>
      <c r="V58" s="181"/>
    </row>
    <row r="59" spans="1:24" ht="13.5" customHeight="1" x14ac:dyDescent="0.2">
      <c r="A59" s="97" t="s">
        <v>176</v>
      </c>
      <c r="B59" s="97"/>
      <c r="C59" s="97"/>
      <c r="D59" s="160" t="s">
        <v>88</v>
      </c>
      <c r="E59" s="362">
        <f>Staffing!E55</f>
        <v>0</v>
      </c>
      <c r="F59" s="363">
        <f>Staffing!G55</f>
        <v>0</v>
      </c>
      <c r="G59" s="363">
        <f>Staffing!H55</f>
        <v>0</v>
      </c>
      <c r="H59" s="365">
        <f t="shared" si="0"/>
        <v>0</v>
      </c>
      <c r="I59" s="171"/>
      <c r="J59" s="362">
        <f>Staffing!K55</f>
        <v>0</v>
      </c>
      <c r="K59" s="363">
        <f>Staffing!M55</f>
        <v>0</v>
      </c>
      <c r="L59" s="363">
        <f>Staffing!N55</f>
        <v>0</v>
      </c>
      <c r="M59" s="365">
        <f t="shared" si="1"/>
        <v>0</v>
      </c>
      <c r="N59" s="176"/>
      <c r="O59" s="288" t="s">
        <v>88</v>
      </c>
      <c r="P59" s="370">
        <f t="shared" si="2"/>
        <v>0</v>
      </c>
      <c r="Q59" s="180">
        <f>HLOOKUP($Q$19,'9-1-2014 Rates to current'!$K$11:$AL$48,38,FALSE)</f>
        <v>26.86</v>
      </c>
      <c r="R59" s="373">
        <f t="shared" si="4"/>
        <v>0</v>
      </c>
      <c r="S59" s="376">
        <f t="shared" si="3"/>
        <v>0</v>
      </c>
      <c r="T59" s="183">
        <f>HLOOKUP($T$19,'9-1-2014 Rates to current'!$K$11:$AL$48,38,FALSE)</f>
        <v>26.86</v>
      </c>
      <c r="U59" s="294">
        <f>S59*T59</f>
        <v>0</v>
      </c>
      <c r="V59" s="161"/>
      <c r="W59" s="90"/>
      <c r="X59" s="90"/>
    </row>
    <row r="60" spans="1:24" x14ac:dyDescent="0.2">
      <c r="A60" s="90"/>
      <c r="B60" s="90"/>
      <c r="C60" s="90"/>
      <c r="D60" s="159" t="s">
        <v>221</v>
      </c>
      <c r="E60" s="366">
        <f t="shared" ref="E60:K60" si="6">SUM(E24:E59)</f>
        <v>0</v>
      </c>
      <c r="F60" s="367">
        <f t="shared" si="6"/>
        <v>0</v>
      </c>
      <c r="G60" s="367">
        <f>Staffing!H56</f>
        <v>0</v>
      </c>
      <c r="H60" s="368">
        <f t="shared" si="0"/>
        <v>0</v>
      </c>
      <c r="I60" s="171"/>
      <c r="J60" s="366">
        <f t="shared" si="6"/>
        <v>0</v>
      </c>
      <c r="K60" s="367">
        <f t="shared" si="6"/>
        <v>0</v>
      </c>
      <c r="L60" s="367">
        <f>Staffing!N56</f>
        <v>0</v>
      </c>
      <c r="M60" s="368">
        <f t="shared" si="1"/>
        <v>0</v>
      </c>
      <c r="N60" s="176"/>
      <c r="O60" s="289" t="s">
        <v>0</v>
      </c>
      <c r="P60" s="371">
        <f>SUM(P24:P59)</f>
        <v>0</v>
      </c>
      <c r="Q60" s="290">
        <f>SUM(Q24:Q59)</f>
        <v>2078.48</v>
      </c>
      <c r="R60" s="374">
        <f>SUM(R24:R59)+G73+G74+G75</f>
        <v>0</v>
      </c>
      <c r="S60" s="377">
        <f>SUM(S24:S59)</f>
        <v>0</v>
      </c>
      <c r="T60" s="295"/>
      <c r="U60" s="296">
        <f>SUM(U24:U59)+R60+J73+J74+J75</f>
        <v>0</v>
      </c>
      <c r="V60" s="161"/>
      <c r="W60" s="90"/>
      <c r="X60" s="90"/>
    </row>
    <row r="61" spans="1:24" ht="13.5" thickBot="1" x14ac:dyDescent="0.25">
      <c r="A61" s="193" t="s">
        <v>18</v>
      </c>
      <c r="B61" s="194"/>
      <c r="C61" s="195"/>
      <c r="D61" s="194"/>
      <c r="E61" s="196"/>
      <c r="F61" s="196"/>
      <c r="G61" s="196"/>
      <c r="H61" s="196"/>
      <c r="I61" s="194"/>
      <c r="J61" s="196"/>
      <c r="K61" s="196"/>
      <c r="L61" s="196"/>
      <c r="M61" s="196"/>
      <c r="N61" s="194"/>
      <c r="O61" s="197"/>
      <c r="P61" s="197"/>
      <c r="Q61" s="197"/>
      <c r="R61" s="197"/>
      <c r="S61" s="197"/>
      <c r="T61" s="197"/>
      <c r="U61" s="291">
        <f>IFERROR(ROUND(U60/(P60+S60),2),0)</f>
        <v>0</v>
      </c>
      <c r="V61" s="89" t="s">
        <v>18</v>
      </c>
      <c r="W61" s="90"/>
      <c r="X61" s="90"/>
    </row>
    <row r="62" spans="1:24" x14ac:dyDescent="0.2">
      <c r="A62" s="198" t="s">
        <v>244</v>
      </c>
      <c r="B62" s="188"/>
      <c r="C62" s="189"/>
      <c r="D62" s="188"/>
      <c r="E62" s="188"/>
      <c r="F62" s="188"/>
      <c r="G62" s="188"/>
      <c r="H62" s="188"/>
      <c r="I62" s="188"/>
      <c r="J62" s="188"/>
      <c r="K62" s="188"/>
      <c r="L62" s="450"/>
      <c r="M62" s="451"/>
      <c r="N62" s="451"/>
      <c r="O62" s="453" t="s">
        <v>319</v>
      </c>
      <c r="P62" s="454">
        <f>+Q19*0.4</f>
        <v>0</v>
      </c>
      <c r="Q62" s="454"/>
      <c r="R62" s="454"/>
      <c r="S62" s="455">
        <f>+T19*0.4</f>
        <v>0</v>
      </c>
      <c r="T62" s="199"/>
      <c r="U62" s="200">
        <v>0.85</v>
      </c>
      <c r="V62" s="89"/>
      <c r="W62" s="90"/>
      <c r="X62" s="90"/>
    </row>
    <row r="63" spans="1:24" x14ac:dyDescent="0.2">
      <c r="A63" s="198" t="s">
        <v>19</v>
      </c>
      <c r="B63" s="188"/>
      <c r="C63" s="189"/>
      <c r="D63" s="188"/>
      <c r="E63" s="188"/>
      <c r="F63" s="188"/>
      <c r="G63" s="188"/>
      <c r="H63" s="188"/>
      <c r="I63" s="188"/>
      <c r="J63" s="188"/>
      <c r="K63" s="188"/>
      <c r="L63" s="456"/>
      <c r="M63" s="422"/>
      <c r="N63" s="422"/>
      <c r="O63" s="457" t="s">
        <v>321</v>
      </c>
      <c r="P63" s="468">
        <f>+ ((P60*P62)+(S60*S62))</f>
        <v>0</v>
      </c>
      <c r="Q63" s="458"/>
      <c r="R63" s="458"/>
      <c r="S63" s="459"/>
      <c r="T63" s="199"/>
      <c r="U63" s="201">
        <f>ROUND(U61*U62,2)</f>
        <v>0</v>
      </c>
      <c r="V63" s="89" t="s">
        <v>19</v>
      </c>
      <c r="W63" s="90"/>
      <c r="X63" s="90"/>
    </row>
    <row r="64" spans="1:24" ht="13.5" thickBot="1" x14ac:dyDescent="0.25">
      <c r="A64" s="99"/>
      <c r="B64" s="163"/>
      <c r="C64" s="100"/>
      <c r="D64" s="163"/>
      <c r="E64" s="163"/>
      <c r="F64" s="163"/>
      <c r="G64" s="163"/>
      <c r="H64" s="163"/>
      <c r="I64" s="163"/>
      <c r="J64" s="163"/>
      <c r="K64" s="163"/>
      <c r="L64" s="452"/>
      <c r="M64" s="460"/>
      <c r="N64" s="460"/>
      <c r="O64" s="461" t="s">
        <v>320</v>
      </c>
      <c r="P64" s="461"/>
      <c r="Q64" s="461"/>
      <c r="R64" s="461"/>
      <c r="S64" s="462"/>
      <c r="T64" s="179"/>
      <c r="U64" s="179"/>
      <c r="V64" s="90"/>
      <c r="W64" s="90"/>
      <c r="X64" s="90"/>
    </row>
    <row r="65" spans="1:24" x14ac:dyDescent="0.2">
      <c r="A65" s="97" t="s">
        <v>177</v>
      </c>
      <c r="B65" s="97"/>
      <c r="C65" s="97"/>
      <c r="D65" s="97" t="s">
        <v>1</v>
      </c>
      <c r="E65" s="102">
        <f>+Staffing!F56+Staffing!L56</f>
        <v>0</v>
      </c>
      <c r="F65" s="102">
        <f>Staffing!F56+Staffing!L56</f>
        <v>0</v>
      </c>
      <c r="G65" s="90"/>
      <c r="H65" s="90"/>
      <c r="I65" s="90"/>
      <c r="J65" s="90"/>
      <c r="K65" s="90"/>
      <c r="L65" s="90"/>
      <c r="M65" s="90"/>
      <c r="N65" s="90"/>
      <c r="O65" s="90"/>
      <c r="P65" s="90"/>
      <c r="Q65" s="90"/>
      <c r="R65" s="90"/>
      <c r="S65" s="90"/>
      <c r="T65" s="90"/>
      <c r="U65" s="90"/>
      <c r="V65" s="90"/>
      <c r="W65" s="90"/>
      <c r="X65" s="90"/>
    </row>
    <row r="66" spans="1:24" x14ac:dyDescent="0.2">
      <c r="A66" s="92"/>
      <c r="B66" s="162"/>
      <c r="C66" s="184"/>
      <c r="D66" s="92"/>
      <c r="E66" s="202"/>
      <c r="F66" s="88"/>
      <c r="G66" s="103"/>
      <c r="I66" s="88"/>
      <c r="P66" s="90"/>
      <c r="Q66" s="90"/>
      <c r="R66" s="90"/>
      <c r="S66" s="90"/>
      <c r="T66" s="90"/>
      <c r="U66" s="90"/>
      <c r="V66" s="90"/>
      <c r="W66" s="90"/>
      <c r="X66" s="90"/>
    </row>
    <row r="67" spans="1:24" x14ac:dyDescent="0.2">
      <c r="A67" s="199" t="s">
        <v>245</v>
      </c>
      <c r="B67" s="188"/>
      <c r="C67" s="189"/>
      <c r="D67" s="190" t="s">
        <v>2</v>
      </c>
      <c r="E67" s="207">
        <f>+Staffing!F59+Staffing!H59</f>
        <v>0</v>
      </c>
      <c r="F67" s="88"/>
      <c r="G67" s="104"/>
      <c r="I67" s="88"/>
      <c r="P67" s="90"/>
      <c r="Q67" s="90"/>
      <c r="R67" s="90"/>
      <c r="S67" s="90"/>
      <c r="T67" s="90"/>
      <c r="U67" s="90"/>
      <c r="V67" s="90"/>
      <c r="W67" s="90"/>
      <c r="X67" s="90"/>
    </row>
    <row r="68" spans="1:24" x14ac:dyDescent="0.2">
      <c r="A68" s="199" t="s">
        <v>246</v>
      </c>
      <c r="B68" s="188"/>
      <c r="C68" s="189"/>
      <c r="D68" s="190" t="s">
        <v>3</v>
      </c>
      <c r="E68" s="207">
        <f>+Staffing!F60+Staffing!H60</f>
        <v>0</v>
      </c>
      <c r="F68" s="88"/>
      <c r="G68" s="88"/>
      <c r="H68" s="88"/>
      <c r="I68" s="88"/>
      <c r="P68" s="90"/>
      <c r="Q68" s="90"/>
      <c r="R68" s="90"/>
      <c r="S68" s="90"/>
      <c r="T68" s="90"/>
      <c r="U68" s="90"/>
      <c r="V68" s="90"/>
      <c r="W68" s="90"/>
      <c r="X68" s="90"/>
    </row>
    <row r="69" spans="1:24" x14ac:dyDescent="0.2">
      <c r="A69" s="199" t="s">
        <v>247</v>
      </c>
      <c r="B69" s="188"/>
      <c r="C69" s="189"/>
      <c r="D69" s="190" t="s">
        <v>4</v>
      </c>
      <c r="E69" s="281">
        <f>H60+M60+E65+E67+E68</f>
        <v>0</v>
      </c>
      <c r="F69" s="88"/>
      <c r="G69" s="88"/>
      <c r="H69" s="88"/>
      <c r="I69" s="88"/>
      <c r="M69" s="105"/>
      <c r="N69" s="105"/>
      <c r="P69" s="90"/>
      <c r="Q69" s="90"/>
      <c r="R69" s="90"/>
      <c r="S69" s="90"/>
      <c r="T69" s="90"/>
      <c r="U69" s="90"/>
      <c r="V69" s="90"/>
      <c r="W69" s="90"/>
      <c r="X69" s="90"/>
    </row>
    <row r="70" spans="1:24" x14ac:dyDescent="0.2">
      <c r="A70" s="199" t="s">
        <v>248</v>
      </c>
      <c r="B70" s="188"/>
      <c r="C70" s="189"/>
      <c r="D70" s="190" t="s">
        <v>47</v>
      </c>
      <c r="E70" s="207">
        <f>+Staffing!F62+Staffing!H62</f>
        <v>0</v>
      </c>
      <c r="F70" s="88"/>
      <c r="G70" s="88"/>
      <c r="H70" s="88"/>
      <c r="I70" s="88"/>
      <c r="J70" s="88"/>
      <c r="K70" s="88"/>
      <c r="M70" s="105"/>
      <c r="N70" s="105"/>
      <c r="P70" s="90"/>
      <c r="Q70" s="90"/>
      <c r="R70" s="90"/>
      <c r="S70" s="90"/>
      <c r="T70" s="90"/>
      <c r="U70" s="90"/>
      <c r="V70" s="90"/>
      <c r="W70" s="90"/>
      <c r="X70" s="90"/>
    </row>
    <row r="71" spans="1:24" x14ac:dyDescent="0.2">
      <c r="A71" s="199" t="s">
        <v>15</v>
      </c>
      <c r="B71" s="188"/>
      <c r="C71" s="189"/>
      <c r="D71" s="190" t="s">
        <v>48</v>
      </c>
      <c r="E71" s="189">
        <f>SUM(E69:E70)</f>
        <v>0</v>
      </c>
      <c r="F71" s="88"/>
      <c r="G71" s="88"/>
      <c r="H71" s="88"/>
      <c r="I71" s="88"/>
      <c r="J71" s="88"/>
      <c r="K71" s="88"/>
      <c r="M71" s="105"/>
      <c r="N71" s="105"/>
      <c r="P71" s="90"/>
      <c r="Q71" s="90"/>
      <c r="R71" s="90"/>
      <c r="S71" s="90"/>
      <c r="T71" s="90"/>
      <c r="U71" s="90"/>
      <c r="V71" s="90"/>
      <c r="W71" s="90"/>
      <c r="X71" s="90"/>
    </row>
    <row r="72" spans="1:24" x14ac:dyDescent="0.2">
      <c r="A72" s="203"/>
      <c r="B72" s="204"/>
      <c r="C72" s="205"/>
      <c r="D72" s="206"/>
      <c r="E72" s="205"/>
      <c r="F72" s="184"/>
      <c r="G72" s="184"/>
      <c r="H72" s="184"/>
      <c r="I72" s="184"/>
      <c r="J72" s="184"/>
      <c r="K72" s="88"/>
      <c r="M72" s="105"/>
      <c r="N72" s="105"/>
      <c r="P72" s="90"/>
      <c r="Q72" s="90"/>
      <c r="R72" s="90"/>
      <c r="S72" s="90"/>
      <c r="T72" s="90"/>
      <c r="U72" s="90"/>
      <c r="V72" s="90"/>
      <c r="W72" s="90"/>
      <c r="X72" s="90"/>
    </row>
    <row r="73" spans="1:24" x14ac:dyDescent="0.2">
      <c r="A73" s="187" t="s">
        <v>176</v>
      </c>
      <c r="B73" s="188"/>
      <c r="C73" s="189"/>
      <c r="D73" s="190" t="s">
        <v>49</v>
      </c>
      <c r="E73" s="191">
        <f>Staffing!F67</f>
        <v>0</v>
      </c>
      <c r="F73" s="192">
        <v>96.81</v>
      </c>
      <c r="G73" s="192">
        <f>E73*F73</f>
        <v>0</v>
      </c>
      <c r="H73" s="191">
        <f>Staffing!H67</f>
        <v>0</v>
      </c>
      <c r="I73" s="192">
        <v>96.81</v>
      </c>
      <c r="J73" s="192">
        <f>H73*I73</f>
        <v>0</v>
      </c>
      <c r="K73" s="88"/>
      <c r="L73" s="88"/>
      <c r="M73" s="88"/>
      <c r="N73" s="88"/>
      <c r="O73" s="88"/>
      <c r="P73" s="90"/>
      <c r="Q73" s="90"/>
      <c r="R73" s="90"/>
      <c r="S73" s="90"/>
      <c r="T73" s="90"/>
      <c r="U73" s="90"/>
      <c r="V73" s="90"/>
      <c r="W73" s="90"/>
      <c r="X73" s="90"/>
    </row>
    <row r="74" spans="1:24" x14ac:dyDescent="0.2">
      <c r="A74" s="187" t="s">
        <v>176</v>
      </c>
      <c r="B74" s="188"/>
      <c r="C74" s="189"/>
      <c r="D74" s="190" t="s">
        <v>52</v>
      </c>
      <c r="E74" s="191">
        <f>Staffing!F68</f>
        <v>0</v>
      </c>
      <c r="F74" s="192">
        <v>38.72</v>
      </c>
      <c r="G74" s="192">
        <f>E74*F74</f>
        <v>0</v>
      </c>
      <c r="H74" s="191">
        <f>Staffing!H68</f>
        <v>0</v>
      </c>
      <c r="I74" s="192">
        <v>38.72</v>
      </c>
      <c r="J74" s="192">
        <f>H74*I74</f>
        <v>0</v>
      </c>
      <c r="K74" s="88"/>
      <c r="L74" s="88"/>
      <c r="M74" s="88"/>
      <c r="N74" s="88"/>
      <c r="O74" s="88"/>
      <c r="P74" s="90"/>
      <c r="Q74" s="90"/>
      <c r="R74" s="90"/>
      <c r="S74" s="90"/>
      <c r="T74" s="90"/>
      <c r="U74" s="90"/>
      <c r="V74" s="90"/>
      <c r="W74" s="90"/>
      <c r="X74" s="90"/>
    </row>
    <row r="75" spans="1:24" x14ac:dyDescent="0.2">
      <c r="A75" s="187" t="s">
        <v>176</v>
      </c>
      <c r="B75" s="188"/>
      <c r="C75" s="189"/>
      <c r="D75" s="190" t="s">
        <v>51</v>
      </c>
      <c r="E75" s="191">
        <f>Staffing!F69</f>
        <v>0</v>
      </c>
      <c r="F75" s="192">
        <v>58.09</v>
      </c>
      <c r="G75" s="192">
        <f>E75*F75</f>
        <v>0</v>
      </c>
      <c r="H75" s="191">
        <f>Staffing!H69</f>
        <v>0</v>
      </c>
      <c r="I75" s="192">
        <v>58.09</v>
      </c>
      <c r="J75" s="192">
        <f>H75*I75</f>
        <v>0</v>
      </c>
      <c r="K75" s="88"/>
      <c r="L75" s="88"/>
      <c r="M75" s="88"/>
      <c r="N75" s="88"/>
      <c r="O75" s="88"/>
      <c r="P75" s="90"/>
      <c r="Q75" s="90"/>
      <c r="R75" s="90"/>
      <c r="S75" s="90"/>
      <c r="T75" s="90"/>
      <c r="U75" s="90"/>
      <c r="V75" s="90"/>
      <c r="W75" s="90"/>
      <c r="X75" s="90"/>
    </row>
    <row r="76" spans="1:24" x14ac:dyDescent="0.2">
      <c r="A76" s="88"/>
      <c r="B76" s="88"/>
      <c r="D76" s="88"/>
      <c r="E76" s="88"/>
      <c r="F76" s="88"/>
      <c r="G76" s="88"/>
      <c r="H76" s="88"/>
      <c r="I76" s="88"/>
      <c r="J76" s="88"/>
      <c r="K76" s="88"/>
      <c r="L76" s="88"/>
      <c r="M76" s="88"/>
      <c r="N76" s="88"/>
      <c r="O76" s="88"/>
      <c r="P76" s="90"/>
      <c r="Q76" s="90"/>
      <c r="R76" s="90"/>
      <c r="S76" s="90"/>
      <c r="T76" s="90"/>
      <c r="U76" s="90"/>
      <c r="V76" s="90"/>
      <c r="W76" s="90"/>
      <c r="X76" s="90"/>
    </row>
    <row r="77" spans="1:24" x14ac:dyDescent="0.2">
      <c r="A77" s="88"/>
      <c r="B77" s="88"/>
      <c r="D77" s="88"/>
      <c r="E77" s="88"/>
      <c r="F77" s="88"/>
      <c r="G77" s="88"/>
      <c r="H77" s="88"/>
      <c r="I77" s="88"/>
      <c r="J77" s="88"/>
      <c r="K77" s="88"/>
      <c r="L77" s="88"/>
      <c r="M77" s="88"/>
      <c r="N77" s="88"/>
      <c r="O77" s="88"/>
      <c r="P77" s="90"/>
      <c r="Q77" s="90"/>
      <c r="R77" s="90"/>
      <c r="S77" s="90"/>
      <c r="T77" s="90"/>
      <c r="U77" s="90"/>
      <c r="V77" s="90"/>
      <c r="W77" s="90"/>
      <c r="X77" s="90"/>
    </row>
    <row r="78" spans="1:24" s="107" customFormat="1" x14ac:dyDescent="0.2">
      <c r="A78" s="179"/>
      <c r="B78" s="124"/>
      <c r="C78" s="124"/>
      <c r="D78" s="99"/>
      <c r="E78" s="100"/>
      <c r="F78" s="100"/>
      <c r="G78" s="100"/>
      <c r="H78" s="186"/>
      <c r="I78" s="100"/>
      <c r="J78" s="100"/>
      <c r="K78" s="88"/>
      <c r="L78" s="89"/>
      <c r="M78" s="105"/>
      <c r="N78" s="106"/>
      <c r="P78" s="90"/>
      <c r="Q78" s="90"/>
      <c r="R78" s="90"/>
      <c r="S78" s="90"/>
      <c r="T78" s="90"/>
      <c r="U78" s="90"/>
      <c r="V78" s="90"/>
      <c r="W78" s="90"/>
      <c r="X78" s="90"/>
    </row>
    <row r="79" spans="1:24" s="107" customFormat="1" x14ac:dyDescent="0.2">
      <c r="A79" s="246" t="s">
        <v>249</v>
      </c>
      <c r="B79" s="111"/>
      <c r="C79" s="111"/>
      <c r="D79" s="185"/>
      <c r="E79" s="162"/>
      <c r="F79" s="184"/>
      <c r="G79" s="105"/>
      <c r="H79" s="105"/>
      <c r="I79" s="105"/>
      <c r="J79" s="105"/>
      <c r="K79" s="105"/>
      <c r="L79" s="272"/>
      <c r="M79" s="105"/>
      <c r="N79" s="89"/>
      <c r="P79" s="90"/>
      <c r="Q79" s="90"/>
      <c r="R79" s="90"/>
      <c r="S79" s="90"/>
      <c r="T79" s="90"/>
      <c r="U79" s="90"/>
      <c r="V79" s="90"/>
      <c r="W79" s="90"/>
      <c r="X79" s="90"/>
    </row>
    <row r="80" spans="1:24" s="107" customFormat="1" ht="25.5" customHeight="1" x14ac:dyDescent="0.2">
      <c r="A80" s="478" t="s">
        <v>216</v>
      </c>
      <c r="B80" s="478"/>
      <c r="C80" s="486"/>
      <c r="D80" s="190" t="s">
        <v>20</v>
      </c>
      <c r="E80" s="189"/>
      <c r="F80" s="263">
        <f>'Direct Care'!C22</f>
        <v>0</v>
      </c>
      <c r="G80" s="194"/>
      <c r="H80" s="194"/>
      <c r="I80" s="194"/>
      <c r="J80" s="194"/>
      <c r="K80" s="194"/>
      <c r="L80" s="194"/>
      <c r="M80" s="172"/>
      <c r="N80" s="89"/>
      <c r="P80" s="90"/>
      <c r="Q80" s="90"/>
      <c r="R80" s="90"/>
      <c r="S80" s="90"/>
      <c r="T80" s="90"/>
      <c r="U80" s="90"/>
      <c r="V80" s="90"/>
      <c r="W80" s="90"/>
      <c r="X80" s="90"/>
    </row>
    <row r="81" spans="1:24" s="107" customFormat="1" ht="51" x14ac:dyDescent="0.2">
      <c r="A81" s="190" t="s">
        <v>21</v>
      </c>
      <c r="B81" s="189"/>
      <c r="C81" s="189"/>
      <c r="D81" s="264">
        <f>E69</f>
        <v>0</v>
      </c>
      <c r="E81" s="209"/>
      <c r="F81" s="262" t="s">
        <v>43</v>
      </c>
      <c r="G81" s="188"/>
      <c r="H81" s="262" t="s">
        <v>89</v>
      </c>
      <c r="I81" s="265"/>
      <c r="J81" s="270" t="s">
        <v>46</v>
      </c>
      <c r="M81" s="120"/>
      <c r="N81" s="89"/>
      <c r="P81" s="90"/>
      <c r="Q81" s="90"/>
      <c r="R81" s="90"/>
      <c r="S81" s="90"/>
      <c r="T81" s="90"/>
      <c r="U81" s="90"/>
      <c r="V81" s="90"/>
      <c r="W81" s="90"/>
      <c r="X81" s="90"/>
    </row>
    <row r="82" spans="1:24" s="107" customFormat="1" x14ac:dyDescent="0.2">
      <c r="A82" s="190" t="s">
        <v>22</v>
      </c>
      <c r="B82" s="189"/>
      <c r="C82" s="189"/>
      <c r="D82" s="266">
        <f>IFERROR(ROUND(F80/D81,2),0)</f>
        <v>0</v>
      </c>
      <c r="E82" s="209"/>
      <c r="F82" s="267">
        <f>D82-U63</f>
        <v>0</v>
      </c>
      <c r="G82" s="268" t="s">
        <v>44</v>
      </c>
      <c r="H82" s="269">
        <f>IFERROR(ROUND(0.4*(P60/(P60+S60))+0.4*(S60/(P60+S60)),3),0)</f>
        <v>0</v>
      </c>
      <c r="I82" s="268" t="s">
        <v>45</v>
      </c>
      <c r="J82" s="271">
        <f>ROUND(IF(F82&lt;=0,0,F82/H82),2)</f>
        <v>0</v>
      </c>
      <c r="M82" s="120"/>
      <c r="N82" s="110"/>
      <c r="P82" s="90"/>
      <c r="Q82" s="90"/>
      <c r="R82" s="90"/>
      <c r="S82" s="90"/>
      <c r="T82" s="90"/>
      <c r="U82" s="90"/>
      <c r="V82" s="90"/>
      <c r="W82" s="90"/>
      <c r="X82" s="90"/>
    </row>
    <row r="83" spans="1:24" s="107" customFormat="1" x14ac:dyDescent="0.2">
      <c r="A83" s="179"/>
      <c r="B83" s="124"/>
      <c r="C83" s="124"/>
      <c r="D83" s="206"/>
      <c r="E83" s="205"/>
      <c r="F83" s="231"/>
      <c r="G83" s="204"/>
      <c r="H83" s="204"/>
      <c r="I83" s="204"/>
      <c r="J83" s="163"/>
      <c r="K83" s="163"/>
      <c r="L83" s="163"/>
      <c r="M83" s="89"/>
      <c r="N83" s="89"/>
      <c r="P83" s="90"/>
      <c r="Q83" s="90"/>
      <c r="R83" s="90"/>
      <c r="S83" s="90"/>
      <c r="T83" s="90"/>
      <c r="U83" s="90"/>
      <c r="V83" s="90"/>
      <c r="W83" s="90"/>
      <c r="X83" s="90"/>
    </row>
    <row r="84" spans="1:24" s="107" customFormat="1" x14ac:dyDescent="0.2">
      <c r="M84" s="108"/>
      <c r="P84" s="90"/>
      <c r="Q84" s="90"/>
      <c r="R84" s="90"/>
      <c r="S84" s="90"/>
      <c r="T84" s="90"/>
      <c r="U84" s="90"/>
      <c r="V84" s="90"/>
      <c r="W84" s="90"/>
      <c r="X84" s="90"/>
    </row>
    <row r="85" spans="1:24" s="107" customFormat="1" ht="27.75" customHeight="1" x14ac:dyDescent="0.2">
      <c r="A85" s="245" t="s">
        <v>36</v>
      </c>
      <c r="B85" s="182"/>
      <c r="C85" s="244"/>
      <c r="D85" s="111"/>
      <c r="E85" s="111"/>
      <c r="F85" s="111"/>
      <c r="G85" s="111"/>
      <c r="H85" s="111"/>
      <c r="I85" s="111"/>
      <c r="J85" s="212"/>
      <c r="K85" s="113"/>
      <c r="L85" s="109"/>
      <c r="M85" s="90"/>
      <c r="N85" s="90"/>
      <c r="P85" s="90"/>
      <c r="Q85" s="90"/>
      <c r="R85" s="90"/>
      <c r="S85" s="90"/>
      <c r="T85" s="90"/>
      <c r="U85" s="90"/>
      <c r="V85" s="90"/>
      <c r="W85" s="90"/>
      <c r="X85" s="90"/>
    </row>
    <row r="86" spans="1:24" s="107" customFormat="1" ht="28.5" customHeight="1" x14ac:dyDescent="0.2">
      <c r="A86" s="444" t="s">
        <v>315</v>
      </c>
      <c r="B86" s="242"/>
      <c r="C86" s="243"/>
      <c r="D86" s="446" t="s">
        <v>34</v>
      </c>
      <c r="E86" s="115">
        <f>C10</f>
        <v>0</v>
      </c>
      <c r="F86" s="174"/>
      <c r="G86" s="174"/>
      <c r="H86" s="174"/>
      <c r="I86" s="175"/>
      <c r="J86" s="161"/>
      <c r="K86" s="90"/>
      <c r="L86" s="90"/>
      <c r="M86" s="90"/>
      <c r="N86" s="90"/>
      <c r="P86" s="90"/>
      <c r="Q86" s="90"/>
      <c r="R86" s="90"/>
      <c r="S86" s="90"/>
      <c r="T86" s="90"/>
      <c r="U86" s="90"/>
      <c r="V86" s="90"/>
      <c r="W86" s="90"/>
      <c r="X86" s="90"/>
    </row>
    <row r="87" spans="1:24" s="107" customFormat="1" x14ac:dyDescent="0.2">
      <c r="A87" s="445" t="s">
        <v>317</v>
      </c>
      <c r="B87" s="97"/>
      <c r="C87" s="160"/>
      <c r="D87" s="447" t="s">
        <v>316</v>
      </c>
      <c r="E87" s="115">
        <f>C9</f>
        <v>0</v>
      </c>
      <c r="F87" s="90"/>
      <c r="G87" s="90"/>
      <c r="H87" s="90"/>
      <c r="I87" s="214"/>
      <c r="J87" s="161"/>
      <c r="K87" s="90"/>
      <c r="L87" s="90"/>
      <c r="M87" s="90"/>
      <c r="N87" s="90"/>
      <c r="P87" s="90"/>
      <c r="Q87" s="90"/>
      <c r="R87" s="90"/>
      <c r="S87" s="129"/>
      <c r="T87" s="90"/>
      <c r="U87" s="129"/>
      <c r="V87" s="129"/>
      <c r="W87" s="129"/>
      <c r="X87" s="129"/>
    </row>
    <row r="88" spans="1:24" s="107" customFormat="1" ht="25.5" customHeight="1" x14ac:dyDescent="0.2">
      <c r="A88" s="90"/>
      <c r="C88" s="131"/>
      <c r="D88" s="215"/>
      <c r="E88" s="116"/>
      <c r="F88" s="90"/>
      <c r="G88" s="90"/>
      <c r="H88" s="90"/>
      <c r="I88" s="214"/>
      <c r="J88" s="161"/>
      <c r="K88" s="90"/>
      <c r="L88" s="90"/>
      <c r="M88" s="90"/>
      <c r="N88" s="90"/>
      <c r="O88" s="90"/>
      <c r="P88" s="90"/>
      <c r="Q88" s="90"/>
      <c r="R88" s="90"/>
      <c r="S88" s="129"/>
      <c r="T88" s="90"/>
      <c r="U88" s="129"/>
      <c r="V88" s="129"/>
      <c r="W88" s="129"/>
      <c r="X88" s="129"/>
    </row>
    <row r="89" spans="1:24" s="107" customFormat="1" ht="12.75" customHeight="1" x14ac:dyDescent="0.2">
      <c r="A89" s="90"/>
      <c r="C89" s="131"/>
      <c r="D89" s="117" t="s">
        <v>35</v>
      </c>
      <c r="E89" s="118" t="s">
        <v>33</v>
      </c>
      <c r="F89" s="119" t="s">
        <v>37</v>
      </c>
      <c r="G89" s="119" t="s">
        <v>38</v>
      </c>
      <c r="H89" s="119" t="s">
        <v>39</v>
      </c>
      <c r="I89" s="119" t="s">
        <v>32</v>
      </c>
      <c r="J89" s="161"/>
      <c r="K89" s="90"/>
      <c r="L89" s="90"/>
      <c r="P89" s="90"/>
      <c r="Q89" s="90"/>
      <c r="R89" s="90"/>
      <c r="S89" s="129"/>
      <c r="T89" s="90"/>
      <c r="U89" s="129"/>
      <c r="V89" s="129"/>
      <c r="W89" s="129"/>
      <c r="X89" s="129"/>
    </row>
    <row r="90" spans="1:24" s="107" customFormat="1" ht="38.25" customHeight="1" x14ac:dyDescent="0.2">
      <c r="A90" s="480" t="s">
        <v>195</v>
      </c>
      <c r="B90" s="481"/>
      <c r="C90" s="482"/>
      <c r="D90" s="121">
        <f>D13</f>
        <v>0</v>
      </c>
      <c r="E90" s="121">
        <f>E86-E87+1</f>
        <v>1</v>
      </c>
      <c r="F90" s="122">
        <f>D90*E90</f>
        <v>0</v>
      </c>
      <c r="G90" s="122">
        <f>E69</f>
        <v>0</v>
      </c>
      <c r="H90" s="123">
        <f>IFERROR(ROUND(G90/F90,2),0)</f>
        <v>0</v>
      </c>
      <c r="I90" s="122">
        <f>IF(H90 &gt;= 0.85,0,ROUND(1-(H90/0.85),2))</f>
        <v>1</v>
      </c>
      <c r="J90" s="161"/>
      <c r="K90" s="90"/>
      <c r="L90" s="90"/>
      <c r="M90" s="90"/>
      <c r="N90" s="90"/>
      <c r="P90" s="90"/>
      <c r="Q90" s="90"/>
      <c r="R90" s="90"/>
      <c r="S90" s="129"/>
      <c r="T90" s="90"/>
      <c r="U90" s="129"/>
      <c r="V90" s="129"/>
      <c r="W90" s="129"/>
      <c r="X90" s="129"/>
    </row>
    <row r="91" spans="1:24" s="107" customFormat="1" ht="25.5" customHeight="1" x14ac:dyDescent="0.2">
      <c r="A91" s="95"/>
      <c r="B91" s="111"/>
      <c r="C91" s="210"/>
      <c r="D91" s="216"/>
      <c r="E91" s="116"/>
      <c r="F91" s="208"/>
      <c r="G91" s="255"/>
      <c r="H91" s="124"/>
      <c r="I91" s="217"/>
      <c r="J91" s="213"/>
      <c r="P91" s="90"/>
      <c r="Q91" s="90"/>
      <c r="R91" s="90"/>
      <c r="S91" s="129"/>
      <c r="T91" s="90"/>
      <c r="U91" s="129"/>
      <c r="V91" s="129"/>
      <c r="W91" s="129"/>
      <c r="X91" s="129"/>
    </row>
    <row r="92" spans="1:24" s="107" customFormat="1" ht="38.25" customHeight="1" x14ac:dyDescent="0.2">
      <c r="A92" s="477" t="s">
        <v>214</v>
      </c>
      <c r="B92" s="478"/>
      <c r="C92" s="479"/>
      <c r="D92" s="256"/>
      <c r="E92" s="236" t="s">
        <v>231</v>
      </c>
      <c r="F92" s="236" t="s">
        <v>232</v>
      </c>
      <c r="G92" s="257"/>
      <c r="H92" s="161"/>
      <c r="I92" s="214"/>
      <c r="J92" s="161"/>
      <c r="K92" s="90"/>
      <c r="L92" s="90"/>
      <c r="P92" s="90"/>
      <c r="Q92" s="90"/>
      <c r="R92" s="90"/>
      <c r="S92" s="129"/>
      <c r="T92" s="90"/>
      <c r="U92" s="129"/>
      <c r="V92" s="129"/>
      <c r="W92" s="129"/>
      <c r="X92" s="129"/>
    </row>
    <row r="93" spans="1:24" s="107" customFormat="1" ht="38.25" customHeight="1" x14ac:dyDescent="0.2">
      <c r="A93" s="478" t="s">
        <v>213</v>
      </c>
      <c r="B93" s="478"/>
      <c r="C93" s="479"/>
      <c r="D93" s="232" t="s">
        <v>24</v>
      </c>
      <c r="E93" s="249">
        <f>Dietary!C24</f>
        <v>0</v>
      </c>
      <c r="F93" s="249">
        <f>Facility!C10</f>
        <v>0</v>
      </c>
      <c r="G93" s="221" t="s">
        <v>25</v>
      </c>
      <c r="H93" s="120"/>
      <c r="I93" s="219"/>
      <c r="J93" s="120"/>
      <c r="P93" s="90"/>
      <c r="Q93" s="90"/>
      <c r="R93" s="90"/>
      <c r="S93" s="129"/>
      <c r="T93" s="90"/>
      <c r="U93" s="129"/>
      <c r="V93" s="129"/>
      <c r="W93" s="129"/>
      <c r="X93" s="129"/>
    </row>
    <row r="94" spans="1:24" s="107" customFormat="1" x14ac:dyDescent="0.2">
      <c r="A94" s="179"/>
      <c r="B94" s="124"/>
      <c r="C94" s="247"/>
      <c r="D94" s="233" t="s">
        <v>26</v>
      </c>
      <c r="E94" s="248">
        <f>E71</f>
        <v>0</v>
      </c>
      <c r="F94" s="248">
        <f>E71</f>
        <v>0</v>
      </c>
      <c r="G94" s="221" t="s">
        <v>27</v>
      </c>
      <c r="H94" s="120"/>
      <c r="I94" s="219"/>
      <c r="J94" s="120"/>
      <c r="P94" s="90"/>
      <c r="Q94" s="90"/>
      <c r="R94" s="90"/>
      <c r="S94" s="129"/>
      <c r="T94" s="90"/>
      <c r="U94" s="129"/>
      <c r="V94" s="129"/>
      <c r="W94" s="129"/>
      <c r="X94" s="129"/>
    </row>
    <row r="95" spans="1:24" s="107" customFormat="1" x14ac:dyDescent="0.2">
      <c r="A95" s="90"/>
      <c r="C95" s="131"/>
      <c r="D95" s="234" t="s">
        <v>27</v>
      </c>
      <c r="E95" s="235">
        <f>IFERROR(ROUND(E93/E94,2),0)</f>
        <v>0</v>
      </c>
      <c r="F95" s="235">
        <f>IFERROR(ROUND(F93/F94,2),0)</f>
        <v>0</v>
      </c>
      <c r="G95" s="258">
        <f>ROUND(F95-(F95*I90),2)</f>
        <v>0</v>
      </c>
      <c r="H95" s="120"/>
      <c r="I95" s="219"/>
      <c r="J95" s="120"/>
      <c r="P95" s="90"/>
      <c r="Q95" s="90"/>
      <c r="R95" s="90"/>
      <c r="S95" s="129"/>
      <c r="T95" s="90"/>
      <c r="U95" s="129"/>
      <c r="V95" s="129"/>
      <c r="W95" s="129"/>
      <c r="X95" s="129"/>
    </row>
    <row r="96" spans="1:24" s="107" customFormat="1" ht="38.25" x14ac:dyDescent="0.2">
      <c r="A96" s="90"/>
      <c r="C96" s="131"/>
      <c r="D96" s="250" t="s">
        <v>90</v>
      </c>
      <c r="E96" s="251">
        <f>IFERROR(ROUND(((P60*E97)+(S60*E98))/(P60+S60),2),0)</f>
        <v>0</v>
      </c>
      <c r="F96" s="251"/>
      <c r="G96" s="226">
        <f>IFERROR(ROUND(((P60*G97)+(S60*G98))/(P60+S60),2),0)</f>
        <v>0</v>
      </c>
      <c r="H96" s="125"/>
      <c r="I96" s="219"/>
      <c r="J96" s="120"/>
      <c r="P96" s="90"/>
      <c r="Q96" s="90"/>
      <c r="R96" s="90"/>
      <c r="S96" s="129"/>
      <c r="T96" s="90"/>
      <c r="U96" s="129"/>
      <c r="V96" s="129"/>
      <c r="W96" s="129"/>
      <c r="X96" s="129"/>
    </row>
    <row r="97" spans="1:24" x14ac:dyDescent="0.2">
      <c r="A97" s="90"/>
      <c r="B97" s="107"/>
      <c r="C97" s="131"/>
      <c r="D97" s="218" t="s">
        <v>229</v>
      </c>
      <c r="E97" s="126">
        <v>12.62</v>
      </c>
      <c r="F97" s="126"/>
      <c r="G97" s="259">
        <v>6.83</v>
      </c>
      <c r="H97" s="120"/>
      <c r="I97" s="219"/>
      <c r="J97" s="120"/>
      <c r="K97" s="107"/>
      <c r="L97" s="107"/>
      <c r="M97" s="107"/>
      <c r="N97" s="107"/>
      <c r="O97" s="107"/>
      <c r="P97" s="90"/>
      <c r="Q97" s="90"/>
      <c r="R97" s="90"/>
      <c r="T97" s="90"/>
    </row>
    <row r="98" spans="1:24" x14ac:dyDescent="0.2">
      <c r="A98" s="107"/>
      <c r="B98" s="107"/>
      <c r="C98" s="131"/>
      <c r="D98" s="220" t="s">
        <v>230</v>
      </c>
      <c r="E98" s="128">
        <v>12.62</v>
      </c>
      <c r="F98" s="127"/>
      <c r="G98" s="260">
        <v>6.83</v>
      </c>
      <c r="H98" s="120"/>
      <c r="I98" s="219"/>
      <c r="J98" s="120"/>
      <c r="K98" s="107"/>
      <c r="L98" s="107"/>
      <c r="M98" s="107"/>
      <c r="N98" s="107"/>
      <c r="P98" s="90"/>
      <c r="Q98" s="90"/>
      <c r="R98" s="90"/>
      <c r="T98" s="90"/>
    </row>
    <row r="99" spans="1:24" x14ac:dyDescent="0.2">
      <c r="A99" s="107"/>
      <c r="B99" s="107"/>
      <c r="C99" s="131"/>
      <c r="D99" s="220"/>
      <c r="E99" s="107"/>
      <c r="F99" s="112"/>
      <c r="G99" s="219"/>
      <c r="H99" s="120"/>
      <c r="I99" s="219"/>
      <c r="J99" s="120"/>
      <c r="K99" s="107"/>
      <c r="L99" s="107"/>
      <c r="M99" s="107"/>
      <c r="N99" s="107"/>
      <c r="P99" s="90"/>
      <c r="Q99" s="90"/>
      <c r="R99" s="90"/>
      <c r="T99" s="90"/>
    </row>
    <row r="100" spans="1:24" x14ac:dyDescent="0.2">
      <c r="A100" s="107"/>
      <c r="B100" s="107"/>
      <c r="C100" s="131"/>
      <c r="D100" s="237" t="s">
        <v>28</v>
      </c>
      <c r="E100" s="238">
        <f>IF(E96 &gt;= E95,0,E95-E96)</f>
        <v>0</v>
      </c>
      <c r="F100" s="238"/>
      <c r="G100" s="261">
        <f>IF(G96 &gt;= G95,0,G95-G96)</f>
        <v>0</v>
      </c>
      <c r="H100" s="120"/>
      <c r="I100" s="219"/>
      <c r="J100" s="120"/>
      <c r="K100" s="107"/>
      <c r="L100" s="107"/>
      <c r="M100" s="107"/>
      <c r="N100" s="107"/>
      <c r="P100" s="90"/>
      <c r="Q100" s="90"/>
      <c r="R100" s="90"/>
      <c r="T100" s="90"/>
    </row>
    <row r="101" spans="1:24" x14ac:dyDescent="0.2">
      <c r="A101" s="107"/>
      <c r="B101" s="107"/>
      <c r="C101" s="131"/>
      <c r="D101" s="227" t="s">
        <v>29</v>
      </c>
      <c r="E101" s="239">
        <f>IF(E96 &lt;= E95,0,E96-E95)</f>
        <v>0</v>
      </c>
      <c r="F101" s="239"/>
      <c r="G101" s="228">
        <f>IF(G96 &lt;= G95,0,G96-G95)</f>
        <v>0</v>
      </c>
      <c r="H101" s="120"/>
      <c r="I101" s="219"/>
      <c r="J101" s="120"/>
      <c r="K101" s="107"/>
      <c r="L101" s="107"/>
      <c r="M101" s="107"/>
      <c r="N101" s="107"/>
      <c r="P101" s="90"/>
      <c r="Q101" s="90"/>
      <c r="R101" s="90"/>
      <c r="S101" s="132"/>
      <c r="T101" s="90"/>
      <c r="U101" s="132"/>
      <c r="V101" s="132"/>
      <c r="W101" s="132"/>
      <c r="X101" s="132"/>
    </row>
    <row r="102" spans="1:24" x14ac:dyDescent="0.2">
      <c r="A102" s="107"/>
      <c r="C102" s="211"/>
      <c r="D102" s="227"/>
      <c r="E102" s="239">
        <f>IF(E100=0,0,E100-G101)</f>
        <v>0</v>
      </c>
      <c r="F102" s="239"/>
      <c r="G102" s="228">
        <f>IF(G100=0,0,G100-E101)</f>
        <v>0</v>
      </c>
      <c r="H102" s="120"/>
      <c r="I102" s="241"/>
      <c r="J102" s="120"/>
      <c r="K102" s="107"/>
      <c r="L102" s="107"/>
      <c r="M102" s="107"/>
      <c r="N102" s="107"/>
      <c r="P102" s="90"/>
      <c r="Q102" s="90"/>
      <c r="R102" s="90"/>
      <c r="S102" s="132"/>
      <c r="T102" s="90"/>
      <c r="U102" s="132"/>
      <c r="V102" s="132"/>
      <c r="W102" s="132"/>
      <c r="X102" s="132"/>
    </row>
    <row r="103" spans="1:24" x14ac:dyDescent="0.2">
      <c r="A103" s="107"/>
      <c r="C103" s="211"/>
      <c r="D103" s="227" t="s">
        <v>31</v>
      </c>
      <c r="E103" s="239">
        <f>IF(E102&lt;0,0,IF(E102&gt;2,2,E102))</f>
        <v>0</v>
      </c>
      <c r="F103" s="239"/>
      <c r="G103" s="228">
        <f>IF(G102&lt;0,0,IF(G102&gt;2,2,G102))</f>
        <v>0</v>
      </c>
      <c r="H103" s="252" t="s">
        <v>30</v>
      </c>
      <c r="I103" s="130">
        <f>ROUND(G103+E103,2)</f>
        <v>0</v>
      </c>
      <c r="J103" s="120"/>
      <c r="K103" s="107"/>
      <c r="L103" s="107"/>
      <c r="M103" s="107"/>
      <c r="N103" s="107"/>
      <c r="O103" s="89"/>
      <c r="P103" s="90"/>
      <c r="Q103" s="90"/>
      <c r="R103" s="90"/>
      <c r="S103" s="132"/>
      <c r="T103" s="90"/>
      <c r="U103" s="132"/>
      <c r="V103" s="132"/>
      <c r="W103" s="132"/>
      <c r="X103" s="132"/>
    </row>
    <row r="104" spans="1:24" x14ac:dyDescent="0.2">
      <c r="A104" s="107"/>
      <c r="C104" s="211"/>
      <c r="D104" s="240"/>
      <c r="E104" s="116"/>
      <c r="F104" s="208"/>
      <c r="G104" s="230"/>
      <c r="H104" s="253"/>
      <c r="I104" s="230"/>
      <c r="J104" s="120"/>
      <c r="K104" s="107"/>
      <c r="L104" s="107"/>
      <c r="M104" s="107"/>
      <c r="N104" s="107"/>
      <c r="O104" s="132"/>
      <c r="P104" s="90"/>
      <c r="Q104" s="90"/>
      <c r="R104" s="90"/>
      <c r="S104" s="132"/>
      <c r="T104" s="90"/>
      <c r="U104" s="132"/>
      <c r="V104" s="132"/>
      <c r="W104" s="132"/>
      <c r="X104" s="132"/>
    </row>
    <row r="105" spans="1:24" x14ac:dyDescent="0.2">
      <c r="A105" s="107"/>
      <c r="C105" s="211"/>
      <c r="D105" s="222" t="s">
        <v>40</v>
      </c>
      <c r="E105" s="114"/>
      <c r="F105" s="122"/>
      <c r="G105" s="114"/>
      <c r="H105" s="254"/>
      <c r="I105" s="228">
        <f>IF(D82&gt;=U63,0,U63-D82)</f>
        <v>0</v>
      </c>
      <c r="J105" s="120"/>
      <c r="K105" s="107"/>
      <c r="L105" s="107"/>
      <c r="O105" s="132"/>
      <c r="P105" s="90"/>
      <c r="Q105" s="90"/>
      <c r="R105" s="90"/>
      <c r="S105" s="132"/>
      <c r="T105" s="90"/>
      <c r="U105" s="132"/>
      <c r="V105" s="132"/>
      <c r="W105" s="132"/>
      <c r="X105" s="132"/>
    </row>
    <row r="106" spans="1:24" x14ac:dyDescent="0.2">
      <c r="A106" s="107"/>
      <c r="C106" s="211"/>
      <c r="D106" s="223" t="s">
        <v>41</v>
      </c>
      <c r="E106" s="224"/>
      <c r="F106" s="225"/>
      <c r="G106" s="224"/>
      <c r="H106" s="254"/>
      <c r="I106" s="229">
        <f>IF(I105-I103&gt;0,I105-I103,0)</f>
        <v>0</v>
      </c>
      <c r="J106" s="120"/>
      <c r="K106" s="107"/>
      <c r="L106" s="107"/>
      <c r="O106" s="132"/>
      <c r="P106" s="90"/>
      <c r="Q106" s="90"/>
      <c r="R106" s="90"/>
      <c r="S106" s="132"/>
      <c r="T106" s="90"/>
      <c r="U106" s="132"/>
      <c r="V106" s="132"/>
      <c r="W106" s="132"/>
      <c r="X106" s="132"/>
    </row>
    <row r="107" spans="1:24" x14ac:dyDescent="0.2">
      <c r="O107" s="132"/>
      <c r="P107" s="90"/>
      <c r="Q107" s="90"/>
      <c r="R107" s="90"/>
      <c r="S107" s="132"/>
      <c r="T107" s="90"/>
      <c r="U107" s="132"/>
      <c r="V107" s="132"/>
      <c r="W107" s="132"/>
      <c r="X107" s="132"/>
    </row>
    <row r="109" spans="1:24" x14ac:dyDescent="0.2">
      <c r="L109" s="105"/>
      <c r="M109" s="105"/>
      <c r="N109" s="105"/>
    </row>
  </sheetData>
  <sheetProtection algorithmName="SHA-512" hashValue="Uq2fcIxsaK+Z7gxbbg1FIdRcDxrR55fswNADe2aS2mQ2besEnP/uKn9g/QdqK7qMSgLhZ/0Og5YD9x5UVuIoug==" saltValue="7tSPf6ND6UdokbVpT6caYQ==" spinCount="100000" sheet="1" objects="1" scenarios="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activeCell="B8" sqref="B8"/>
    </sheetView>
  </sheetViews>
  <sheetFormatPr defaultColWidth="9.140625" defaultRowHeight="12.75" x14ac:dyDescent="0.2"/>
  <cols>
    <col min="1" max="1" width="43" style="5" bestFit="1" customWidth="1"/>
    <col min="2" max="2" width="50.85546875" style="5" bestFit="1" customWidth="1"/>
    <col min="3" max="3" width="20" style="5" customWidth="1"/>
    <col min="4" max="16384" width="9.140625" style="5"/>
  </cols>
  <sheetData>
    <row r="1" spans="1:3" ht="39.6" customHeight="1" x14ac:dyDescent="0.2">
      <c r="A1" s="489" t="str">
        <f>Staffing!A1</f>
        <v xml:space="preserve">NURSING FACILITY - COST REPORT - 
RATE ENHANCEMENT OPTIONAL WORKSHEETS
</v>
      </c>
      <c r="B1" s="489"/>
      <c r="C1" s="489"/>
    </row>
    <row r="2" spans="1:3" x14ac:dyDescent="0.2">
      <c r="A2" s="466"/>
      <c r="B2" s="466"/>
      <c r="C2" s="466"/>
    </row>
    <row r="3" spans="1:3" ht="18" x14ac:dyDescent="0.25">
      <c r="A3" s="297" t="s">
        <v>178</v>
      </c>
    </row>
    <row r="5" spans="1:3" x14ac:dyDescent="0.2">
      <c r="A5" s="72" t="s">
        <v>179</v>
      </c>
      <c r="B5" s="72" t="s">
        <v>180</v>
      </c>
      <c r="C5" s="72" t="s">
        <v>211</v>
      </c>
    </row>
    <row r="6" spans="1:3" ht="15" x14ac:dyDescent="0.25">
      <c r="A6" s="426" t="s">
        <v>186</v>
      </c>
      <c r="B6" s="426" t="s">
        <v>322</v>
      </c>
      <c r="C6" s="396"/>
    </row>
    <row r="7" spans="1:3" ht="15" x14ac:dyDescent="0.25">
      <c r="A7" s="426" t="s">
        <v>187</v>
      </c>
      <c r="B7" s="426" t="s">
        <v>322</v>
      </c>
      <c r="C7" s="396"/>
    </row>
    <row r="8" spans="1:3" ht="15" x14ac:dyDescent="0.25">
      <c r="A8" s="426" t="s">
        <v>217</v>
      </c>
      <c r="B8" s="426" t="s">
        <v>322</v>
      </c>
      <c r="C8" s="396"/>
    </row>
    <row r="9" spans="1:3" ht="15" x14ac:dyDescent="0.25">
      <c r="A9" s="426" t="s">
        <v>188</v>
      </c>
      <c r="B9" s="426" t="s">
        <v>322</v>
      </c>
      <c r="C9" s="396"/>
    </row>
    <row r="10" spans="1:3" ht="15" x14ac:dyDescent="0.25">
      <c r="A10" s="426" t="s">
        <v>189</v>
      </c>
      <c r="B10" s="426" t="s">
        <v>227</v>
      </c>
      <c r="C10" s="396"/>
    </row>
    <row r="11" spans="1:3" ht="15" x14ac:dyDescent="0.25">
      <c r="A11" s="426" t="s">
        <v>190</v>
      </c>
      <c r="B11" s="426" t="s">
        <v>227</v>
      </c>
      <c r="C11" s="396"/>
    </row>
    <row r="12" spans="1:3" ht="15" x14ac:dyDescent="0.25">
      <c r="A12" s="426" t="s">
        <v>223</v>
      </c>
      <c r="B12" s="426" t="s">
        <v>227</v>
      </c>
      <c r="C12" s="396"/>
    </row>
    <row r="13" spans="1:3" ht="15" x14ac:dyDescent="0.25">
      <c r="A13" s="426" t="s">
        <v>191</v>
      </c>
      <c r="B13" s="426" t="s">
        <v>227</v>
      </c>
      <c r="C13" s="396"/>
    </row>
    <row r="14" spans="1:3" ht="15" x14ac:dyDescent="0.25">
      <c r="A14" s="426" t="s">
        <v>192</v>
      </c>
      <c r="B14" s="464" t="s">
        <v>194</v>
      </c>
      <c r="C14" s="396"/>
    </row>
    <row r="15" spans="1:3" ht="15" x14ac:dyDescent="0.25">
      <c r="A15" s="465" t="s">
        <v>193</v>
      </c>
      <c r="B15" s="464" t="s">
        <v>194</v>
      </c>
      <c r="C15" s="396"/>
    </row>
    <row r="16" spans="1:3" ht="15" x14ac:dyDescent="0.25">
      <c r="A16" s="70" t="s">
        <v>181</v>
      </c>
      <c r="B16" s="464" t="s">
        <v>194</v>
      </c>
      <c r="C16" s="396"/>
    </row>
    <row r="17" spans="1:3" ht="15" x14ac:dyDescent="0.25">
      <c r="A17" s="70" t="s">
        <v>182</v>
      </c>
      <c r="B17" s="464" t="s">
        <v>194</v>
      </c>
      <c r="C17" s="396"/>
    </row>
    <row r="18" spans="1:3" ht="12.6" customHeight="1" x14ac:dyDescent="0.2">
      <c r="A18" s="70" t="s">
        <v>183</v>
      </c>
      <c r="B18" s="487" t="s">
        <v>228</v>
      </c>
      <c r="C18" s="488"/>
    </row>
    <row r="19" spans="1:3" ht="12.6" customHeight="1" x14ac:dyDescent="0.2">
      <c r="A19" s="70" t="s">
        <v>184</v>
      </c>
      <c r="B19" s="487"/>
      <c r="C19" s="488"/>
    </row>
    <row r="20" spans="1:3" ht="12.6" customHeight="1" x14ac:dyDescent="0.2">
      <c r="A20" s="467" t="s">
        <v>185</v>
      </c>
      <c r="B20" s="487"/>
      <c r="C20" s="488"/>
    </row>
    <row r="21" spans="1:3" x14ac:dyDescent="0.2">
      <c r="A21" s="1"/>
      <c r="B21" s="430"/>
      <c r="C21" s="407"/>
    </row>
    <row r="22" spans="1:3" x14ac:dyDescent="0.2">
      <c r="A22" s="1"/>
      <c r="B22" s="429" t="s">
        <v>222</v>
      </c>
      <c r="C22" s="382">
        <f>SUM(C6:C21)</f>
        <v>0</v>
      </c>
    </row>
  </sheetData>
  <sheetProtection algorithmName="SHA-512" hashValue="VHoRGVq1QNIsp+9Ewz5Qq5eX4JOgx7cg/akqDUGJt8gj2xqg9FQ1ZXu83eRmkzbtMo0+MpOefolHiqHSKyoYow==" saltValue="Oq1Au/zoh90HJsHi3srGFQ=="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activeCell="B3" sqref="B3"/>
    </sheetView>
  </sheetViews>
  <sheetFormatPr defaultColWidth="9.140625" defaultRowHeight="12.75" x14ac:dyDescent="0.2"/>
  <cols>
    <col min="1" max="1" width="52.5703125" style="89" customWidth="1"/>
    <col min="2" max="2" width="72.5703125" style="89" customWidth="1"/>
    <col min="3" max="3" width="17.5703125" style="89" customWidth="1"/>
    <col min="4" max="4" width="2.5703125" style="89" customWidth="1"/>
    <col min="5" max="5" width="28.42578125" style="89" customWidth="1"/>
    <col min="6" max="6" width="14" style="89" customWidth="1"/>
    <col min="7" max="7" width="2.85546875" style="89" customWidth="1"/>
    <col min="8" max="9" width="9.140625" style="89"/>
    <col min="10" max="10" width="12.140625" style="89" customWidth="1"/>
    <col min="11" max="16384" width="9.140625" style="89"/>
  </cols>
  <sheetData>
    <row r="1" spans="1:18" ht="39.950000000000003" customHeight="1" x14ac:dyDescent="0.2">
      <c r="A1" s="501" t="str">
        <f>Staffing!A1</f>
        <v xml:space="preserve">NURSING FACILITY - COST REPORT - 
RATE ENHANCEMENT OPTIONAL WORKSHEETS
</v>
      </c>
      <c r="B1" s="502"/>
      <c r="C1" s="503"/>
      <c r="D1" s="399"/>
      <c r="E1" s="495" t="s">
        <v>299</v>
      </c>
      <c r="F1" s="496"/>
      <c r="G1" s="399"/>
      <c r="H1" s="399"/>
      <c r="I1" s="399"/>
      <c r="J1" s="399"/>
      <c r="K1" s="399"/>
      <c r="L1" s="399"/>
      <c r="M1" s="399"/>
      <c r="N1" s="399"/>
      <c r="O1" s="399"/>
      <c r="P1" s="399"/>
      <c r="Q1" s="399"/>
      <c r="R1" s="399"/>
    </row>
    <row r="2" spans="1:18" ht="25.7" customHeight="1" x14ac:dyDescent="0.2">
      <c r="A2" s="107"/>
      <c r="B2" s="107"/>
      <c r="E2" s="497"/>
      <c r="F2" s="498"/>
    </row>
    <row r="3" spans="1:18" ht="18" x14ac:dyDescent="0.25">
      <c r="A3" s="391" t="s">
        <v>264</v>
      </c>
      <c r="B3" s="107"/>
      <c r="E3" s="499"/>
      <c r="F3" s="500"/>
    </row>
    <row r="4" spans="1:18" x14ac:dyDescent="0.2">
      <c r="A4" s="111"/>
      <c r="B4" s="111"/>
      <c r="C4" s="162"/>
    </row>
    <row r="5" spans="1:18" x14ac:dyDescent="0.2">
      <c r="A5" s="72" t="s">
        <v>179</v>
      </c>
      <c r="B5" s="72" t="s">
        <v>180</v>
      </c>
      <c r="C5" s="72" t="s">
        <v>211</v>
      </c>
      <c r="D5" s="172"/>
      <c r="E5" s="162"/>
      <c r="F5" s="162"/>
      <c r="H5" s="162"/>
      <c r="I5" s="162"/>
      <c r="J5" s="162"/>
    </row>
    <row r="6" spans="1:18" ht="57" customHeight="1" x14ac:dyDescent="0.25">
      <c r="A6" s="2" t="s">
        <v>197</v>
      </c>
      <c r="B6" s="2" t="s">
        <v>286</v>
      </c>
      <c r="C6" s="413"/>
      <c r="D6" s="176"/>
      <c r="E6" s="425" t="s">
        <v>300</v>
      </c>
      <c r="F6" s="396"/>
      <c r="G6" s="176"/>
      <c r="H6" s="494" t="s">
        <v>278</v>
      </c>
      <c r="I6" s="494"/>
      <c r="J6" s="494"/>
      <c r="K6" s="172"/>
    </row>
    <row r="7" spans="1:18" ht="15" customHeight="1" x14ac:dyDescent="0.25">
      <c r="A7" s="2" t="s">
        <v>198</v>
      </c>
      <c r="B7" s="2" t="s">
        <v>287</v>
      </c>
      <c r="C7" s="413"/>
      <c r="D7" s="176"/>
      <c r="E7" s="114" t="s">
        <v>279</v>
      </c>
      <c r="F7" s="393">
        <f>+C6+C7</f>
        <v>0</v>
      </c>
      <c r="G7" s="176"/>
      <c r="H7" s="394"/>
      <c r="I7" s="122" t="s">
        <v>280</v>
      </c>
      <c r="J7" s="409">
        <f>IFERROR((F7/F6),0)</f>
        <v>0</v>
      </c>
      <c r="K7" s="172"/>
    </row>
    <row r="8" spans="1:18" ht="15" x14ac:dyDescent="0.25">
      <c r="A8" s="2" t="s">
        <v>199</v>
      </c>
      <c r="B8" s="2" t="s">
        <v>288</v>
      </c>
      <c r="C8" s="427"/>
      <c r="D8" s="172"/>
      <c r="E8" s="163"/>
      <c r="F8" s="163"/>
      <c r="H8" s="163"/>
      <c r="I8" s="163"/>
      <c r="J8" s="163"/>
    </row>
    <row r="9" spans="1:18" ht="15" x14ac:dyDescent="0.25">
      <c r="A9" s="2" t="s">
        <v>289</v>
      </c>
      <c r="B9" s="2" t="s">
        <v>290</v>
      </c>
      <c r="C9" s="428"/>
      <c r="D9" s="172"/>
      <c r="E9" s="422"/>
      <c r="F9" s="163"/>
      <c r="H9" s="163"/>
      <c r="I9" s="163"/>
      <c r="J9" s="163"/>
    </row>
    <row r="10" spans="1:18" ht="15" x14ac:dyDescent="0.25">
      <c r="A10" s="426" t="s">
        <v>303</v>
      </c>
      <c r="B10" s="426" t="s">
        <v>304</v>
      </c>
      <c r="C10" s="428"/>
      <c r="D10" s="172"/>
      <c r="E10" s="422"/>
      <c r="F10" s="163"/>
      <c r="H10" s="163"/>
      <c r="I10" s="163"/>
      <c r="J10" s="163"/>
    </row>
    <row r="11" spans="1:18" ht="25.5" x14ac:dyDescent="0.2">
      <c r="A11" s="2" t="s">
        <v>200</v>
      </c>
      <c r="B11" s="2" t="s">
        <v>272</v>
      </c>
      <c r="C11" s="414">
        <f>+F7*0.0765</f>
        <v>0</v>
      </c>
      <c r="D11" s="172"/>
      <c r="E11" s="392" t="s">
        <v>281</v>
      </c>
    </row>
    <row r="12" spans="1:18" ht="15" x14ac:dyDescent="0.25">
      <c r="A12" s="2" t="s">
        <v>193</v>
      </c>
      <c r="B12" s="2" t="s">
        <v>273</v>
      </c>
      <c r="C12" s="415">
        <f>IFERROR(E12*J7,0)</f>
        <v>0</v>
      </c>
      <c r="D12" s="176"/>
      <c r="E12" s="396"/>
      <c r="F12" s="395"/>
      <c r="H12" s="105"/>
    </row>
    <row r="13" spans="1:18" ht="12.75" customHeight="1" x14ac:dyDescent="0.25">
      <c r="A13" s="2" t="s">
        <v>201</v>
      </c>
      <c r="B13" s="2" t="s">
        <v>274</v>
      </c>
      <c r="C13" s="415">
        <f>IFERROR(E13*J7,0)</f>
        <v>0</v>
      </c>
      <c r="D13" s="176"/>
      <c r="E13" s="396"/>
      <c r="F13" s="395"/>
      <c r="H13" s="105"/>
    </row>
    <row r="14" spans="1:18" ht="12.75" customHeight="1" x14ac:dyDescent="0.25">
      <c r="A14" s="2" t="s">
        <v>202</v>
      </c>
      <c r="B14" s="2" t="s">
        <v>275</v>
      </c>
      <c r="C14" s="415">
        <f>IFERROR(E14*J7,0)</f>
        <v>0</v>
      </c>
      <c r="D14" s="176"/>
      <c r="E14" s="396"/>
      <c r="F14" s="395"/>
      <c r="H14" s="105"/>
    </row>
    <row r="15" spans="1:18" ht="12.75" customHeight="1" x14ac:dyDescent="0.2">
      <c r="A15" s="2" t="s">
        <v>203</v>
      </c>
      <c r="B15" s="504" t="s">
        <v>291</v>
      </c>
      <c r="C15" s="493"/>
      <c r="D15" s="176"/>
      <c r="F15" s="395"/>
      <c r="H15" s="105"/>
    </row>
    <row r="16" spans="1:18" ht="12.75" customHeight="1" x14ac:dyDescent="0.2">
      <c r="A16" s="2" t="s">
        <v>204</v>
      </c>
      <c r="B16" s="505"/>
      <c r="C16" s="493"/>
      <c r="D16" s="172"/>
      <c r="E16" s="163"/>
    </row>
    <row r="17" spans="1:4" ht="12.75" customHeight="1" x14ac:dyDescent="0.2">
      <c r="A17" s="2" t="s">
        <v>205</v>
      </c>
      <c r="B17" s="506"/>
      <c r="C17" s="493"/>
      <c r="D17" s="172"/>
    </row>
    <row r="18" spans="1:4" ht="12.75" customHeight="1" x14ac:dyDescent="0.25">
      <c r="A18" s="2" t="s">
        <v>206</v>
      </c>
      <c r="B18" s="2" t="s">
        <v>276</v>
      </c>
      <c r="C18" s="413"/>
      <c r="D18" s="172"/>
    </row>
    <row r="19" spans="1:4" ht="12.75" customHeight="1" x14ac:dyDescent="0.2">
      <c r="A19" s="2" t="s">
        <v>207</v>
      </c>
      <c r="B19" s="490" t="s">
        <v>277</v>
      </c>
      <c r="C19" s="493"/>
      <c r="D19" s="172"/>
    </row>
    <row r="20" spans="1:4" ht="12.75" customHeight="1" x14ac:dyDescent="0.2">
      <c r="A20" s="2" t="s">
        <v>208</v>
      </c>
      <c r="B20" s="491"/>
      <c r="C20" s="493"/>
      <c r="D20" s="172"/>
    </row>
    <row r="21" spans="1:4" ht="12.75" customHeight="1" x14ac:dyDescent="0.2">
      <c r="A21" s="70" t="s">
        <v>209</v>
      </c>
      <c r="B21" s="491"/>
      <c r="C21" s="493"/>
      <c r="D21" s="172"/>
    </row>
    <row r="22" spans="1:4" ht="12.75" customHeight="1" x14ac:dyDescent="0.2">
      <c r="A22" s="70" t="s">
        <v>210</v>
      </c>
      <c r="B22" s="492"/>
      <c r="C22" s="493"/>
      <c r="D22" s="172"/>
    </row>
    <row r="23" spans="1:4" ht="12.75" customHeight="1" thickBot="1" x14ac:dyDescent="0.25">
      <c r="C23" s="384"/>
      <c r="D23" s="172"/>
    </row>
    <row r="24" spans="1:4" ht="13.5" thickBot="1" x14ac:dyDescent="0.25">
      <c r="B24" s="71" t="s">
        <v>212</v>
      </c>
      <c r="C24" s="383">
        <f>SUM(C5:C22)</f>
        <v>0</v>
      </c>
    </row>
    <row r="25" spans="1:4" x14ac:dyDescent="0.2">
      <c r="B25" s="408"/>
      <c r="C25" s="163"/>
      <c r="D25" s="172"/>
    </row>
    <row r="26" spans="1:4" x14ac:dyDescent="0.2">
      <c r="C26" s="163"/>
    </row>
  </sheetData>
  <sheetProtection algorithmName="SHA-512" hashValue="dra2YkfcC4sDl6PX+Ovf40ysCEN4VW0X/0f8BscNFDmBdUPmdukxrj4GNlhJabvmgMPLXWtUFL5kIr8JLUCY+g==" saltValue="4b6A3pFpHIjtAQNUF6y/7Q==" spinCount="100000" sheet="1" objects="1" scenarios="1"/>
  <mergeCells count="7">
    <mergeCell ref="B19:B22"/>
    <mergeCell ref="C19:C22"/>
    <mergeCell ref="H6:J6"/>
    <mergeCell ref="E1:F3"/>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activeCell="B5" sqref="B5"/>
    </sheetView>
  </sheetViews>
  <sheetFormatPr defaultColWidth="9.140625" defaultRowHeight="12.75" x14ac:dyDescent="0.2"/>
  <cols>
    <col min="1" max="1" width="52.5703125" style="5" customWidth="1"/>
    <col min="2" max="2" width="72.5703125" style="5" customWidth="1"/>
    <col min="3" max="3" width="17.5703125" style="5" customWidth="1"/>
    <col min="4" max="8" width="9.140625" style="5"/>
    <col min="9" max="9" width="9.85546875" style="5" customWidth="1"/>
    <col min="10" max="16384" width="9.140625" style="5"/>
  </cols>
  <sheetData>
    <row r="1" spans="1:20" ht="39.950000000000003" customHeight="1" x14ac:dyDescent="0.2">
      <c r="A1" s="507" t="str">
        <f>Staffing!A1</f>
        <v xml:space="preserve">NURSING FACILITY - COST REPORT - 
RATE ENHANCEMENT OPTIONAL WORKSHEETS
</v>
      </c>
      <c r="B1" s="508"/>
      <c r="C1" s="509"/>
      <c r="D1" s="402"/>
      <c r="E1" s="398"/>
      <c r="F1" s="398"/>
      <c r="G1" s="398"/>
      <c r="H1" s="398"/>
      <c r="I1" s="398"/>
      <c r="J1" s="398"/>
      <c r="K1" s="398"/>
      <c r="L1" s="398"/>
      <c r="M1" s="398"/>
      <c r="N1" s="398"/>
      <c r="O1" s="398"/>
      <c r="P1" s="398"/>
    </row>
    <row r="2" spans="1:20" x14ac:dyDescent="0.2">
      <c r="A2" s="403"/>
      <c r="B2" s="403"/>
      <c r="C2" s="403"/>
      <c r="D2" s="14"/>
      <c r="E2" s="14"/>
      <c r="F2" s="14"/>
      <c r="G2" s="14"/>
      <c r="H2" s="14"/>
      <c r="I2" s="14"/>
      <c r="J2" s="14"/>
      <c r="K2" s="14"/>
      <c r="L2" s="14"/>
      <c r="M2" s="14"/>
      <c r="N2" s="14"/>
      <c r="O2" s="14"/>
      <c r="P2" s="14"/>
      <c r="Q2" s="14"/>
      <c r="R2" s="14"/>
      <c r="S2" s="14"/>
      <c r="T2" s="14"/>
    </row>
    <row r="3" spans="1:20" ht="18" x14ac:dyDescent="0.25">
      <c r="A3" s="297" t="s">
        <v>265</v>
      </c>
      <c r="B3" s="14"/>
    </row>
    <row r="4" spans="1:20" x14ac:dyDescent="0.2">
      <c r="A4" s="16"/>
      <c r="B4" s="16"/>
      <c r="C4" s="16"/>
      <c r="D4" s="14"/>
      <c r="E4" s="14"/>
      <c r="F4" s="14"/>
      <c r="G4" s="14"/>
      <c r="H4" s="14"/>
      <c r="I4" s="14"/>
      <c r="J4" s="14"/>
      <c r="K4" s="14"/>
      <c r="L4" s="14"/>
      <c r="M4" s="14"/>
      <c r="N4" s="14"/>
      <c r="O4" s="14"/>
      <c r="P4" s="14"/>
      <c r="Q4" s="14"/>
      <c r="R4" s="14"/>
      <c r="S4" s="14"/>
      <c r="T4" s="14"/>
    </row>
    <row r="5" spans="1:20" x14ac:dyDescent="0.2">
      <c r="A5" s="72" t="s">
        <v>179</v>
      </c>
      <c r="B5" s="72" t="s">
        <v>180</v>
      </c>
      <c r="C5" s="72" t="s">
        <v>211</v>
      </c>
      <c r="D5" s="17"/>
      <c r="E5" s="14"/>
      <c r="F5" s="14"/>
      <c r="G5" s="14"/>
      <c r="H5" s="14"/>
      <c r="I5" s="14"/>
      <c r="J5" s="14"/>
      <c r="K5" s="14"/>
      <c r="L5" s="14"/>
      <c r="M5" s="14"/>
      <c r="N5" s="14"/>
      <c r="O5" s="14"/>
      <c r="P5" s="14"/>
      <c r="Q5" s="14"/>
      <c r="R5" s="14"/>
      <c r="S5" s="14"/>
      <c r="T5" s="14"/>
    </row>
    <row r="6" spans="1:20" ht="15" x14ac:dyDescent="0.2">
      <c r="A6" s="18" t="s">
        <v>224</v>
      </c>
      <c r="B6" s="470" t="s">
        <v>324</v>
      </c>
      <c r="C6" s="404"/>
      <c r="D6" s="17"/>
      <c r="E6" s="14"/>
      <c r="F6" s="14"/>
      <c r="G6" s="14"/>
      <c r="H6" s="14"/>
      <c r="I6" s="14"/>
      <c r="M6" s="14"/>
      <c r="N6" s="14"/>
      <c r="O6" s="14"/>
      <c r="P6" s="14"/>
      <c r="Q6" s="14"/>
      <c r="R6" s="14"/>
      <c r="S6" s="14"/>
      <c r="T6" s="14"/>
    </row>
    <row r="7" spans="1:20" ht="38.25" x14ac:dyDescent="0.2">
      <c r="A7" s="73" t="s">
        <v>225</v>
      </c>
      <c r="B7" s="470" t="s">
        <v>325</v>
      </c>
      <c r="C7" s="405"/>
      <c r="D7" s="17"/>
      <c r="E7" s="14"/>
      <c r="F7" s="14"/>
      <c r="G7" s="14"/>
      <c r="H7" s="14"/>
      <c r="I7" s="14"/>
      <c r="M7" s="14"/>
      <c r="N7" s="14"/>
      <c r="O7" s="14"/>
      <c r="P7" s="14"/>
      <c r="Q7" s="14"/>
      <c r="R7" s="14"/>
      <c r="S7" s="14"/>
      <c r="T7" s="14"/>
    </row>
    <row r="8" spans="1:20" ht="15" x14ac:dyDescent="0.25">
      <c r="A8" s="70" t="s">
        <v>196</v>
      </c>
      <c r="B8" s="426" t="s">
        <v>326</v>
      </c>
      <c r="C8" s="396"/>
      <c r="D8" s="69"/>
    </row>
    <row r="9" spans="1:20" x14ac:dyDescent="0.2">
      <c r="A9" s="134"/>
      <c r="B9" s="134"/>
      <c r="C9" s="407"/>
    </row>
    <row r="10" spans="1:20" x14ac:dyDescent="0.2">
      <c r="B10" s="406" t="s">
        <v>212</v>
      </c>
      <c r="C10" s="382">
        <f>SUM(C6:C8)</f>
        <v>0</v>
      </c>
      <c r="D10" s="69"/>
    </row>
    <row r="11" spans="1:20" x14ac:dyDescent="0.2">
      <c r="C11" s="134"/>
    </row>
    <row r="14" spans="1:20" ht="15" x14ac:dyDescent="0.25">
      <c r="C14" s="400"/>
      <c r="D14" s="401"/>
    </row>
    <row r="15" spans="1:20" ht="15" x14ac:dyDescent="0.25">
      <c r="C15" s="400"/>
      <c r="D15" s="401"/>
    </row>
    <row r="16" spans="1:20" ht="15" x14ac:dyDescent="0.25">
      <c r="C16" s="400"/>
      <c r="D16" s="401"/>
    </row>
    <row r="17" spans="3:4" ht="15" x14ac:dyDescent="0.25">
      <c r="C17" s="400"/>
      <c r="D17" s="401"/>
    </row>
    <row r="18" spans="3:4" ht="15" x14ac:dyDescent="0.25">
      <c r="C18" s="400"/>
      <c r="D18" s="401"/>
    </row>
    <row r="19" spans="3:4" ht="15" x14ac:dyDescent="0.25">
      <c r="C19" s="400"/>
      <c r="D19" s="401"/>
    </row>
    <row r="20" spans="3:4" ht="15" x14ac:dyDescent="0.25">
      <c r="C20" s="400"/>
      <c r="D20" s="401"/>
    </row>
  </sheetData>
  <sheetProtection algorithmName="SHA-512" hashValue="nb/9ziVI1knLrCWrgVjK89bxj+mKZIEr7zRa0iln3+ChaujLDtPcy31C1RjPMYTDm42GKsAVB1muxCcvPl/L3Q==" saltValue="SsOrASSjAEGbTaQXdfUsrg==" spinCount="100000"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80"/>
  <sheetViews>
    <sheetView zoomScaleNormal="100" workbookViewId="0">
      <selection activeCell="H5" sqref="H5:I5"/>
    </sheetView>
  </sheetViews>
  <sheetFormatPr defaultColWidth="9.140625" defaultRowHeight="12.75" x14ac:dyDescent="0.2"/>
  <cols>
    <col min="1" max="1" width="7.140625" style="101" customWidth="1"/>
    <col min="2" max="3" width="9.5703125" style="89" customWidth="1"/>
    <col min="4" max="5" width="11.5703125" style="89" customWidth="1"/>
    <col min="6" max="6" width="10.140625" style="101" customWidth="1"/>
    <col min="7" max="7" width="10.5703125" style="89" customWidth="1"/>
    <col min="8" max="8" width="9.5703125" style="89" customWidth="1"/>
    <col min="9" max="10" width="11.5703125" style="89" customWidth="1"/>
    <col min="11" max="11" width="7.5703125" style="89" bestFit="1" customWidth="1"/>
    <col min="12" max="12" width="10.140625" style="89" bestFit="1" customWidth="1"/>
    <col min="13" max="14" width="7.5703125" style="89" bestFit="1" customWidth="1"/>
    <col min="15" max="15" width="8" style="89" customWidth="1"/>
    <col min="16" max="16384" width="9.140625" style="89"/>
  </cols>
  <sheetData>
    <row r="1" spans="1:24" ht="39.950000000000003" customHeight="1" x14ac:dyDescent="0.2">
      <c r="A1" s="507" t="str">
        <f>Staffing!A1</f>
        <v xml:space="preserve">NURSING FACILITY - COST REPORT - 
RATE ENHANCEMENT OPTIONAL WORKSHEETS
</v>
      </c>
      <c r="B1" s="508"/>
      <c r="C1" s="508"/>
      <c r="D1" s="508"/>
      <c r="E1" s="508"/>
      <c r="F1" s="508"/>
      <c r="G1" s="508"/>
      <c r="H1" s="508"/>
      <c r="I1" s="508"/>
      <c r="J1" s="509"/>
      <c r="K1" s="398"/>
      <c r="L1" s="398"/>
      <c r="M1" s="398"/>
      <c r="N1" s="398"/>
      <c r="O1" s="398"/>
      <c r="P1" s="398"/>
    </row>
    <row r="2" spans="1:24" ht="12.75" customHeight="1" x14ac:dyDescent="0.2">
      <c r="B2" s="298"/>
      <c r="C2" s="298"/>
      <c r="D2" s="299"/>
      <c r="E2" s="300"/>
    </row>
    <row r="3" spans="1:24" ht="18" x14ac:dyDescent="0.25">
      <c r="A3" s="297" t="s">
        <v>296</v>
      </c>
      <c r="B3" s="297"/>
      <c r="C3" s="297"/>
      <c r="D3" s="297"/>
      <c r="E3" s="297"/>
      <c r="F3" s="297"/>
      <c r="G3" s="297"/>
      <c r="H3" s="297"/>
      <c r="I3" s="297"/>
      <c r="J3" s="297"/>
    </row>
    <row r="4" spans="1:24" ht="12.75" customHeight="1" x14ac:dyDescent="0.2">
      <c r="A4" s="185"/>
      <c r="B4" s="307"/>
      <c r="C4" s="307"/>
      <c r="D4" s="308"/>
      <c r="E4" s="300"/>
      <c r="F4" s="185"/>
      <c r="G4" s="162"/>
      <c r="H4" s="162"/>
      <c r="I4" s="162"/>
    </row>
    <row r="5" spans="1:24" ht="24" customHeight="1" x14ac:dyDescent="0.2">
      <c r="A5" s="543" t="s">
        <v>93</v>
      </c>
      <c r="B5" s="543"/>
      <c r="C5" s="539">
        <f>+Staffing!B5</f>
        <v>0</v>
      </c>
      <c r="D5" s="540"/>
      <c r="E5" s="176"/>
      <c r="F5" s="545" t="s">
        <v>294</v>
      </c>
      <c r="G5" s="546"/>
      <c r="H5" s="547">
        <f>Staffing!C12</f>
        <v>0</v>
      </c>
      <c r="I5" s="547"/>
      <c r="J5" s="172"/>
      <c r="L5" s="90"/>
    </row>
    <row r="6" spans="1:24" ht="12.75" customHeight="1" x14ac:dyDescent="0.2">
      <c r="A6" s="520" t="s">
        <v>94</v>
      </c>
      <c r="B6" s="520"/>
      <c r="C6" s="518">
        <f>+Staffing!B6</f>
        <v>0</v>
      </c>
      <c r="D6" s="518"/>
      <c r="E6" s="176"/>
      <c r="F6" s="541" t="s">
        <v>295</v>
      </c>
      <c r="G6" s="542"/>
      <c r="H6" s="548">
        <f>Staffing!C13</f>
        <v>0</v>
      </c>
      <c r="I6" s="548"/>
      <c r="J6" s="172"/>
      <c r="L6" s="90"/>
      <c r="P6" s="105"/>
      <c r="Q6" s="105"/>
      <c r="R6" s="105"/>
      <c r="S6" s="105"/>
      <c r="T6" s="105"/>
      <c r="U6" s="105"/>
      <c r="V6" s="105"/>
      <c r="W6" s="105"/>
      <c r="X6" s="105"/>
    </row>
    <row r="7" spans="1:24" x14ac:dyDescent="0.2">
      <c r="A7" s="512" t="s">
        <v>95</v>
      </c>
      <c r="B7" s="512"/>
      <c r="C7" s="519">
        <f>+Staffing!B7</f>
        <v>0</v>
      </c>
      <c r="D7" s="519"/>
      <c r="E7" s="176"/>
      <c r="F7" s="329"/>
      <c r="G7" s="330" t="s">
        <v>98</v>
      </c>
      <c r="H7" s="544">
        <f>IF(Staffing!I91&gt;0,IF(Staffing!I91&gt;27,27,ROUNDDOWN(Staffing!I91,0)),0)</f>
        <v>0</v>
      </c>
      <c r="I7" s="544"/>
      <c r="J7" s="331" t="s">
        <v>257</v>
      </c>
      <c r="L7" s="90"/>
      <c r="M7" s="510"/>
      <c r="N7" s="511"/>
      <c r="O7" s="300"/>
      <c r="P7" s="105"/>
      <c r="Q7" s="105"/>
      <c r="R7" s="105"/>
      <c r="S7" s="105"/>
      <c r="T7" s="105"/>
      <c r="U7" s="105"/>
      <c r="V7" s="105"/>
      <c r="W7" s="105"/>
      <c r="X7" s="105"/>
    </row>
    <row r="8" spans="1:24" ht="13.5" thickBot="1" x14ac:dyDescent="0.25">
      <c r="A8" s="332"/>
      <c r="B8" s="332"/>
      <c r="C8" s="332"/>
      <c r="D8" s="332"/>
      <c r="E8" s="332"/>
      <c r="F8" s="332"/>
      <c r="G8" s="332"/>
      <c r="H8" s="332"/>
      <c r="I8" s="332"/>
      <c r="J8" s="126"/>
      <c r="K8" s="126"/>
      <c r="L8" s="90"/>
      <c r="M8" s="301"/>
      <c r="N8" s="302"/>
      <c r="O8" s="302"/>
      <c r="P8" s="105"/>
      <c r="Q8" s="105"/>
      <c r="R8" s="105"/>
      <c r="S8" s="105"/>
      <c r="T8" s="105"/>
      <c r="U8" s="105"/>
      <c r="V8" s="105"/>
      <c r="W8" s="105"/>
      <c r="X8" s="105"/>
    </row>
    <row r="9" spans="1:24" ht="15.75" x14ac:dyDescent="0.25">
      <c r="A9" s="523" t="s">
        <v>266</v>
      </c>
      <c r="B9" s="524"/>
      <c r="C9" s="524"/>
      <c r="D9" s="524"/>
      <c r="E9" s="524"/>
      <c r="F9" s="524"/>
      <c r="G9" s="524"/>
      <c r="H9" s="516">
        <f>SUM(E15:E48)+SUM(J15:J48)</f>
        <v>0</v>
      </c>
      <c r="I9" s="517"/>
      <c r="J9" s="172"/>
      <c r="L9" s="127"/>
      <c r="P9" s="105"/>
      <c r="Q9" s="105"/>
      <c r="R9" s="105"/>
      <c r="S9" s="105"/>
      <c r="T9" s="105"/>
      <c r="U9" s="105"/>
      <c r="V9" s="105"/>
      <c r="W9" s="105"/>
      <c r="X9" s="105"/>
    </row>
    <row r="10" spans="1:24" ht="15.75" x14ac:dyDescent="0.25">
      <c r="A10" s="525" t="s">
        <v>267</v>
      </c>
      <c r="B10" s="526"/>
      <c r="C10" s="526"/>
      <c r="D10" s="526"/>
      <c r="E10" s="526"/>
      <c r="F10" s="526"/>
      <c r="G10" s="526"/>
      <c r="H10" s="537">
        <f>IF(D56&gt;Spending!P63,Spending!P63,D56)</f>
        <v>0</v>
      </c>
      <c r="I10" s="538"/>
      <c r="J10" s="172"/>
      <c r="L10" s="411"/>
      <c r="P10" s="105"/>
      <c r="Q10" s="105"/>
      <c r="R10" s="105"/>
      <c r="S10" s="105"/>
      <c r="T10" s="105"/>
      <c r="U10" s="105"/>
      <c r="V10" s="105"/>
      <c r="W10" s="105"/>
      <c r="X10" s="105"/>
    </row>
    <row r="11" spans="1:24" ht="16.5" thickBot="1" x14ac:dyDescent="0.3">
      <c r="A11" s="527" t="s">
        <v>268</v>
      </c>
      <c r="B11" s="528"/>
      <c r="C11" s="528"/>
      <c r="D11" s="528"/>
      <c r="E11" s="528"/>
      <c r="F11" s="528"/>
      <c r="G11" s="528"/>
      <c r="H11" s="521">
        <f>SUM(H9:I10)</f>
        <v>0</v>
      </c>
      <c r="I11" s="522"/>
      <c r="J11" s="172"/>
      <c r="L11" s="127"/>
      <c r="P11" s="105"/>
      <c r="Q11" s="105"/>
      <c r="R11" s="105"/>
      <c r="S11" s="105"/>
      <c r="T11" s="105"/>
      <c r="U11" s="105"/>
      <c r="V11" s="105"/>
      <c r="W11" s="105"/>
      <c r="X11" s="105"/>
    </row>
    <row r="12" spans="1:24" ht="12.75" customHeight="1" x14ac:dyDescent="0.2">
      <c r="A12" s="100"/>
      <c r="B12" s="100"/>
      <c r="C12" s="309"/>
      <c r="D12" s="100"/>
      <c r="E12" s="333"/>
      <c r="F12" s="100"/>
      <c r="G12" s="163"/>
      <c r="H12" s="163"/>
      <c r="I12" s="163"/>
      <c r="L12" s="127"/>
      <c r="P12" s="105"/>
      <c r="Q12" s="105"/>
      <c r="R12" s="105"/>
      <c r="S12" s="105"/>
      <c r="T12" s="105"/>
      <c r="U12" s="105"/>
      <c r="V12" s="105"/>
      <c r="W12" s="105"/>
      <c r="X12" s="105"/>
    </row>
    <row r="13" spans="1:24" x14ac:dyDescent="0.2">
      <c r="A13" s="310"/>
      <c r="B13" s="535" t="s">
        <v>297</v>
      </c>
      <c r="C13" s="536"/>
      <c r="D13" s="536"/>
      <c r="E13" s="536"/>
      <c r="F13" s="310"/>
      <c r="G13" s="535" t="s">
        <v>298</v>
      </c>
      <c r="H13" s="535"/>
      <c r="I13" s="535"/>
      <c r="J13" s="535"/>
      <c r="L13" s="90"/>
      <c r="P13" s="105"/>
      <c r="Q13" s="105"/>
      <c r="R13" s="105"/>
      <c r="S13" s="105"/>
      <c r="T13" s="105"/>
      <c r="U13" s="105"/>
      <c r="V13" s="105"/>
      <c r="W13" s="105"/>
      <c r="X13" s="105"/>
    </row>
    <row r="14" spans="1:24" ht="76.5" x14ac:dyDescent="0.2">
      <c r="A14" s="313" t="s">
        <v>92</v>
      </c>
      <c r="B14" s="314" t="str">
        <f xml:space="preserve"> "Period 1 Original
RUG Rates
Level " &amp; $H$5</f>
        <v>Period 1 Original
RUG Rates
Level 0</v>
      </c>
      <c r="C14" s="314" t="str">
        <f>"Final
RUG
Rates
Level " &amp; H7</f>
        <v>Final
RUG
Rates
Level 0</v>
      </c>
      <c r="D14" s="314" t="s">
        <v>226</v>
      </c>
      <c r="E14" s="315" t="s">
        <v>97</v>
      </c>
      <c r="F14" s="313" t="s">
        <v>92</v>
      </c>
      <c r="G14" s="314" t="str">
        <f xml:space="preserve"> "Period 2 Original
RUG Rates
Level " &amp; $H$6</f>
        <v>Period 2 Original
RUG Rates
Level 0</v>
      </c>
      <c r="H14" s="314" t="str">
        <f>"Final
RUG
Rates
Level " &amp; H7</f>
        <v>Final
RUG
Rates
Level 0</v>
      </c>
      <c r="I14" s="314" t="s">
        <v>226</v>
      </c>
      <c r="J14" s="315" t="s">
        <v>97</v>
      </c>
      <c r="K14" s="172"/>
      <c r="L14" s="90"/>
      <c r="M14" s="303"/>
      <c r="P14" s="105"/>
      <c r="Q14" s="105"/>
      <c r="R14" s="105"/>
      <c r="S14" s="105"/>
      <c r="T14" s="105"/>
      <c r="U14" s="105"/>
      <c r="V14" s="105"/>
      <c r="W14" s="105"/>
      <c r="X14" s="105"/>
    </row>
    <row r="15" spans="1:24" x14ac:dyDescent="0.2">
      <c r="A15" s="273" t="s">
        <v>54</v>
      </c>
      <c r="B15" s="274">
        <f>IF($H$5&gt;$H$7,IFERROR(HLOOKUP($H$5,'9-1-2014 Rates to current'!$J$54:$AL$91,3,FALSE),0),0)</f>
        <v>0</v>
      </c>
      <c r="C15" s="274">
        <f>IF($H$5&gt;$H$7,(HLOOKUP($H$7,'9-1-2014 Rates to current'!$J$54:$AL$91,3,FALSE)),0)</f>
        <v>0</v>
      </c>
      <c r="D15" s="275">
        <f>+Spending!P24</f>
        <v>0</v>
      </c>
      <c r="E15" s="276">
        <f t="shared" ref="E15:E48" si="0">(B15-C15)*D15</f>
        <v>0</v>
      </c>
      <c r="F15" s="273" t="s">
        <v>54</v>
      </c>
      <c r="G15" s="274">
        <f>IF($H$6&gt;$H$7,IFERROR(HLOOKUP($H$6,'9-1-2014 Rates to current'!$J$54:$AL$91,3,FALSE),0),0)</f>
        <v>0</v>
      </c>
      <c r="H15" s="274">
        <f>IF($H$6&gt;$H$7,(HLOOKUP($H$7,'9-1-2014 Rates to current'!$J$54:$AL$91,3,FALSE)),0)</f>
        <v>0</v>
      </c>
      <c r="I15" s="275">
        <f>+Spending!S24</f>
        <v>0</v>
      </c>
      <c r="J15" s="274">
        <f t="shared" ref="J15:J48" si="1">(G15-H15)*I15</f>
        <v>0</v>
      </c>
      <c r="K15" s="172"/>
      <c r="P15" s="105"/>
      <c r="Q15" s="105"/>
      <c r="R15" s="105"/>
      <c r="S15" s="105"/>
      <c r="T15" s="105"/>
      <c r="U15" s="105"/>
      <c r="V15" s="105"/>
      <c r="W15" s="105"/>
      <c r="X15" s="105"/>
    </row>
    <row r="16" spans="1:24" x14ac:dyDescent="0.2">
      <c r="A16" s="273" t="s">
        <v>55</v>
      </c>
      <c r="B16" s="274">
        <f>IF($H$5&gt;$H$7,IFERROR(HLOOKUP($H$5,'9-1-2014 Rates to current'!$J$54:$AL$91,4,FALSE),0),0)</f>
        <v>0</v>
      </c>
      <c r="C16" s="274">
        <f>IF($H$5&gt;$H$7,(HLOOKUP($H$7,'9-1-2014 Rates to current'!$J$54:$AL$91,4,FALSE)),0)</f>
        <v>0</v>
      </c>
      <c r="D16" s="275">
        <f>+Spending!P25</f>
        <v>0</v>
      </c>
      <c r="E16" s="276">
        <f t="shared" si="0"/>
        <v>0</v>
      </c>
      <c r="F16" s="273" t="s">
        <v>55</v>
      </c>
      <c r="G16" s="274">
        <f>IF($H$6&gt;$H$7,IFERROR(HLOOKUP($H$6,'9-1-2014 Rates to current'!$J$54:$AL$91,4,FALSE),0),0)</f>
        <v>0</v>
      </c>
      <c r="H16" s="274">
        <f>IF($H$6&gt;$H$7,(HLOOKUP($H$7,'9-1-2014 Rates to current'!$J$54:$AL$91,4,FALSE)),0)</f>
        <v>0</v>
      </c>
      <c r="I16" s="275">
        <f>+Spending!S25</f>
        <v>0</v>
      </c>
      <c r="J16" s="274">
        <f t="shared" si="1"/>
        <v>0</v>
      </c>
      <c r="K16" s="172"/>
      <c r="P16" s="105"/>
      <c r="Q16" s="105"/>
      <c r="R16" s="105"/>
      <c r="S16" s="105"/>
      <c r="T16" s="105"/>
      <c r="U16" s="105"/>
      <c r="V16" s="105"/>
      <c r="W16" s="105"/>
      <c r="X16" s="105"/>
    </row>
    <row r="17" spans="1:24" x14ac:dyDescent="0.2">
      <c r="A17" s="273" t="s">
        <v>56</v>
      </c>
      <c r="B17" s="274">
        <f>IF($H$5&gt;$H$7,IFERROR(HLOOKUP($H$5,'9-1-2014 Rates to current'!$J$54:$AL$91,5,FALSE),0),0)</f>
        <v>0</v>
      </c>
      <c r="C17" s="274">
        <f>IF($H$5&gt;$H$7,(HLOOKUP($H$7,'9-1-2014 Rates to current'!$J$54:$AL$91,5,FALSE)),0)</f>
        <v>0</v>
      </c>
      <c r="D17" s="275">
        <f>+Spending!P26</f>
        <v>0</v>
      </c>
      <c r="E17" s="276">
        <f t="shared" si="0"/>
        <v>0</v>
      </c>
      <c r="F17" s="273" t="s">
        <v>56</v>
      </c>
      <c r="G17" s="274">
        <f>IF($H$6&gt;$H$7,IFERROR(HLOOKUP($H$6,'9-1-2014 Rates to current'!$J$54:$AL$91,5,FALSE),0),0)</f>
        <v>0</v>
      </c>
      <c r="H17" s="274">
        <f>IF($H$6&gt;$H$7,(HLOOKUP($H$7,'9-1-2014 Rates to current'!$J$54:$AL$91,5,FALSE)),0)</f>
        <v>0</v>
      </c>
      <c r="I17" s="275">
        <f>+Spending!S26</f>
        <v>0</v>
      </c>
      <c r="J17" s="274">
        <f t="shared" si="1"/>
        <v>0</v>
      </c>
      <c r="K17" s="172"/>
      <c r="P17" s="105"/>
      <c r="Q17" s="105"/>
      <c r="R17" s="105"/>
      <c r="S17" s="105"/>
      <c r="T17" s="105"/>
      <c r="U17" s="105"/>
      <c r="V17" s="105"/>
      <c r="W17" s="105"/>
      <c r="X17" s="105"/>
    </row>
    <row r="18" spans="1:24" x14ac:dyDescent="0.2">
      <c r="A18" s="273" t="s">
        <v>57</v>
      </c>
      <c r="B18" s="274">
        <f>IF($H$5&gt;$H$7,IFERROR(HLOOKUP($H$5,'9-1-2014 Rates to current'!$J$54:$AL$91,6,FALSE),0),0)</f>
        <v>0</v>
      </c>
      <c r="C18" s="274">
        <f>IF($H$5&gt;$H$7,(HLOOKUP($H$7,'9-1-2014 Rates to current'!$J$54:$AL$91,6,FALSE)),0)</f>
        <v>0</v>
      </c>
      <c r="D18" s="275">
        <f>+Spending!P27</f>
        <v>0</v>
      </c>
      <c r="E18" s="276">
        <f t="shared" si="0"/>
        <v>0</v>
      </c>
      <c r="F18" s="273" t="s">
        <v>57</v>
      </c>
      <c r="G18" s="274">
        <f>IF($H$6&gt;$H$7,IFERROR(HLOOKUP($H$6,'9-1-2014 Rates to current'!$J$54:$AL$91,6,FALSE),0),0)</f>
        <v>0</v>
      </c>
      <c r="H18" s="274">
        <f>IF($H$6&gt;$H$7,(HLOOKUP($H$7,'9-1-2014 Rates to current'!$J$54:$AL$91,6,FALSE)),0)</f>
        <v>0</v>
      </c>
      <c r="I18" s="275">
        <f>+Spending!S27</f>
        <v>0</v>
      </c>
      <c r="J18" s="274">
        <f t="shared" si="1"/>
        <v>0</v>
      </c>
      <c r="K18" s="172"/>
      <c r="P18" s="105"/>
      <c r="Q18" s="105"/>
      <c r="R18" s="105"/>
      <c r="S18" s="105"/>
      <c r="T18" s="105"/>
      <c r="U18" s="105"/>
      <c r="V18" s="105"/>
      <c r="W18" s="105"/>
      <c r="X18" s="105"/>
    </row>
    <row r="19" spans="1:24" x14ac:dyDescent="0.2">
      <c r="A19" s="273" t="s">
        <v>58</v>
      </c>
      <c r="B19" s="274">
        <f>IF($H$5&gt;$H$7,IFERROR(HLOOKUP($H$5,'9-1-2014 Rates to current'!$J$54:$AL$91,7,FALSE),0),0)</f>
        <v>0</v>
      </c>
      <c r="C19" s="274">
        <f>IF($H$5&gt;$H$7,(HLOOKUP($H$7,'9-1-2014 Rates to current'!$J$54:$AL$91,7,FALSE)),0)</f>
        <v>0</v>
      </c>
      <c r="D19" s="275">
        <f>+Spending!P28</f>
        <v>0</v>
      </c>
      <c r="E19" s="276">
        <f t="shared" si="0"/>
        <v>0</v>
      </c>
      <c r="F19" s="273" t="s">
        <v>58</v>
      </c>
      <c r="G19" s="274">
        <f>IF($H$6&gt;$H$7,IFERROR(HLOOKUP($H$6,'9-1-2014 Rates to current'!$J$54:$AL$91,7,FALSE),0),0)</f>
        <v>0</v>
      </c>
      <c r="H19" s="274">
        <f>IF($H$6&gt;$H$7,(HLOOKUP($H$7,'9-1-2014 Rates to current'!$J$54:$AL$91,7,FALSE)),0)</f>
        <v>0</v>
      </c>
      <c r="I19" s="275">
        <f>+Spending!S28</f>
        <v>0</v>
      </c>
      <c r="J19" s="274">
        <f t="shared" si="1"/>
        <v>0</v>
      </c>
      <c r="K19" s="172"/>
      <c r="M19" s="304"/>
      <c r="P19" s="105"/>
      <c r="Q19" s="105"/>
      <c r="R19" s="105"/>
      <c r="S19" s="105"/>
      <c r="T19" s="105"/>
      <c r="U19" s="105"/>
      <c r="V19" s="105"/>
      <c r="W19" s="105"/>
      <c r="X19" s="105"/>
    </row>
    <row r="20" spans="1:24" x14ac:dyDescent="0.2">
      <c r="A20" s="273" t="s">
        <v>59</v>
      </c>
      <c r="B20" s="274">
        <f>IF($H$5&gt;$H$7,IFERROR(HLOOKUP($H$5,'9-1-2014 Rates to current'!$J$54:$AL$91,8,FALSE),0),0)</f>
        <v>0</v>
      </c>
      <c r="C20" s="274">
        <f>IF($H$5&gt;$H$7,(HLOOKUP($H$7,'9-1-2014 Rates to current'!$J$54:$AL$91,8,FALSE)),0)</f>
        <v>0</v>
      </c>
      <c r="D20" s="275">
        <f>+Spending!P29</f>
        <v>0</v>
      </c>
      <c r="E20" s="276">
        <f t="shared" si="0"/>
        <v>0</v>
      </c>
      <c r="F20" s="273" t="s">
        <v>59</v>
      </c>
      <c r="G20" s="274">
        <f>IF($H$6&gt;$H$7,IFERROR(HLOOKUP($H$6,'9-1-2014 Rates to current'!$J$54:$AL$91,8,FALSE),0),0)</f>
        <v>0</v>
      </c>
      <c r="H20" s="274">
        <f>IF($H$6&gt;$H$7,(HLOOKUP($H$7,'9-1-2014 Rates to current'!$J$54:$AL$91,8,FALSE)),0)</f>
        <v>0</v>
      </c>
      <c r="I20" s="275">
        <f>+Spending!S29</f>
        <v>0</v>
      </c>
      <c r="J20" s="274">
        <f t="shared" si="1"/>
        <v>0</v>
      </c>
      <c r="K20" s="172"/>
      <c r="P20" s="105"/>
      <c r="Q20" s="105"/>
      <c r="R20" s="105"/>
      <c r="S20" s="105"/>
      <c r="T20" s="105"/>
      <c r="U20" s="105"/>
      <c r="V20" s="105"/>
      <c r="W20" s="105"/>
      <c r="X20" s="105"/>
    </row>
    <row r="21" spans="1:24" x14ac:dyDescent="0.2">
      <c r="A21" s="273" t="s">
        <v>60</v>
      </c>
      <c r="B21" s="274">
        <f>IF($H$5&gt;$H$7,IFERROR(HLOOKUP($H$5,'9-1-2014 Rates to current'!$J$54:$AL$91,9,FALSE),0),0)</f>
        <v>0</v>
      </c>
      <c r="C21" s="274">
        <f>IF($H$5&gt;$H$7,(HLOOKUP($H$7,'9-1-2014 Rates to current'!$J$54:$AL$91,9,FALSE)),0)</f>
        <v>0</v>
      </c>
      <c r="D21" s="275">
        <f>+Spending!P30</f>
        <v>0</v>
      </c>
      <c r="E21" s="276">
        <f t="shared" si="0"/>
        <v>0</v>
      </c>
      <c r="F21" s="273" t="s">
        <v>60</v>
      </c>
      <c r="G21" s="274">
        <f>IF($H$6&gt;$H$7,IFERROR(HLOOKUP($H$6,'9-1-2014 Rates to current'!$J$54:$AL$91,9,FALSE),0),0)</f>
        <v>0</v>
      </c>
      <c r="H21" s="274">
        <f>IF($H$6&gt;$H$7,(HLOOKUP($H$7,'9-1-2014 Rates to current'!$J$54:$AL$91,9,FALSE)),0)</f>
        <v>0</v>
      </c>
      <c r="I21" s="275">
        <f>+Spending!S30</f>
        <v>0</v>
      </c>
      <c r="J21" s="274">
        <f t="shared" si="1"/>
        <v>0</v>
      </c>
      <c r="K21" s="172"/>
      <c r="P21" s="105"/>
      <c r="Q21" s="105"/>
      <c r="R21" s="105"/>
      <c r="S21" s="105"/>
      <c r="T21" s="105"/>
      <c r="U21" s="105"/>
      <c r="V21" s="105"/>
      <c r="W21" s="105"/>
      <c r="X21" s="105"/>
    </row>
    <row r="22" spans="1:24" x14ac:dyDescent="0.2">
      <c r="A22" s="273" t="s">
        <v>61</v>
      </c>
      <c r="B22" s="274">
        <f>IF($H$5&gt;$H$7,IFERROR(HLOOKUP($H$5,'9-1-2014 Rates to current'!$J$54:$AL$91,10,FALSE),0),0)</f>
        <v>0</v>
      </c>
      <c r="C22" s="274">
        <f>IF($H$5&gt;$H$7,(HLOOKUP($H$7,'9-1-2014 Rates to current'!$J$54:$AL$91,10,FALSE)),0)</f>
        <v>0</v>
      </c>
      <c r="D22" s="275">
        <f>+Spending!P31</f>
        <v>0</v>
      </c>
      <c r="E22" s="276">
        <f t="shared" si="0"/>
        <v>0</v>
      </c>
      <c r="F22" s="273" t="s">
        <v>61</v>
      </c>
      <c r="G22" s="274">
        <f>IF($H$6&gt;$H$7,IFERROR(HLOOKUP($H$6,'9-1-2014 Rates to current'!$J$54:$AL$91,10,FALSE),0),0)</f>
        <v>0</v>
      </c>
      <c r="H22" s="274">
        <f>IF($H$6&gt;$H$7,(HLOOKUP($H$7,'9-1-2014 Rates to current'!$J$54:$AL$91,10,FALSE)),0)</f>
        <v>0</v>
      </c>
      <c r="I22" s="275">
        <f>+Spending!S31</f>
        <v>0</v>
      </c>
      <c r="J22" s="274">
        <f t="shared" si="1"/>
        <v>0</v>
      </c>
      <c r="K22" s="172"/>
      <c r="P22" s="105"/>
      <c r="Q22" s="105"/>
      <c r="R22" s="105"/>
      <c r="S22" s="105"/>
      <c r="T22" s="105"/>
      <c r="U22" s="105"/>
      <c r="V22" s="105"/>
      <c r="W22" s="105"/>
      <c r="X22" s="105"/>
    </row>
    <row r="23" spans="1:24" x14ac:dyDescent="0.2">
      <c r="A23" s="273" t="s">
        <v>62</v>
      </c>
      <c r="B23" s="274">
        <f>IF($H$5&gt;$H$7,IFERROR(HLOOKUP($H$5,'9-1-2014 Rates to current'!$J$54:$AL$91,11,FALSE),0),0)</f>
        <v>0</v>
      </c>
      <c r="C23" s="274">
        <f>IF($H$5&gt;$H$7,(HLOOKUP($H$7,'9-1-2014 Rates to current'!$J$54:$AL$91,11,FALSE)),0)</f>
        <v>0</v>
      </c>
      <c r="D23" s="275">
        <f>+Spending!P32</f>
        <v>0</v>
      </c>
      <c r="E23" s="276">
        <f t="shared" si="0"/>
        <v>0</v>
      </c>
      <c r="F23" s="273" t="s">
        <v>62</v>
      </c>
      <c r="G23" s="274">
        <f>IF($H$6&gt;$H$7,IFERROR(HLOOKUP($H$6,'9-1-2014 Rates to current'!$J$54:$AL$91,11,FALSE),0),0)</f>
        <v>0</v>
      </c>
      <c r="H23" s="274">
        <f>IF($H$6&gt;$H$7,(HLOOKUP($H$7,'9-1-2014 Rates to current'!$J$54:$AL$91,11,FALSE)),0)</f>
        <v>0</v>
      </c>
      <c r="I23" s="275">
        <f>+Spending!S32</f>
        <v>0</v>
      </c>
      <c r="J23" s="274">
        <f t="shared" si="1"/>
        <v>0</v>
      </c>
      <c r="K23" s="172"/>
      <c r="P23" s="105"/>
      <c r="Q23" s="105"/>
      <c r="R23" s="105"/>
      <c r="S23" s="105"/>
      <c r="T23" s="105"/>
      <c r="U23" s="105"/>
      <c r="V23" s="105"/>
      <c r="W23" s="105"/>
      <c r="X23" s="105"/>
    </row>
    <row r="24" spans="1:24" x14ac:dyDescent="0.2">
      <c r="A24" s="273" t="s">
        <v>63</v>
      </c>
      <c r="B24" s="274">
        <f>IF($H$5&gt;$H$7,IFERROR(HLOOKUP($H$5,'9-1-2014 Rates to current'!$J$54:$AL$91,12,FALSE),0),0)</f>
        <v>0</v>
      </c>
      <c r="C24" s="274">
        <f>IF($H$5&gt;$H$7,(HLOOKUP($H$7,'9-1-2014 Rates to current'!$J$54:$AL$91,12,FALSE)),0)</f>
        <v>0</v>
      </c>
      <c r="D24" s="275">
        <f>+Spending!P33</f>
        <v>0</v>
      </c>
      <c r="E24" s="276">
        <f t="shared" si="0"/>
        <v>0</v>
      </c>
      <c r="F24" s="273" t="s">
        <v>63</v>
      </c>
      <c r="G24" s="274">
        <f>IF($H$6&gt;$H$7,IFERROR(HLOOKUP($H$6,'9-1-2014 Rates to current'!$J$54:$AL$91,12,FALSE),0),0)</f>
        <v>0</v>
      </c>
      <c r="H24" s="274">
        <f>IF($H$6&gt;$H$7,(HLOOKUP($H$7,'9-1-2014 Rates to current'!$J$54:$AL$91,12,FALSE)),0)</f>
        <v>0</v>
      </c>
      <c r="I24" s="275">
        <f>+Spending!S33</f>
        <v>0</v>
      </c>
      <c r="J24" s="274">
        <f t="shared" si="1"/>
        <v>0</v>
      </c>
      <c r="K24" s="172"/>
      <c r="P24" s="105"/>
      <c r="Q24" s="105"/>
      <c r="R24" s="105"/>
      <c r="S24" s="105"/>
      <c r="T24" s="105"/>
      <c r="U24" s="105"/>
      <c r="V24" s="105"/>
      <c r="W24" s="105"/>
      <c r="X24" s="105"/>
    </row>
    <row r="25" spans="1:24" x14ac:dyDescent="0.2">
      <c r="A25" s="273" t="s">
        <v>64</v>
      </c>
      <c r="B25" s="274">
        <f>IF($H$5&gt;$H$7,IFERROR(HLOOKUP($H$5,'9-1-2014 Rates to current'!$J$54:$AL$91,13,FALSE),0),0)</f>
        <v>0</v>
      </c>
      <c r="C25" s="274">
        <f>IF($H$5&gt;$H$7,(HLOOKUP($H$7,'9-1-2014 Rates to current'!$J$54:$AL$91,13,FALSE)),0)</f>
        <v>0</v>
      </c>
      <c r="D25" s="275">
        <f>+Spending!P34</f>
        <v>0</v>
      </c>
      <c r="E25" s="276">
        <f t="shared" si="0"/>
        <v>0</v>
      </c>
      <c r="F25" s="273" t="s">
        <v>64</v>
      </c>
      <c r="G25" s="274">
        <f>IF($H$6&gt;$H$7,IFERROR(HLOOKUP($H$6,'9-1-2014 Rates to current'!$J$54:$AL$91,13,FALSE),0),0)</f>
        <v>0</v>
      </c>
      <c r="H25" s="274">
        <f>IF($H$6&gt;$H$7,(HLOOKUP($H$7,'9-1-2014 Rates to current'!$J$54:$AL$91,13,FALSE)),0)</f>
        <v>0</v>
      </c>
      <c r="I25" s="275">
        <f>+Spending!S34</f>
        <v>0</v>
      </c>
      <c r="J25" s="274">
        <f t="shared" si="1"/>
        <v>0</v>
      </c>
      <c r="K25" s="172"/>
      <c r="P25" s="105"/>
      <c r="Q25" s="105"/>
      <c r="R25" s="105"/>
      <c r="S25" s="105"/>
      <c r="T25" s="105"/>
      <c r="U25" s="105"/>
      <c r="V25" s="105"/>
      <c r="W25" s="105"/>
      <c r="X25" s="105"/>
    </row>
    <row r="26" spans="1:24" x14ac:dyDescent="0.2">
      <c r="A26" s="273" t="s">
        <v>65</v>
      </c>
      <c r="B26" s="274">
        <f>IF($H$5&gt;$H$7,IFERROR(HLOOKUP($H$5,'9-1-2014 Rates to current'!$J$54:$AL$91,14,FALSE),0),0)</f>
        <v>0</v>
      </c>
      <c r="C26" s="274">
        <f>IF($H$5&gt;$H$7,(HLOOKUP($H$7,'9-1-2014 Rates to current'!$J$54:$AL$91,14,FALSE)),0)</f>
        <v>0</v>
      </c>
      <c r="D26" s="275">
        <f>+Spending!P35</f>
        <v>0</v>
      </c>
      <c r="E26" s="276">
        <f t="shared" si="0"/>
        <v>0</v>
      </c>
      <c r="F26" s="273" t="s">
        <v>65</v>
      </c>
      <c r="G26" s="274">
        <f>IF($H$6&gt;$H$7,IFERROR(HLOOKUP($H$6,'9-1-2014 Rates to current'!$J$54:$AL$91,14,FALSE),0),0)</f>
        <v>0</v>
      </c>
      <c r="H26" s="274">
        <f>IF($H$6&gt;$H$7,(HLOOKUP($H$7,'9-1-2014 Rates to current'!$J$54:$AL$91,14,FALSE)),0)</f>
        <v>0</v>
      </c>
      <c r="I26" s="275">
        <f>+Spending!S35</f>
        <v>0</v>
      </c>
      <c r="J26" s="274">
        <f t="shared" si="1"/>
        <v>0</v>
      </c>
      <c r="K26" s="172"/>
      <c r="P26" s="105"/>
      <c r="Q26" s="105"/>
      <c r="R26" s="105"/>
      <c r="S26" s="105"/>
      <c r="T26" s="105"/>
      <c r="U26" s="105"/>
      <c r="V26" s="105"/>
      <c r="W26" s="105"/>
      <c r="X26" s="105"/>
    </row>
    <row r="27" spans="1:24" x14ac:dyDescent="0.2">
      <c r="A27" s="273" t="s">
        <v>66</v>
      </c>
      <c r="B27" s="274">
        <f>IF($H$5&gt;$H$7,IFERROR(HLOOKUP($H$5,'9-1-2014 Rates to current'!$J$54:$AL$91,15,FALSE),0),0)</f>
        <v>0</v>
      </c>
      <c r="C27" s="274">
        <f>IF($H$5&gt;$H$7,(HLOOKUP($H$7,'9-1-2014 Rates to current'!$J$54:$AL$91,15,FALSE)),0)</f>
        <v>0</v>
      </c>
      <c r="D27" s="275">
        <f>+Spending!P36</f>
        <v>0</v>
      </c>
      <c r="E27" s="276">
        <f t="shared" si="0"/>
        <v>0</v>
      </c>
      <c r="F27" s="273" t="s">
        <v>66</v>
      </c>
      <c r="G27" s="274">
        <f>IF($H$6&gt;$H$7,IFERROR(HLOOKUP($H$6,'9-1-2014 Rates to current'!$J$54:$AL$91,15,FALSE),0),0)</f>
        <v>0</v>
      </c>
      <c r="H27" s="274">
        <f>IF($H$6&gt;$H$7,(HLOOKUP($H$7,'9-1-2014 Rates to current'!$J$54:$AL$91,15,FALSE)),0)</f>
        <v>0</v>
      </c>
      <c r="I27" s="275">
        <f>+Spending!S36</f>
        <v>0</v>
      </c>
      <c r="J27" s="274">
        <f t="shared" si="1"/>
        <v>0</v>
      </c>
      <c r="K27" s="172"/>
      <c r="P27" s="105"/>
      <c r="Q27" s="105"/>
      <c r="R27" s="105"/>
      <c r="S27" s="105"/>
      <c r="T27" s="105"/>
      <c r="U27" s="105"/>
      <c r="V27" s="105"/>
      <c r="W27" s="105"/>
      <c r="X27" s="105"/>
    </row>
    <row r="28" spans="1:24" x14ac:dyDescent="0.2">
      <c r="A28" s="273" t="s">
        <v>67</v>
      </c>
      <c r="B28" s="274">
        <f>IF($H$5&gt;$H$7,IFERROR(HLOOKUP($H$5,'9-1-2014 Rates to current'!$J$54:$AL$91,16,FALSE),0),0)</f>
        <v>0</v>
      </c>
      <c r="C28" s="274">
        <f>IF($H$5&gt;$H$7,(HLOOKUP($H$7,'9-1-2014 Rates to current'!$J$54:$AL$91,16,FALSE)),0)</f>
        <v>0</v>
      </c>
      <c r="D28" s="275">
        <f>+Spending!P37</f>
        <v>0</v>
      </c>
      <c r="E28" s="276">
        <f t="shared" si="0"/>
        <v>0</v>
      </c>
      <c r="F28" s="273" t="s">
        <v>67</v>
      </c>
      <c r="G28" s="274">
        <f>IF($H$6&gt;$H$7,IFERROR(HLOOKUP($H$6,'9-1-2014 Rates to current'!$J$54:$AL$91,16,FALSE),0),0)</f>
        <v>0</v>
      </c>
      <c r="H28" s="274">
        <f>IF($H$6&gt;$H$7,(HLOOKUP($H$7,'9-1-2014 Rates to current'!$J$54:$AL$91,16,FALSE)),0)</f>
        <v>0</v>
      </c>
      <c r="I28" s="275">
        <f>+Spending!S37</f>
        <v>0</v>
      </c>
      <c r="J28" s="274">
        <f t="shared" si="1"/>
        <v>0</v>
      </c>
      <c r="K28" s="172"/>
      <c r="P28" s="105"/>
      <c r="Q28" s="105"/>
      <c r="R28" s="105"/>
      <c r="S28" s="105"/>
      <c r="T28" s="105"/>
      <c r="U28" s="105"/>
      <c r="V28" s="105"/>
      <c r="W28" s="105"/>
      <c r="X28" s="105"/>
    </row>
    <row r="29" spans="1:24" x14ac:dyDescent="0.2">
      <c r="A29" s="273" t="s">
        <v>68</v>
      </c>
      <c r="B29" s="274">
        <f>IF($H$5&gt;$H$7,IFERROR(HLOOKUP($H$5,'9-1-2014 Rates to current'!$J$54:$AL$91,17,FALSE),0),0)</f>
        <v>0</v>
      </c>
      <c r="C29" s="274">
        <f>IF($H$5&gt;$H$7,(HLOOKUP($H$7,'9-1-2014 Rates to current'!$J$54:$AL$91,17,FALSE)),0)</f>
        <v>0</v>
      </c>
      <c r="D29" s="275">
        <f>+Spending!P38</f>
        <v>0</v>
      </c>
      <c r="E29" s="276">
        <f t="shared" si="0"/>
        <v>0</v>
      </c>
      <c r="F29" s="273" t="s">
        <v>68</v>
      </c>
      <c r="G29" s="274">
        <f>IF($H$6&gt;$H$7,IFERROR(HLOOKUP($H$6,'9-1-2014 Rates to current'!$J$54:$AL$91,17,FALSE),0),0)</f>
        <v>0</v>
      </c>
      <c r="H29" s="274">
        <f>IF($H$6&gt;$H$7,(HLOOKUP($H$7,'9-1-2014 Rates to current'!$J$54:$AL$91,17,FALSE)),0)</f>
        <v>0</v>
      </c>
      <c r="I29" s="275">
        <f>+Spending!S38</f>
        <v>0</v>
      </c>
      <c r="J29" s="274">
        <f t="shared" si="1"/>
        <v>0</v>
      </c>
      <c r="K29" s="172"/>
      <c r="P29" s="105"/>
      <c r="Q29" s="105"/>
      <c r="R29" s="105"/>
      <c r="S29" s="105"/>
      <c r="T29" s="105"/>
      <c r="U29" s="105"/>
      <c r="V29" s="105"/>
      <c r="W29" s="105"/>
      <c r="X29" s="105"/>
    </row>
    <row r="30" spans="1:24" x14ac:dyDescent="0.2">
      <c r="A30" s="273" t="s">
        <v>69</v>
      </c>
      <c r="B30" s="274">
        <f>IF($H$5&gt;$H$7,IFERROR(HLOOKUP($H$5,'9-1-2014 Rates to current'!$J$54:$AL$91,18,FALSE),0),0)</f>
        <v>0</v>
      </c>
      <c r="C30" s="274">
        <f>IF($H$5&gt;$H$7,(HLOOKUP($H$7,'9-1-2014 Rates to current'!$J$54:$AL$91,18,FALSE)),0)</f>
        <v>0</v>
      </c>
      <c r="D30" s="275">
        <f>+Spending!P39</f>
        <v>0</v>
      </c>
      <c r="E30" s="276">
        <f t="shared" si="0"/>
        <v>0</v>
      </c>
      <c r="F30" s="273" t="s">
        <v>69</v>
      </c>
      <c r="G30" s="274">
        <f>IF($H$6&gt;$H$7,IFERROR(HLOOKUP($H$6,'9-1-2014 Rates to current'!$J$54:$AL$91,18,FALSE),0),0)</f>
        <v>0</v>
      </c>
      <c r="H30" s="274">
        <f>IF($H$6&gt;$H$7,(HLOOKUP($H$7,'9-1-2014 Rates to current'!$J$54:$AL$91,18,FALSE)),0)</f>
        <v>0</v>
      </c>
      <c r="I30" s="275">
        <f>+Spending!S39</f>
        <v>0</v>
      </c>
      <c r="J30" s="274">
        <f t="shared" si="1"/>
        <v>0</v>
      </c>
      <c r="K30" s="172"/>
      <c r="P30" s="105"/>
      <c r="Q30" s="105"/>
      <c r="R30" s="105"/>
      <c r="S30" s="105"/>
      <c r="T30" s="105"/>
      <c r="U30" s="105"/>
      <c r="V30" s="105"/>
      <c r="W30" s="105"/>
      <c r="X30" s="105"/>
    </row>
    <row r="31" spans="1:24" x14ac:dyDescent="0.2">
      <c r="A31" s="273" t="s">
        <v>70</v>
      </c>
      <c r="B31" s="274">
        <f>IF($H$5&gt;$H$7,IFERROR(HLOOKUP($H$5,'9-1-2014 Rates to current'!$J$54:$AL$91,19,FALSE),0),0)</f>
        <v>0</v>
      </c>
      <c r="C31" s="274">
        <f>IF($H$5&gt;$H$7,(HLOOKUP($H$7,'9-1-2014 Rates to current'!$J$54:$AL$91,19,FALSE)),0)</f>
        <v>0</v>
      </c>
      <c r="D31" s="275">
        <f>+Spending!P40</f>
        <v>0</v>
      </c>
      <c r="E31" s="276">
        <f t="shared" si="0"/>
        <v>0</v>
      </c>
      <c r="F31" s="273" t="s">
        <v>70</v>
      </c>
      <c r="G31" s="274">
        <f>IF($H$6&gt;$H$7,IFERROR(HLOOKUP($H$6,'9-1-2014 Rates to current'!$J$54:$AL$91,19,FALSE),0),0)</f>
        <v>0</v>
      </c>
      <c r="H31" s="274">
        <f>IF($H$6&gt;$H$7,(HLOOKUP($H$7,'9-1-2014 Rates to current'!$J$54:$AL$91,19,FALSE)),0)</f>
        <v>0</v>
      </c>
      <c r="I31" s="275">
        <f>+Spending!S40</f>
        <v>0</v>
      </c>
      <c r="J31" s="274">
        <f t="shared" si="1"/>
        <v>0</v>
      </c>
      <c r="K31" s="172"/>
      <c r="P31" s="105"/>
      <c r="Q31" s="105"/>
      <c r="R31" s="105"/>
      <c r="S31" s="105"/>
      <c r="T31" s="105"/>
      <c r="U31" s="105"/>
      <c r="V31" s="105"/>
      <c r="W31" s="105"/>
      <c r="X31" s="105"/>
    </row>
    <row r="32" spans="1:24" x14ac:dyDescent="0.2">
      <c r="A32" s="273" t="s">
        <v>71</v>
      </c>
      <c r="B32" s="274">
        <f>IF($H$5&gt;$H$7,IFERROR(HLOOKUP($H$5,'9-1-2014 Rates to current'!$J$54:$AL$91,20,FALSE),0),0)</f>
        <v>0</v>
      </c>
      <c r="C32" s="274">
        <f>IF($H$5&gt;$H$7,(HLOOKUP($H$7,'9-1-2014 Rates to current'!$J$54:$AL$91,20,FALSE)),0)</f>
        <v>0</v>
      </c>
      <c r="D32" s="275">
        <f>+Spending!P41</f>
        <v>0</v>
      </c>
      <c r="E32" s="276">
        <f t="shared" si="0"/>
        <v>0</v>
      </c>
      <c r="F32" s="273" t="s">
        <v>71</v>
      </c>
      <c r="G32" s="274">
        <f>IF($H$6&gt;$H$7,IFERROR(HLOOKUP($H$6,'9-1-2014 Rates to current'!$J$54:$AL$91,20,FALSE),0),0)</f>
        <v>0</v>
      </c>
      <c r="H32" s="274">
        <f>IF($H$6&gt;$H$7,(HLOOKUP($H$7,'9-1-2014 Rates to current'!$J$54:$AL$91,20,FALSE)),0)</f>
        <v>0</v>
      </c>
      <c r="I32" s="275">
        <f>+Spending!S41</f>
        <v>0</v>
      </c>
      <c r="J32" s="274">
        <f t="shared" si="1"/>
        <v>0</v>
      </c>
      <c r="K32" s="172"/>
      <c r="P32" s="105"/>
      <c r="Q32" s="105"/>
      <c r="R32" s="105"/>
      <c r="S32" s="105"/>
      <c r="T32" s="105"/>
      <c r="U32" s="105"/>
      <c r="V32" s="105"/>
      <c r="W32" s="105"/>
      <c r="X32" s="105"/>
    </row>
    <row r="33" spans="1:24" x14ac:dyDescent="0.2">
      <c r="A33" s="273" t="s">
        <v>72</v>
      </c>
      <c r="B33" s="274">
        <f>IF($H$5&gt;$H$7,IFERROR(HLOOKUP($H$5,'9-1-2014 Rates to current'!$J$54:$AL$91,21,FALSE),0),0)</f>
        <v>0</v>
      </c>
      <c r="C33" s="274">
        <f>IF($H$5&gt;$H$7,(HLOOKUP($H$7,'9-1-2014 Rates to current'!$J$54:$AL$91,21,FALSE)),0)</f>
        <v>0</v>
      </c>
      <c r="D33" s="275">
        <f>+Spending!P42</f>
        <v>0</v>
      </c>
      <c r="E33" s="276">
        <f t="shared" si="0"/>
        <v>0</v>
      </c>
      <c r="F33" s="273" t="s">
        <v>72</v>
      </c>
      <c r="G33" s="274">
        <f>IF($H$6&gt;$H$7,IFERROR(HLOOKUP($H$6,'9-1-2014 Rates to current'!$J$54:$AL$91,21,FALSE),0),0)</f>
        <v>0</v>
      </c>
      <c r="H33" s="274">
        <f>IF($H$6&gt;$H$7,(HLOOKUP($H$7,'9-1-2014 Rates to current'!$J$54:$AL$91,2,FALSE)),0)</f>
        <v>0</v>
      </c>
      <c r="I33" s="275">
        <f>+Spending!S42</f>
        <v>0</v>
      </c>
      <c r="J33" s="274">
        <f t="shared" si="1"/>
        <v>0</v>
      </c>
      <c r="K33" s="172"/>
      <c r="P33" s="105"/>
      <c r="Q33" s="105"/>
      <c r="R33" s="105"/>
      <c r="S33" s="105"/>
      <c r="T33" s="105"/>
      <c r="U33" s="105"/>
      <c r="V33" s="105"/>
      <c r="W33" s="105"/>
      <c r="X33" s="105"/>
    </row>
    <row r="34" spans="1:24" x14ac:dyDescent="0.2">
      <c r="A34" s="273" t="s">
        <v>73</v>
      </c>
      <c r="B34" s="274">
        <f>IF($H$5&gt;$H$7,IFERROR(HLOOKUP($H$5,'9-1-2014 Rates to current'!$J$54:$AL$91,22,FALSE),0),0)</f>
        <v>0</v>
      </c>
      <c r="C34" s="274">
        <f>IF($H$5&gt;$H$7,(HLOOKUP($H$7,'9-1-2014 Rates to current'!$J$54:$AL$91,22,FALSE)),0)</f>
        <v>0</v>
      </c>
      <c r="D34" s="275">
        <f>+Spending!P43</f>
        <v>0</v>
      </c>
      <c r="E34" s="276">
        <f t="shared" si="0"/>
        <v>0</v>
      </c>
      <c r="F34" s="273" t="s">
        <v>73</v>
      </c>
      <c r="G34" s="274">
        <f>IF($H$6&gt;$H$7,IFERROR(HLOOKUP($H$6,'9-1-2014 Rates to current'!$J$54:$AL$91,22,FALSE),0),0)</f>
        <v>0</v>
      </c>
      <c r="H34" s="274">
        <f>IF($H$6&gt;$H$7,(HLOOKUP($H$7,'9-1-2014 Rates to current'!$J$54:$AL$91,22,FALSE)),0)</f>
        <v>0</v>
      </c>
      <c r="I34" s="275">
        <f>+Spending!S43</f>
        <v>0</v>
      </c>
      <c r="J34" s="274">
        <f t="shared" si="1"/>
        <v>0</v>
      </c>
      <c r="K34" s="172"/>
      <c r="P34" s="105"/>
      <c r="Q34" s="105"/>
      <c r="R34" s="105"/>
      <c r="S34" s="105"/>
      <c r="T34" s="105"/>
      <c r="U34" s="105"/>
      <c r="V34" s="105"/>
      <c r="W34" s="105"/>
      <c r="X34" s="105"/>
    </row>
    <row r="35" spans="1:24" x14ac:dyDescent="0.2">
      <c r="A35" s="273" t="s">
        <v>74</v>
      </c>
      <c r="B35" s="274">
        <f>IF($H$5&gt;$H$7,IFERROR(HLOOKUP($H$5,'9-1-2014 Rates to current'!$J$54:$AL$91,23,FALSE),0),0)</f>
        <v>0</v>
      </c>
      <c r="C35" s="274">
        <f>IF($H$5&gt;$H$7,(HLOOKUP($H$7,'9-1-2014 Rates to current'!$J$54:$AL$91,23,FALSE)),0)</f>
        <v>0</v>
      </c>
      <c r="D35" s="275">
        <f>+Spending!P44</f>
        <v>0</v>
      </c>
      <c r="E35" s="276">
        <f t="shared" si="0"/>
        <v>0</v>
      </c>
      <c r="F35" s="273" t="s">
        <v>74</v>
      </c>
      <c r="G35" s="274">
        <f>IF($H$6&gt;$H$7,IFERROR(HLOOKUP($H$6,'9-1-2014 Rates to current'!$J$54:$AL$91,23,FALSE),0),0)</f>
        <v>0</v>
      </c>
      <c r="H35" s="274">
        <f>IF($H$6&gt;$H$7,(HLOOKUP($H$7,'9-1-2014 Rates to current'!$J$54:$AL$91,23,FALSE)),0)</f>
        <v>0</v>
      </c>
      <c r="I35" s="275">
        <f>+Spending!S44</f>
        <v>0</v>
      </c>
      <c r="J35" s="274">
        <f t="shared" si="1"/>
        <v>0</v>
      </c>
      <c r="K35" s="172"/>
      <c r="P35" s="105"/>
      <c r="Q35" s="105"/>
      <c r="R35" s="105"/>
      <c r="S35" s="105"/>
      <c r="T35" s="105"/>
      <c r="U35" s="105"/>
      <c r="V35" s="105"/>
      <c r="W35" s="105"/>
      <c r="X35" s="105"/>
    </row>
    <row r="36" spans="1:24" x14ac:dyDescent="0.2">
      <c r="A36" s="273" t="s">
        <v>75</v>
      </c>
      <c r="B36" s="274">
        <f>IF($H$5&gt;$H$7,IFERROR(HLOOKUP($H$5,'9-1-2014 Rates to current'!$J$54:$AL$91,24,FALSE),0),0)</f>
        <v>0</v>
      </c>
      <c r="C36" s="274">
        <f>IF($H$5&gt;$H$7,(HLOOKUP($H$7,'9-1-2014 Rates to current'!$J$54:$AL$91,24,FALSE)),0)</f>
        <v>0</v>
      </c>
      <c r="D36" s="275">
        <f>+Spending!P45</f>
        <v>0</v>
      </c>
      <c r="E36" s="276">
        <f t="shared" si="0"/>
        <v>0</v>
      </c>
      <c r="F36" s="273" t="s">
        <v>75</v>
      </c>
      <c r="G36" s="274">
        <f>IF($H$6&gt;$H$7,IFERROR(HLOOKUP($H$6,'9-1-2014 Rates to current'!$J$54:$AL$91,24,FALSE),0),0)</f>
        <v>0</v>
      </c>
      <c r="H36" s="274">
        <f>IF($H$6&gt;$H$7,(HLOOKUP($H$7,'9-1-2014 Rates to current'!$J$54:$AL$91,24,FALSE)),0)</f>
        <v>0</v>
      </c>
      <c r="I36" s="275">
        <f>+Spending!S45</f>
        <v>0</v>
      </c>
      <c r="J36" s="274">
        <f t="shared" si="1"/>
        <v>0</v>
      </c>
      <c r="K36" s="172"/>
      <c r="P36" s="105"/>
      <c r="Q36" s="105"/>
      <c r="R36" s="105"/>
      <c r="S36" s="105"/>
      <c r="T36" s="105"/>
      <c r="U36" s="105"/>
      <c r="V36" s="105"/>
      <c r="W36" s="105"/>
      <c r="X36" s="105"/>
    </row>
    <row r="37" spans="1:24" x14ac:dyDescent="0.2">
      <c r="A37" s="273" t="s">
        <v>76</v>
      </c>
      <c r="B37" s="274">
        <f>IF($H$5&gt;$H$7,IFERROR(HLOOKUP($H$5,'9-1-2014 Rates to current'!$J$54:$AL$91,25,FALSE),0),0)</f>
        <v>0</v>
      </c>
      <c r="C37" s="274">
        <f>IF($H$5&gt;$H$7,(HLOOKUP($H$7,'9-1-2014 Rates to current'!$J$54:$AL$91,25,FALSE)),0)</f>
        <v>0</v>
      </c>
      <c r="D37" s="275">
        <f>+Spending!P46</f>
        <v>0</v>
      </c>
      <c r="E37" s="276">
        <f t="shared" si="0"/>
        <v>0</v>
      </c>
      <c r="F37" s="273" t="s">
        <v>76</v>
      </c>
      <c r="G37" s="274">
        <f>IF($H$6&gt;$H$7,IFERROR(HLOOKUP($H$6,'9-1-2014 Rates to current'!$J$54:$AL$91,25,FALSE),0),0)</f>
        <v>0</v>
      </c>
      <c r="H37" s="274">
        <f>IF($H$6&gt;$H$7,(HLOOKUP($H$7,'9-1-2014 Rates to current'!$J$54:$AL$91,25,FALSE)),0)</f>
        <v>0</v>
      </c>
      <c r="I37" s="275">
        <f>+Spending!S46</f>
        <v>0</v>
      </c>
      <c r="J37" s="274">
        <f t="shared" si="1"/>
        <v>0</v>
      </c>
      <c r="K37" s="172"/>
      <c r="P37" s="105"/>
      <c r="Q37" s="105"/>
      <c r="R37" s="105"/>
      <c r="S37" s="105"/>
      <c r="T37" s="105"/>
      <c r="U37" s="105"/>
      <c r="V37" s="105"/>
      <c r="W37" s="105"/>
      <c r="X37" s="105"/>
    </row>
    <row r="38" spans="1:24" x14ac:dyDescent="0.2">
      <c r="A38" s="273" t="s">
        <v>77</v>
      </c>
      <c r="B38" s="274">
        <f>IF($H$5&gt;$H$7,IFERROR(HLOOKUP($H$5,'9-1-2014 Rates to current'!$J$54:$AL$91,26,FALSE),0),0)</f>
        <v>0</v>
      </c>
      <c r="C38" s="274">
        <f>IF($H$5&gt;$H$7,(HLOOKUP($H$7,'9-1-2014 Rates to current'!$J$54:$AL$91,26,FALSE)),0)</f>
        <v>0</v>
      </c>
      <c r="D38" s="275">
        <f>+Spending!P47</f>
        <v>0</v>
      </c>
      <c r="E38" s="276">
        <f t="shared" si="0"/>
        <v>0</v>
      </c>
      <c r="F38" s="273" t="s">
        <v>77</v>
      </c>
      <c r="G38" s="274">
        <f>IF($H$6&gt;$H$7,IFERROR(HLOOKUP($H$6,'9-1-2014 Rates to current'!$J$54:$AL$91,26,FALSE),0),0)</f>
        <v>0</v>
      </c>
      <c r="H38" s="274">
        <f>IF($H$6&gt;$H$7,(HLOOKUP($H$7,'9-1-2014 Rates to current'!$J$54:$AL$91,26,FALSE)),0)</f>
        <v>0</v>
      </c>
      <c r="I38" s="275">
        <f>+Spending!S47</f>
        <v>0</v>
      </c>
      <c r="J38" s="274">
        <f t="shared" si="1"/>
        <v>0</v>
      </c>
      <c r="K38" s="172"/>
      <c r="P38" s="105"/>
      <c r="Q38" s="105"/>
      <c r="R38" s="105"/>
      <c r="S38" s="105"/>
      <c r="T38" s="105"/>
      <c r="U38" s="105"/>
      <c r="V38" s="105"/>
      <c r="W38" s="105"/>
      <c r="X38" s="105"/>
    </row>
    <row r="39" spans="1:24" x14ac:dyDescent="0.2">
      <c r="A39" s="273" t="s">
        <v>78</v>
      </c>
      <c r="B39" s="274">
        <f>IF($H$5&gt;$H$7,IFERROR(HLOOKUP($H$5,'9-1-2014 Rates to current'!$J$54:$AL$91,27,FALSE),0),0)</f>
        <v>0</v>
      </c>
      <c r="C39" s="274">
        <f>IF($H$5&gt;$H$7,(HLOOKUP($H$7,'9-1-2014 Rates to current'!$J$54:$AL$91,27,FALSE)),0)</f>
        <v>0</v>
      </c>
      <c r="D39" s="275">
        <f>+Spending!P48</f>
        <v>0</v>
      </c>
      <c r="E39" s="276">
        <f t="shared" si="0"/>
        <v>0</v>
      </c>
      <c r="F39" s="273" t="s">
        <v>78</v>
      </c>
      <c r="G39" s="274">
        <f>IF($H$6&gt;$H$7,IFERROR(HLOOKUP($H$6,'9-1-2014 Rates to current'!$J$54:$AL$91,27,FALSE),0),0)</f>
        <v>0</v>
      </c>
      <c r="H39" s="274">
        <f>IF($H$6&gt;$H$7,(HLOOKUP($H$7,'9-1-2014 Rates to current'!$J$54:$AL$91,27,FALSE)),0)</f>
        <v>0</v>
      </c>
      <c r="I39" s="275">
        <f>+Spending!S48</f>
        <v>0</v>
      </c>
      <c r="J39" s="274">
        <f t="shared" si="1"/>
        <v>0</v>
      </c>
      <c r="K39" s="172"/>
      <c r="P39" s="105"/>
      <c r="Q39" s="105"/>
      <c r="R39" s="105"/>
      <c r="S39" s="105"/>
      <c r="T39" s="105"/>
      <c r="U39" s="105"/>
      <c r="V39" s="105"/>
      <c r="W39" s="105"/>
      <c r="X39" s="105"/>
    </row>
    <row r="40" spans="1:24" x14ac:dyDescent="0.2">
      <c r="A40" s="273" t="s">
        <v>79</v>
      </c>
      <c r="B40" s="274">
        <f>IF($H$5&gt;$H$7,IFERROR(HLOOKUP($H$5,'9-1-2014 Rates to current'!$J$54:$AL$91,28,FALSE),0),0)</f>
        <v>0</v>
      </c>
      <c r="C40" s="274">
        <f>IF($H$5&gt;$H$7,(HLOOKUP($H$7,'9-1-2014 Rates to current'!$J$54:$AL$91,28,FALSE)),0)</f>
        <v>0</v>
      </c>
      <c r="D40" s="275">
        <f>+Spending!P49</f>
        <v>0</v>
      </c>
      <c r="E40" s="276">
        <f t="shared" si="0"/>
        <v>0</v>
      </c>
      <c r="F40" s="273" t="s">
        <v>79</v>
      </c>
      <c r="G40" s="274">
        <f>IF($H$6&gt;$H$7,IFERROR(HLOOKUP($H$6,'9-1-2014 Rates to current'!$J$54:$AL$91,28,FALSE),0),0)</f>
        <v>0</v>
      </c>
      <c r="H40" s="274">
        <f>IF($H$6&gt;$H$7,(HLOOKUP($H$7,'9-1-2014 Rates to current'!$J$54:$AL$91,28,FALSE)),0)</f>
        <v>0</v>
      </c>
      <c r="I40" s="275">
        <f>+Spending!S49</f>
        <v>0</v>
      </c>
      <c r="J40" s="274">
        <f t="shared" si="1"/>
        <v>0</v>
      </c>
      <c r="K40" s="172"/>
      <c r="P40" s="105"/>
      <c r="Q40" s="105"/>
      <c r="R40" s="105"/>
      <c r="S40" s="105"/>
      <c r="T40" s="105"/>
      <c r="U40" s="105"/>
      <c r="V40" s="105"/>
      <c r="W40" s="105"/>
      <c r="X40" s="105"/>
    </row>
    <row r="41" spans="1:24" x14ac:dyDescent="0.2">
      <c r="A41" s="273" t="s">
        <v>80</v>
      </c>
      <c r="B41" s="274">
        <f>IF($H$5&gt;$H$7,IFERROR(HLOOKUP($H$5,'9-1-2014 Rates to current'!$J$54:$AL$91,29,FALSE),0),0)</f>
        <v>0</v>
      </c>
      <c r="C41" s="274">
        <f>IF($H$5&gt;$H$7,(HLOOKUP($H$7,'9-1-2014 Rates to current'!$J$54:$AL$91,29,FALSE)),0)</f>
        <v>0</v>
      </c>
      <c r="D41" s="275">
        <f>+Spending!P50</f>
        <v>0</v>
      </c>
      <c r="E41" s="276">
        <f t="shared" si="0"/>
        <v>0</v>
      </c>
      <c r="F41" s="273" t="s">
        <v>80</v>
      </c>
      <c r="G41" s="274">
        <f>IF($H$6&gt;$H$7,IFERROR(HLOOKUP($H$6,'9-1-2014 Rates to current'!$J$54:$AL$91,29,FALSE),0),0)</f>
        <v>0</v>
      </c>
      <c r="H41" s="274">
        <f>IF($H$6&gt;$H$7,(HLOOKUP($H$7,'9-1-2014 Rates to current'!$J$54:$AL$91,29,FALSE)),0)</f>
        <v>0</v>
      </c>
      <c r="I41" s="275">
        <f>+Spending!S50</f>
        <v>0</v>
      </c>
      <c r="J41" s="274">
        <f t="shared" si="1"/>
        <v>0</v>
      </c>
      <c r="K41" s="172"/>
      <c r="P41" s="105"/>
      <c r="Q41" s="105"/>
      <c r="R41" s="105"/>
      <c r="S41" s="105"/>
      <c r="T41" s="105"/>
      <c r="U41" s="105"/>
      <c r="V41" s="105"/>
      <c r="W41" s="105"/>
      <c r="X41" s="105"/>
    </row>
    <row r="42" spans="1:24" x14ac:dyDescent="0.2">
      <c r="A42" s="273" t="s">
        <v>53</v>
      </c>
      <c r="B42" s="274">
        <f>IF($H$5&gt;$H$7,IFERROR(HLOOKUP($H$5,'9-1-2014 Rates to current'!$J$54:$AL$91,30,FALSE),0),0)</f>
        <v>0</v>
      </c>
      <c r="C42" s="274">
        <f>IF($H$5&gt;$H$7,(HLOOKUP($H$7,'9-1-2014 Rates to current'!$J$54:$AL$91,30,FALSE)),0)</f>
        <v>0</v>
      </c>
      <c r="D42" s="275">
        <f>+Spending!P51</f>
        <v>0</v>
      </c>
      <c r="E42" s="276">
        <f t="shared" si="0"/>
        <v>0</v>
      </c>
      <c r="F42" s="273" t="s">
        <v>53</v>
      </c>
      <c r="G42" s="274">
        <f>IF($H$6&gt;$H$7,IFERROR(HLOOKUP($H$6,'9-1-2014 Rates to current'!$J$54:$AL$91,30,FALSE),0),0)</f>
        <v>0</v>
      </c>
      <c r="H42" s="274">
        <f>IF($H$6&gt;$H$7,(HLOOKUP($H$7,'9-1-2014 Rates to current'!$J$54:$AL$91,30,FALSE)),0)</f>
        <v>0</v>
      </c>
      <c r="I42" s="275">
        <f>+Spending!S51</f>
        <v>0</v>
      </c>
      <c r="J42" s="274">
        <f t="shared" si="1"/>
        <v>0</v>
      </c>
      <c r="K42" s="172"/>
      <c r="P42" s="105"/>
      <c r="Q42" s="105"/>
      <c r="R42" s="105"/>
      <c r="S42" s="105"/>
      <c r="T42" s="105"/>
      <c r="U42" s="105"/>
      <c r="V42" s="105"/>
      <c r="W42" s="105"/>
      <c r="X42" s="105"/>
    </row>
    <row r="43" spans="1:24" x14ac:dyDescent="0.2">
      <c r="A43" s="273" t="s">
        <v>81</v>
      </c>
      <c r="B43" s="274">
        <f>IF($H$5&gt;$H$7,IFERROR(HLOOKUP($H$5,'9-1-2014 Rates to current'!$J$54:$AL$91,31,FALSE),0),0)</f>
        <v>0</v>
      </c>
      <c r="C43" s="274">
        <f>IF($H$5&gt;$H$7,(HLOOKUP($H$7,'9-1-2014 Rates to current'!$J$54:$AL$91,31,FALSE)),0)</f>
        <v>0</v>
      </c>
      <c r="D43" s="275">
        <f>+Spending!P52</f>
        <v>0</v>
      </c>
      <c r="E43" s="276">
        <f t="shared" si="0"/>
        <v>0</v>
      </c>
      <c r="F43" s="273" t="s">
        <v>81</v>
      </c>
      <c r="G43" s="274">
        <f>IF($H$6&gt;$H$7,IFERROR(HLOOKUP($H$6,'9-1-2014 Rates to current'!$J$54:$AL$91,31,FALSE),0),0)</f>
        <v>0</v>
      </c>
      <c r="H43" s="274">
        <f>IF($H$6&gt;$H$7,(HLOOKUP($H$7,'9-1-2014 Rates to current'!$J$54:$AL$91,31,FALSE)),0)</f>
        <v>0</v>
      </c>
      <c r="I43" s="275">
        <f>+Spending!S52</f>
        <v>0</v>
      </c>
      <c r="J43" s="274">
        <f t="shared" si="1"/>
        <v>0</v>
      </c>
      <c r="K43" s="172"/>
      <c r="P43" s="105"/>
      <c r="Q43" s="105"/>
      <c r="R43" s="105"/>
      <c r="S43" s="105"/>
      <c r="T43" s="105"/>
      <c r="U43" s="105"/>
      <c r="V43" s="105"/>
      <c r="W43" s="105"/>
      <c r="X43" s="105"/>
    </row>
    <row r="44" spans="1:24" x14ac:dyDescent="0.2">
      <c r="A44" s="273" t="s">
        <v>82</v>
      </c>
      <c r="B44" s="274">
        <f>IF($H$5&gt;$H$7,IFERROR(HLOOKUP($H$5,'9-1-2014 Rates to current'!$J$54:$AL$91,32,FALSE),0),0)</f>
        <v>0</v>
      </c>
      <c r="C44" s="274">
        <f>IF($H$5&gt;$H$7,(HLOOKUP($H$7,'9-1-2014 Rates to current'!$J$54:$AL$91,32,FALSE)),0)</f>
        <v>0</v>
      </c>
      <c r="D44" s="275">
        <f>+Spending!P53</f>
        <v>0</v>
      </c>
      <c r="E44" s="276">
        <f t="shared" si="0"/>
        <v>0</v>
      </c>
      <c r="F44" s="273" t="s">
        <v>82</v>
      </c>
      <c r="G44" s="274">
        <f>IF($H$6&gt;$H$7,IFERROR(HLOOKUP($H$6,'9-1-2014 Rates to current'!$J$54:$AL$91,32,FALSE),0),0)</f>
        <v>0</v>
      </c>
      <c r="H44" s="274">
        <f>IF($H$6&gt;$H$7,(HLOOKUP($H$7,'9-1-2014 Rates to current'!$J$54:$AL$91,32,FALSE)),0)</f>
        <v>0</v>
      </c>
      <c r="I44" s="275">
        <f>+Spending!S53</f>
        <v>0</v>
      </c>
      <c r="J44" s="274">
        <f t="shared" si="1"/>
        <v>0</v>
      </c>
      <c r="K44" s="172"/>
      <c r="P44" s="105"/>
      <c r="Q44" s="105"/>
      <c r="R44" s="105"/>
      <c r="S44" s="105"/>
      <c r="T44" s="105"/>
      <c r="U44" s="105"/>
      <c r="V44" s="105"/>
      <c r="W44" s="105"/>
      <c r="X44" s="105"/>
    </row>
    <row r="45" spans="1:24" x14ac:dyDescent="0.2">
      <c r="A45" s="273" t="s">
        <v>83</v>
      </c>
      <c r="B45" s="274">
        <f>IF($H$5&gt;$H$7,IFERROR(HLOOKUP($H$5,'9-1-2014 Rates to current'!$J$54:$AL$91,33,FALSE),0),0)</f>
        <v>0</v>
      </c>
      <c r="C45" s="274">
        <f>IF($H$5&gt;$H$7,(HLOOKUP($H$7,'9-1-2014 Rates to current'!$J$54:$AL$91,33,FALSE)),0)</f>
        <v>0</v>
      </c>
      <c r="D45" s="275">
        <f>+Spending!P54</f>
        <v>0</v>
      </c>
      <c r="E45" s="276">
        <f t="shared" si="0"/>
        <v>0</v>
      </c>
      <c r="F45" s="273" t="s">
        <v>83</v>
      </c>
      <c r="G45" s="274">
        <f>IF($H$6&gt;$H$7,IFERROR(HLOOKUP($H$6,'9-1-2014 Rates to current'!$J$54:$AL$91,33,FALSE),0),0)</f>
        <v>0</v>
      </c>
      <c r="H45" s="274">
        <f>IF($H$6&gt;$H$7,(HLOOKUP($H$7,'9-1-2014 Rates to current'!$J$54:$AL$91,33,FALSE)),0)</f>
        <v>0</v>
      </c>
      <c r="I45" s="275">
        <f>+Spending!S54</f>
        <v>0</v>
      </c>
      <c r="J45" s="274">
        <f t="shared" si="1"/>
        <v>0</v>
      </c>
      <c r="K45" s="172"/>
      <c r="P45" s="105"/>
      <c r="Q45" s="105"/>
      <c r="R45" s="105"/>
      <c r="S45" s="105"/>
      <c r="T45" s="105"/>
      <c r="U45" s="105"/>
      <c r="V45" s="105"/>
      <c r="W45" s="105"/>
      <c r="X45" s="105"/>
    </row>
    <row r="46" spans="1:24" x14ac:dyDescent="0.2">
      <c r="A46" s="273" t="s">
        <v>84</v>
      </c>
      <c r="B46" s="274">
        <f>IF($H$5&gt;$H$7,IFERROR(HLOOKUP($H$5,'9-1-2014 Rates to current'!$J$54:$AL$91,34,FALSE),0),0)</f>
        <v>0</v>
      </c>
      <c r="C46" s="274">
        <f>IF($H$5&gt;$H$7,(HLOOKUP($H$7,'9-1-2014 Rates to current'!$J$54:$AL$91,34,FALSE)),0)</f>
        <v>0</v>
      </c>
      <c r="D46" s="275">
        <f>+Spending!P55</f>
        <v>0</v>
      </c>
      <c r="E46" s="276">
        <f t="shared" si="0"/>
        <v>0</v>
      </c>
      <c r="F46" s="273" t="s">
        <v>84</v>
      </c>
      <c r="G46" s="274">
        <f>IF($H$6&gt;$H$7,IFERROR(HLOOKUP($H$6,'9-1-2014 Rates to current'!$J$54:$AL$91,34,FALSE),0),0)</f>
        <v>0</v>
      </c>
      <c r="H46" s="274">
        <f>IF($H$6&gt;$H$7,(HLOOKUP($H$7,'9-1-2014 Rates to current'!$J$54:$AL$91,34,FALSE)),0)</f>
        <v>0</v>
      </c>
      <c r="I46" s="275">
        <f>+Spending!S55</f>
        <v>0</v>
      </c>
      <c r="J46" s="274">
        <f t="shared" si="1"/>
        <v>0</v>
      </c>
      <c r="K46" s="172"/>
    </row>
    <row r="47" spans="1:24" x14ac:dyDescent="0.2">
      <c r="A47" s="273" t="s">
        <v>85</v>
      </c>
      <c r="B47" s="274">
        <f>IF($H$5&gt;$H$7,IFERROR(HLOOKUP($H$5,'9-1-2014 Rates to current'!$J$54:$AL$91,35,FALSE),0),0)</f>
        <v>0</v>
      </c>
      <c r="C47" s="274">
        <f>IF($H$5&gt;$H$7,(HLOOKUP($H$7,'9-1-2014 Rates to current'!$J$54:$AL$91,35,FALSE)),0)</f>
        <v>0</v>
      </c>
      <c r="D47" s="275">
        <f>+Spending!P56</f>
        <v>0</v>
      </c>
      <c r="E47" s="276">
        <f t="shared" si="0"/>
        <v>0</v>
      </c>
      <c r="F47" s="273" t="s">
        <v>85</v>
      </c>
      <c r="G47" s="274">
        <f>IF($H$6&gt;$H$7,IFERROR(HLOOKUP($H$6,'9-1-2014 Rates to current'!$J$54:$AL$91,35,FALSE),0),0)</f>
        <v>0</v>
      </c>
      <c r="H47" s="274">
        <f>IF($H$6&gt;$H$7,(HLOOKUP($H$7,'9-1-2014 Rates to current'!$J$54:$AL$91,35,FALSE)),0)</f>
        <v>0</v>
      </c>
      <c r="I47" s="275">
        <f>+Spending!S56</f>
        <v>0</v>
      </c>
      <c r="J47" s="274">
        <f t="shared" si="1"/>
        <v>0</v>
      </c>
      <c r="K47" s="172"/>
    </row>
    <row r="48" spans="1:24" x14ac:dyDescent="0.2">
      <c r="A48" s="277" t="s">
        <v>86</v>
      </c>
      <c r="B48" s="278">
        <f>IF($H$5&gt;$H$7,IFERROR(HLOOKUP($H$5,'9-1-2014 Rates to current'!$J$54:$AL$91,36,FALSE),0),0)</f>
        <v>0</v>
      </c>
      <c r="C48" s="274">
        <f>IF($H$5&gt;$H$7,(HLOOKUP($H$7,'9-1-2014 Rates to current'!$J$54:$AL$91,36,FALSE)),0)</f>
        <v>0</v>
      </c>
      <c r="D48" s="279">
        <f>+Spending!P57+Spending!P58+Spending!P59</f>
        <v>0</v>
      </c>
      <c r="E48" s="280">
        <f t="shared" si="0"/>
        <v>0</v>
      </c>
      <c r="F48" s="277" t="s">
        <v>86</v>
      </c>
      <c r="G48" s="274">
        <f>IF($H$6&gt;$H$7,IFERROR(HLOOKUP($H$6,'9-1-2014 Rates to current'!$J$54:$AL$91,36,FALSE),0),0)</f>
        <v>0</v>
      </c>
      <c r="H48" s="274">
        <f>IF($H$6&gt;$H$7,(HLOOKUP($H$7,'9-1-2014 Rates to current'!$J$54:$AL$91,36,FALSE)),0)</f>
        <v>0</v>
      </c>
      <c r="I48" s="279">
        <f>+Spending!S57+Spending!S58+Spending!S59</f>
        <v>0</v>
      </c>
      <c r="J48" s="278">
        <f t="shared" si="1"/>
        <v>0</v>
      </c>
      <c r="K48" s="172"/>
    </row>
    <row r="49" spans="1:10" s="305" customFormat="1" ht="12" x14ac:dyDescent="0.2">
      <c r="A49" s="334" t="s">
        <v>15</v>
      </c>
      <c r="B49" s="312"/>
      <c r="C49" s="312"/>
      <c r="D49" s="312">
        <f>SUM(D15:D48)</f>
        <v>0</v>
      </c>
      <c r="E49" s="335">
        <f>SUM(E15:E48)</f>
        <v>0</v>
      </c>
      <c r="F49" s="311"/>
      <c r="G49" s="312"/>
      <c r="H49" s="312"/>
      <c r="I49" s="312">
        <f>SUM(I15:I48)</f>
        <v>0</v>
      </c>
      <c r="J49" s="336">
        <f>SUM(J15:J48)</f>
        <v>0</v>
      </c>
    </row>
    <row r="50" spans="1:10" s="305" customFormat="1" ht="12" x14ac:dyDescent="0.2"/>
    <row r="51" spans="1:10" s="305" customFormat="1" ht="12" x14ac:dyDescent="0.2">
      <c r="A51" s="311" t="s">
        <v>91</v>
      </c>
      <c r="F51" s="306"/>
    </row>
    <row r="52" spans="1:10" s="305" customFormat="1" ht="12" x14ac:dyDescent="0.2">
      <c r="A52" s="529" t="s">
        <v>96</v>
      </c>
      <c r="B52" s="530"/>
      <c r="C52" s="530"/>
      <c r="D52" s="530"/>
      <c r="E52" s="530"/>
      <c r="F52" s="530"/>
      <c r="G52" s="530"/>
      <c r="H52" s="530"/>
      <c r="I52" s="530"/>
      <c r="J52" s="531"/>
    </row>
    <row r="53" spans="1:10" ht="51.75" customHeight="1" x14ac:dyDescent="0.2">
      <c r="A53" s="532" t="s">
        <v>301</v>
      </c>
      <c r="B53" s="533"/>
      <c r="C53" s="533"/>
      <c r="D53" s="533"/>
      <c r="E53" s="533"/>
      <c r="F53" s="533"/>
      <c r="G53" s="533"/>
      <c r="H53" s="533"/>
      <c r="I53" s="533"/>
      <c r="J53" s="534"/>
    </row>
    <row r="54" spans="1:10" ht="39.75" customHeight="1" x14ac:dyDescent="0.2">
      <c r="A54" s="513" t="s">
        <v>302</v>
      </c>
      <c r="B54" s="514"/>
      <c r="C54" s="514"/>
      <c r="D54" s="514"/>
      <c r="E54" s="514"/>
      <c r="F54" s="514"/>
      <c r="G54" s="514"/>
      <c r="H54" s="514"/>
      <c r="I54" s="514"/>
      <c r="J54" s="515"/>
    </row>
    <row r="55" spans="1:10" x14ac:dyDescent="0.2">
      <c r="A55" s="89"/>
      <c r="F55" s="89"/>
    </row>
    <row r="56" spans="1:10" x14ac:dyDescent="0.2">
      <c r="A56" s="448" t="s">
        <v>318</v>
      </c>
      <c r="D56" s="449">
        <f>IF(H7*0.4&lt;Spending!I106,(D49+I49)*(H7*0.4),Spending!I106*(D49+I49))</f>
        <v>0</v>
      </c>
      <c r="F56" s="89"/>
    </row>
    <row r="57" spans="1:10" x14ac:dyDescent="0.2">
      <c r="A57" s="89"/>
      <c r="F57" s="89"/>
    </row>
    <row r="58" spans="1:10" x14ac:dyDescent="0.2">
      <c r="A58" s="89"/>
      <c r="F58" s="89"/>
    </row>
    <row r="59" spans="1:10" x14ac:dyDescent="0.2">
      <c r="A59" s="89"/>
      <c r="F59" s="89"/>
    </row>
    <row r="60" spans="1:10" x14ac:dyDescent="0.2">
      <c r="A60" s="89"/>
      <c r="F60" s="89"/>
    </row>
    <row r="61" spans="1:10" x14ac:dyDescent="0.2">
      <c r="A61" s="89"/>
      <c r="E61" s="463"/>
      <c r="F61" s="89"/>
    </row>
    <row r="62" spans="1:10" x14ac:dyDescent="0.2">
      <c r="A62" s="89"/>
      <c r="F62" s="89"/>
    </row>
    <row r="63" spans="1:10" x14ac:dyDescent="0.2">
      <c r="A63" s="89"/>
      <c r="F63" s="89"/>
    </row>
    <row r="64" spans="1:10" x14ac:dyDescent="0.2">
      <c r="A64" s="89"/>
      <c r="F64" s="89"/>
    </row>
    <row r="65" spans="1:6" x14ac:dyDescent="0.2">
      <c r="A65" s="89"/>
      <c r="F65" s="89"/>
    </row>
    <row r="66" spans="1:6" x14ac:dyDescent="0.2">
      <c r="A66" s="89"/>
      <c r="F66" s="89"/>
    </row>
    <row r="67" spans="1:6" x14ac:dyDescent="0.2">
      <c r="A67" s="89"/>
      <c r="F67" s="89"/>
    </row>
    <row r="68" spans="1:6" x14ac:dyDescent="0.2">
      <c r="A68" s="89"/>
      <c r="F68" s="89"/>
    </row>
    <row r="69" spans="1:6" x14ac:dyDescent="0.2">
      <c r="A69" s="89"/>
      <c r="F69" s="89"/>
    </row>
    <row r="70" spans="1:6" x14ac:dyDescent="0.2">
      <c r="A70" s="89"/>
      <c r="F70" s="89"/>
    </row>
    <row r="71" spans="1:6" x14ac:dyDescent="0.2">
      <c r="A71" s="89"/>
      <c r="F71" s="89"/>
    </row>
    <row r="72" spans="1:6" x14ac:dyDescent="0.2">
      <c r="A72" s="89"/>
      <c r="F72" s="89"/>
    </row>
    <row r="73" spans="1:6" x14ac:dyDescent="0.2">
      <c r="A73" s="89"/>
      <c r="F73" s="89"/>
    </row>
    <row r="74" spans="1:6" x14ac:dyDescent="0.2">
      <c r="A74" s="89"/>
      <c r="F74" s="89"/>
    </row>
    <row r="75" spans="1:6" x14ac:dyDescent="0.2">
      <c r="A75" s="89"/>
      <c r="F75" s="89"/>
    </row>
    <row r="76" spans="1:6" x14ac:dyDescent="0.2">
      <c r="A76" s="89"/>
      <c r="F76" s="89"/>
    </row>
    <row r="77" spans="1:6" x14ac:dyDescent="0.2">
      <c r="A77" s="89"/>
      <c r="F77" s="89"/>
    </row>
    <row r="78" spans="1:6" x14ac:dyDescent="0.2">
      <c r="A78" s="89"/>
      <c r="F78" s="89"/>
    </row>
    <row r="79" spans="1:6" x14ac:dyDescent="0.2">
      <c r="A79" s="89"/>
      <c r="F79" s="89"/>
    </row>
    <row r="80" spans="1:6" x14ac:dyDescent="0.2">
      <c r="A80" s="89"/>
      <c r="F80" s="89"/>
    </row>
  </sheetData>
  <sheetProtection algorithmName="SHA-512" hashValue="l2iyjGq1cglE2VE/KpGj7ZoxFLDBSGSf7s4/FbpeZB3Xc+ty9CzDJLN5IgxRmIhIA/Pfo+97BWqLMJXImfjYMA==" saltValue="pSEc9bjrJE6lhe43XFavOw==" spinCount="100000" sheet="1" objects="1" scenarios="1"/>
  <mergeCells count="24">
    <mergeCell ref="A1:J1"/>
    <mergeCell ref="C5:D5"/>
    <mergeCell ref="F6:G6"/>
    <mergeCell ref="A5:B5"/>
    <mergeCell ref="H7:I7"/>
    <mergeCell ref="F5:G5"/>
    <mergeCell ref="H5:I5"/>
    <mergeCell ref="H6:I6"/>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s>
  <phoneticPr fontId="0" type="noConversion"/>
  <printOptions horizontalCentered="1"/>
  <pageMargins left="0.5" right="0" top="0.5" bottom="0.25" header="0.5" footer="0.5"/>
  <pageSetup scale="88"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B8C-50CD-47F5-B4AA-ED55D58A6D06}">
  <dimension ref="A1:I43"/>
  <sheetViews>
    <sheetView workbookViewId="0">
      <selection activeCell="G44" sqref="G44"/>
    </sheetView>
  </sheetViews>
  <sheetFormatPr defaultRowHeight="12.75" x14ac:dyDescent="0.2"/>
  <cols>
    <col min="1" max="1" width="21.5703125" style="1" customWidth="1"/>
    <col min="2" max="2" width="13.42578125" bestFit="1" customWidth="1"/>
    <col min="4" max="4" width="14.42578125" customWidth="1"/>
    <col min="7" max="7" width="13.85546875" customWidth="1"/>
    <col min="9" max="9" width="13.5703125" bestFit="1" customWidth="1"/>
  </cols>
  <sheetData>
    <row r="1" spans="1:9" x14ac:dyDescent="0.2">
      <c r="A1" s="431" t="s">
        <v>92</v>
      </c>
      <c r="B1" s="432" t="s">
        <v>305</v>
      </c>
      <c r="C1" s="432" t="s">
        <v>306</v>
      </c>
      <c r="D1" s="432" t="s">
        <v>307</v>
      </c>
      <c r="E1" s="432" t="s">
        <v>308</v>
      </c>
      <c r="F1" s="432" t="s">
        <v>309</v>
      </c>
      <c r="G1" s="432" t="s">
        <v>310</v>
      </c>
      <c r="H1" s="432"/>
      <c r="I1" s="433"/>
    </row>
    <row r="2" spans="1:9" x14ac:dyDescent="0.2">
      <c r="A2" s="434" t="s">
        <v>54</v>
      </c>
      <c r="B2">
        <f>'Summary Report '!D15</f>
        <v>0</v>
      </c>
      <c r="C2" s="435">
        <f>'Summary Report '!B15</f>
        <v>0</v>
      </c>
      <c r="D2" s="435">
        <f>+B2*C2</f>
        <v>0</v>
      </c>
      <c r="E2">
        <f>'Summary Report '!I15</f>
        <v>0</v>
      </c>
      <c r="F2" s="435">
        <f>'Summary Report '!G15</f>
        <v>0</v>
      </c>
      <c r="G2" s="435">
        <f>+E2*F2</f>
        <v>0</v>
      </c>
    </row>
    <row r="3" spans="1:9" x14ac:dyDescent="0.2">
      <c r="A3" s="434" t="s">
        <v>55</v>
      </c>
      <c r="B3">
        <f>'Summary Report '!D16</f>
        <v>0</v>
      </c>
      <c r="C3" s="435">
        <f>'Summary Report '!B16</f>
        <v>0</v>
      </c>
      <c r="D3" s="435">
        <f t="shared" ref="D3:D35" si="0">+B3*C3</f>
        <v>0</v>
      </c>
      <c r="E3">
        <f>'Summary Report '!I16</f>
        <v>0</v>
      </c>
      <c r="F3" s="435">
        <f>'Summary Report '!G16</f>
        <v>0</v>
      </c>
      <c r="G3" s="435">
        <f t="shared" ref="G3:G35" si="1">+E3*F3</f>
        <v>0</v>
      </c>
    </row>
    <row r="4" spans="1:9" x14ac:dyDescent="0.2">
      <c r="A4" s="434" t="s">
        <v>56</v>
      </c>
      <c r="B4">
        <f>'Summary Report '!D17</f>
        <v>0</v>
      </c>
      <c r="C4" s="435">
        <f>'Summary Report '!B17</f>
        <v>0</v>
      </c>
      <c r="D4" s="435">
        <f t="shared" si="0"/>
        <v>0</v>
      </c>
      <c r="E4">
        <f>'Summary Report '!I17</f>
        <v>0</v>
      </c>
      <c r="F4" s="435">
        <f>'Summary Report '!G17</f>
        <v>0</v>
      </c>
      <c r="G4" s="435">
        <f t="shared" si="1"/>
        <v>0</v>
      </c>
    </row>
    <row r="5" spans="1:9" x14ac:dyDescent="0.2">
      <c r="A5" s="434" t="s">
        <v>57</v>
      </c>
      <c r="B5">
        <f>'Summary Report '!D18</f>
        <v>0</v>
      </c>
      <c r="C5" s="435">
        <f>'Summary Report '!B18</f>
        <v>0</v>
      </c>
      <c r="D5" s="435">
        <f t="shared" si="0"/>
        <v>0</v>
      </c>
      <c r="E5">
        <f>'Summary Report '!I18</f>
        <v>0</v>
      </c>
      <c r="F5" s="435">
        <f>'Summary Report '!G18</f>
        <v>0</v>
      </c>
      <c r="G5" s="435">
        <f t="shared" si="1"/>
        <v>0</v>
      </c>
    </row>
    <row r="6" spans="1:9" x14ac:dyDescent="0.2">
      <c r="A6" s="434" t="s">
        <v>58</v>
      </c>
      <c r="B6">
        <f>'Summary Report '!D19</f>
        <v>0</v>
      </c>
      <c r="C6" s="435">
        <f>'Summary Report '!B19</f>
        <v>0</v>
      </c>
      <c r="D6" s="435">
        <f t="shared" si="0"/>
        <v>0</v>
      </c>
      <c r="E6">
        <f>'Summary Report '!I19</f>
        <v>0</v>
      </c>
      <c r="F6" s="435">
        <f>'Summary Report '!G19</f>
        <v>0</v>
      </c>
      <c r="G6" s="435">
        <f t="shared" si="1"/>
        <v>0</v>
      </c>
    </row>
    <row r="7" spans="1:9" x14ac:dyDescent="0.2">
      <c r="A7" s="434" t="s">
        <v>59</v>
      </c>
      <c r="B7">
        <f>'Summary Report '!D20</f>
        <v>0</v>
      </c>
      <c r="C7" s="435">
        <f>'Summary Report '!B20</f>
        <v>0</v>
      </c>
      <c r="D7" s="435">
        <f t="shared" si="0"/>
        <v>0</v>
      </c>
      <c r="E7">
        <f>'Summary Report '!I20</f>
        <v>0</v>
      </c>
      <c r="F7" s="435">
        <f>'Summary Report '!G20</f>
        <v>0</v>
      </c>
      <c r="G7" s="435">
        <f t="shared" si="1"/>
        <v>0</v>
      </c>
    </row>
    <row r="8" spans="1:9" x14ac:dyDescent="0.2">
      <c r="A8" s="434" t="s">
        <v>60</v>
      </c>
      <c r="B8">
        <f>'Summary Report '!D21</f>
        <v>0</v>
      </c>
      <c r="C8" s="435">
        <f>'Summary Report '!B21</f>
        <v>0</v>
      </c>
      <c r="D8" s="435">
        <f t="shared" si="0"/>
        <v>0</v>
      </c>
      <c r="E8">
        <f>'Summary Report '!I21</f>
        <v>0</v>
      </c>
      <c r="F8" s="435">
        <f>'Summary Report '!G21</f>
        <v>0</v>
      </c>
      <c r="G8" s="435">
        <f t="shared" si="1"/>
        <v>0</v>
      </c>
    </row>
    <row r="9" spans="1:9" x14ac:dyDescent="0.2">
      <c r="A9" s="434" t="s">
        <v>61</v>
      </c>
      <c r="B9">
        <f>'Summary Report '!D22</f>
        <v>0</v>
      </c>
      <c r="C9" s="435">
        <f>'Summary Report '!B22</f>
        <v>0</v>
      </c>
      <c r="D9" s="435">
        <f t="shared" si="0"/>
        <v>0</v>
      </c>
      <c r="E9">
        <f>'Summary Report '!I22</f>
        <v>0</v>
      </c>
      <c r="F9" s="435">
        <f>'Summary Report '!G22</f>
        <v>0</v>
      </c>
      <c r="G9" s="435">
        <f t="shared" si="1"/>
        <v>0</v>
      </c>
    </row>
    <row r="10" spans="1:9" x14ac:dyDescent="0.2">
      <c r="A10" s="434" t="s">
        <v>62</v>
      </c>
      <c r="B10">
        <f>'Summary Report '!D23</f>
        <v>0</v>
      </c>
      <c r="C10" s="435">
        <f>'Summary Report '!B23</f>
        <v>0</v>
      </c>
      <c r="D10" s="435">
        <f t="shared" si="0"/>
        <v>0</v>
      </c>
      <c r="E10">
        <f>'Summary Report '!I23</f>
        <v>0</v>
      </c>
      <c r="F10" s="435">
        <f>'Summary Report '!G23</f>
        <v>0</v>
      </c>
      <c r="G10" s="435">
        <f t="shared" si="1"/>
        <v>0</v>
      </c>
    </row>
    <row r="11" spans="1:9" x14ac:dyDescent="0.2">
      <c r="A11" s="434" t="s">
        <v>63</v>
      </c>
      <c r="B11">
        <f>'Summary Report '!D24</f>
        <v>0</v>
      </c>
      <c r="C11" s="435">
        <f>'Summary Report '!B24</f>
        <v>0</v>
      </c>
      <c r="D11" s="435">
        <f t="shared" si="0"/>
        <v>0</v>
      </c>
      <c r="E11">
        <f>'Summary Report '!I24</f>
        <v>0</v>
      </c>
      <c r="F11" s="435">
        <f>'Summary Report '!G24</f>
        <v>0</v>
      </c>
      <c r="G11" s="435">
        <f t="shared" si="1"/>
        <v>0</v>
      </c>
    </row>
    <row r="12" spans="1:9" x14ac:dyDescent="0.2">
      <c r="A12" s="434" t="s">
        <v>64</v>
      </c>
      <c r="B12">
        <f>'Summary Report '!D25</f>
        <v>0</v>
      </c>
      <c r="C12" s="435">
        <f>'Summary Report '!B25</f>
        <v>0</v>
      </c>
      <c r="D12" s="435">
        <f t="shared" si="0"/>
        <v>0</v>
      </c>
      <c r="E12">
        <f>'Summary Report '!I25</f>
        <v>0</v>
      </c>
      <c r="F12" s="435">
        <f>'Summary Report '!G25</f>
        <v>0</v>
      </c>
      <c r="G12" s="435">
        <f t="shared" si="1"/>
        <v>0</v>
      </c>
    </row>
    <row r="13" spans="1:9" x14ac:dyDescent="0.2">
      <c r="A13" s="434" t="s">
        <v>65</v>
      </c>
      <c r="B13">
        <f>'Summary Report '!D26</f>
        <v>0</v>
      </c>
      <c r="C13" s="435">
        <f>'Summary Report '!B26</f>
        <v>0</v>
      </c>
      <c r="D13" s="435">
        <f t="shared" si="0"/>
        <v>0</v>
      </c>
      <c r="E13">
        <f>'Summary Report '!I26</f>
        <v>0</v>
      </c>
      <c r="F13" s="435">
        <f>'Summary Report '!G26</f>
        <v>0</v>
      </c>
      <c r="G13" s="435">
        <f t="shared" si="1"/>
        <v>0</v>
      </c>
    </row>
    <row r="14" spans="1:9" x14ac:dyDescent="0.2">
      <c r="A14" s="434" t="s">
        <v>66</v>
      </c>
      <c r="B14">
        <f>'Summary Report '!D27</f>
        <v>0</v>
      </c>
      <c r="C14" s="435">
        <f>'Summary Report '!B27</f>
        <v>0</v>
      </c>
      <c r="D14" s="435">
        <f t="shared" si="0"/>
        <v>0</v>
      </c>
      <c r="E14">
        <f>'Summary Report '!I27</f>
        <v>0</v>
      </c>
      <c r="F14" s="435">
        <f>'Summary Report '!G27</f>
        <v>0</v>
      </c>
      <c r="G14" s="435">
        <f t="shared" si="1"/>
        <v>0</v>
      </c>
    </row>
    <row r="15" spans="1:9" x14ac:dyDescent="0.2">
      <c r="A15" s="434" t="s">
        <v>67</v>
      </c>
      <c r="B15">
        <f>'Summary Report '!D28</f>
        <v>0</v>
      </c>
      <c r="C15" s="435">
        <f>'Summary Report '!B28</f>
        <v>0</v>
      </c>
      <c r="D15" s="435">
        <f t="shared" si="0"/>
        <v>0</v>
      </c>
      <c r="E15">
        <f>'Summary Report '!I28</f>
        <v>0</v>
      </c>
      <c r="F15" s="435">
        <f>'Summary Report '!G28</f>
        <v>0</v>
      </c>
      <c r="G15" s="435">
        <f t="shared" si="1"/>
        <v>0</v>
      </c>
    </row>
    <row r="16" spans="1:9" x14ac:dyDescent="0.2">
      <c r="A16" s="434" t="s">
        <v>68</v>
      </c>
      <c r="B16">
        <f>'Summary Report '!D29</f>
        <v>0</v>
      </c>
      <c r="C16" s="435">
        <f>'Summary Report '!B29</f>
        <v>0</v>
      </c>
      <c r="D16" s="435">
        <f t="shared" si="0"/>
        <v>0</v>
      </c>
      <c r="E16">
        <f>'Summary Report '!I29</f>
        <v>0</v>
      </c>
      <c r="F16" s="435">
        <f>'Summary Report '!G29</f>
        <v>0</v>
      </c>
      <c r="G16" s="435">
        <f t="shared" si="1"/>
        <v>0</v>
      </c>
    </row>
    <row r="17" spans="1:7" x14ac:dyDescent="0.2">
      <c r="A17" s="434" t="s">
        <v>69</v>
      </c>
      <c r="B17">
        <f>'Summary Report '!D30</f>
        <v>0</v>
      </c>
      <c r="C17" s="435">
        <f>'Summary Report '!B30</f>
        <v>0</v>
      </c>
      <c r="D17" s="435">
        <f t="shared" si="0"/>
        <v>0</v>
      </c>
      <c r="E17">
        <f>'Summary Report '!I30</f>
        <v>0</v>
      </c>
      <c r="F17" s="435">
        <f>'Summary Report '!G30</f>
        <v>0</v>
      </c>
      <c r="G17" s="435">
        <f t="shared" si="1"/>
        <v>0</v>
      </c>
    </row>
    <row r="18" spans="1:7" x14ac:dyDescent="0.2">
      <c r="A18" s="434" t="s">
        <v>70</v>
      </c>
      <c r="B18">
        <f>'Summary Report '!D31</f>
        <v>0</v>
      </c>
      <c r="C18" s="435">
        <f>'Summary Report '!B31</f>
        <v>0</v>
      </c>
      <c r="D18" s="435">
        <f t="shared" si="0"/>
        <v>0</v>
      </c>
      <c r="E18">
        <f>'Summary Report '!I31</f>
        <v>0</v>
      </c>
      <c r="F18" s="435">
        <f>'Summary Report '!G31</f>
        <v>0</v>
      </c>
      <c r="G18" s="435">
        <f t="shared" si="1"/>
        <v>0</v>
      </c>
    </row>
    <row r="19" spans="1:7" x14ac:dyDescent="0.2">
      <c r="A19" s="434" t="s">
        <v>71</v>
      </c>
      <c r="B19">
        <f>'Summary Report '!D32</f>
        <v>0</v>
      </c>
      <c r="C19" s="435">
        <f>'Summary Report '!B32</f>
        <v>0</v>
      </c>
      <c r="D19" s="435">
        <f t="shared" si="0"/>
        <v>0</v>
      </c>
      <c r="E19">
        <f>'Summary Report '!I32</f>
        <v>0</v>
      </c>
      <c r="F19" s="435">
        <f>'Summary Report '!G32</f>
        <v>0</v>
      </c>
      <c r="G19" s="435">
        <f t="shared" si="1"/>
        <v>0</v>
      </c>
    </row>
    <row r="20" spans="1:7" x14ac:dyDescent="0.2">
      <c r="A20" s="434" t="s">
        <v>72</v>
      </c>
      <c r="B20">
        <f>'Summary Report '!D33</f>
        <v>0</v>
      </c>
      <c r="C20" s="435">
        <f>'Summary Report '!B33</f>
        <v>0</v>
      </c>
      <c r="D20" s="435">
        <f t="shared" si="0"/>
        <v>0</v>
      </c>
      <c r="E20">
        <f>'Summary Report '!I33</f>
        <v>0</v>
      </c>
      <c r="F20" s="435">
        <f>'Summary Report '!G33</f>
        <v>0</v>
      </c>
      <c r="G20" s="435">
        <f t="shared" si="1"/>
        <v>0</v>
      </c>
    </row>
    <row r="21" spans="1:7" x14ac:dyDescent="0.2">
      <c r="A21" s="434" t="s">
        <v>73</v>
      </c>
      <c r="B21">
        <f>'Summary Report '!D34</f>
        <v>0</v>
      </c>
      <c r="C21" s="435">
        <f>'Summary Report '!B34</f>
        <v>0</v>
      </c>
      <c r="D21" s="435">
        <f t="shared" si="0"/>
        <v>0</v>
      </c>
      <c r="E21">
        <f>'Summary Report '!I34</f>
        <v>0</v>
      </c>
      <c r="F21" s="435">
        <f>'Summary Report '!G34</f>
        <v>0</v>
      </c>
      <c r="G21" s="435">
        <f t="shared" si="1"/>
        <v>0</v>
      </c>
    </row>
    <row r="22" spans="1:7" x14ac:dyDescent="0.2">
      <c r="A22" s="434" t="s">
        <v>74</v>
      </c>
      <c r="B22">
        <f>'Summary Report '!D35</f>
        <v>0</v>
      </c>
      <c r="C22" s="435">
        <f>'Summary Report '!B35</f>
        <v>0</v>
      </c>
      <c r="D22" s="435">
        <f t="shared" si="0"/>
        <v>0</v>
      </c>
      <c r="E22">
        <f>'Summary Report '!I35</f>
        <v>0</v>
      </c>
      <c r="F22" s="435">
        <f>'Summary Report '!G35</f>
        <v>0</v>
      </c>
      <c r="G22" s="435">
        <f t="shared" si="1"/>
        <v>0</v>
      </c>
    </row>
    <row r="23" spans="1:7" x14ac:dyDescent="0.2">
      <c r="A23" s="434" t="s">
        <v>75</v>
      </c>
      <c r="B23">
        <f>'Summary Report '!D36</f>
        <v>0</v>
      </c>
      <c r="C23" s="435">
        <f>'Summary Report '!B36</f>
        <v>0</v>
      </c>
      <c r="D23" s="435">
        <f t="shared" si="0"/>
        <v>0</v>
      </c>
      <c r="E23">
        <f>'Summary Report '!I36</f>
        <v>0</v>
      </c>
      <c r="F23" s="435">
        <f>'Summary Report '!G36</f>
        <v>0</v>
      </c>
      <c r="G23" s="435">
        <f t="shared" si="1"/>
        <v>0</v>
      </c>
    </row>
    <row r="24" spans="1:7" x14ac:dyDescent="0.2">
      <c r="A24" s="434" t="s">
        <v>76</v>
      </c>
      <c r="B24">
        <f>'Summary Report '!D37</f>
        <v>0</v>
      </c>
      <c r="C24" s="435">
        <f>'Summary Report '!B37</f>
        <v>0</v>
      </c>
      <c r="D24" s="435">
        <f t="shared" si="0"/>
        <v>0</v>
      </c>
      <c r="E24">
        <f>'Summary Report '!I37</f>
        <v>0</v>
      </c>
      <c r="F24" s="435">
        <f>'Summary Report '!G37</f>
        <v>0</v>
      </c>
      <c r="G24" s="435">
        <f t="shared" si="1"/>
        <v>0</v>
      </c>
    </row>
    <row r="25" spans="1:7" x14ac:dyDescent="0.2">
      <c r="A25" s="434" t="s">
        <v>77</v>
      </c>
      <c r="B25">
        <f>'Summary Report '!D38</f>
        <v>0</v>
      </c>
      <c r="C25" s="435">
        <f>'Summary Report '!B38</f>
        <v>0</v>
      </c>
      <c r="D25" s="435">
        <f t="shared" si="0"/>
        <v>0</v>
      </c>
      <c r="E25">
        <f>'Summary Report '!I38</f>
        <v>0</v>
      </c>
      <c r="F25" s="435">
        <f>'Summary Report '!G38</f>
        <v>0</v>
      </c>
      <c r="G25" s="435">
        <f t="shared" si="1"/>
        <v>0</v>
      </c>
    </row>
    <row r="26" spans="1:7" x14ac:dyDescent="0.2">
      <c r="A26" s="434" t="s">
        <v>78</v>
      </c>
      <c r="B26">
        <f>'Summary Report '!D39</f>
        <v>0</v>
      </c>
      <c r="C26" s="435">
        <f>'Summary Report '!B39</f>
        <v>0</v>
      </c>
      <c r="D26" s="435">
        <f t="shared" si="0"/>
        <v>0</v>
      </c>
      <c r="E26">
        <f>'Summary Report '!I39</f>
        <v>0</v>
      </c>
      <c r="F26" s="435">
        <f>'Summary Report '!G39</f>
        <v>0</v>
      </c>
      <c r="G26" s="435">
        <f t="shared" si="1"/>
        <v>0</v>
      </c>
    </row>
    <row r="27" spans="1:7" x14ac:dyDescent="0.2">
      <c r="A27" s="434" t="s">
        <v>79</v>
      </c>
      <c r="B27">
        <f>'Summary Report '!D40</f>
        <v>0</v>
      </c>
      <c r="C27" s="435">
        <f>'Summary Report '!B40</f>
        <v>0</v>
      </c>
      <c r="D27" s="435">
        <f t="shared" si="0"/>
        <v>0</v>
      </c>
      <c r="E27">
        <f>'Summary Report '!I40</f>
        <v>0</v>
      </c>
      <c r="F27" s="435">
        <f>'Summary Report '!G40</f>
        <v>0</v>
      </c>
      <c r="G27" s="435">
        <f t="shared" si="1"/>
        <v>0</v>
      </c>
    </row>
    <row r="28" spans="1:7" x14ac:dyDescent="0.2">
      <c r="A28" s="434" t="s">
        <v>80</v>
      </c>
      <c r="B28">
        <f>'Summary Report '!D41</f>
        <v>0</v>
      </c>
      <c r="C28" s="435">
        <f>'Summary Report '!B41</f>
        <v>0</v>
      </c>
      <c r="D28" s="435">
        <f t="shared" si="0"/>
        <v>0</v>
      </c>
      <c r="E28">
        <f>'Summary Report '!I41</f>
        <v>0</v>
      </c>
      <c r="F28" s="435">
        <f>'Summary Report '!G41</f>
        <v>0</v>
      </c>
      <c r="G28" s="435">
        <f t="shared" si="1"/>
        <v>0</v>
      </c>
    </row>
    <row r="29" spans="1:7" x14ac:dyDescent="0.2">
      <c r="A29" s="434" t="s">
        <v>53</v>
      </c>
      <c r="B29">
        <f>'Summary Report '!D42</f>
        <v>0</v>
      </c>
      <c r="C29" s="435">
        <f>'Summary Report '!B42</f>
        <v>0</v>
      </c>
      <c r="D29" s="435">
        <f t="shared" si="0"/>
        <v>0</v>
      </c>
      <c r="E29">
        <f>'Summary Report '!I42</f>
        <v>0</v>
      </c>
      <c r="F29" s="435">
        <f>'Summary Report '!G42</f>
        <v>0</v>
      </c>
      <c r="G29" s="435">
        <f t="shared" si="1"/>
        <v>0</v>
      </c>
    </row>
    <row r="30" spans="1:7" x14ac:dyDescent="0.2">
      <c r="A30" s="434" t="s">
        <v>81</v>
      </c>
      <c r="B30">
        <f>'Summary Report '!D43</f>
        <v>0</v>
      </c>
      <c r="C30" s="435">
        <f>'Summary Report '!B43</f>
        <v>0</v>
      </c>
      <c r="D30" s="435">
        <f t="shared" si="0"/>
        <v>0</v>
      </c>
      <c r="E30">
        <f>'Summary Report '!I43</f>
        <v>0</v>
      </c>
      <c r="F30" s="435">
        <f>'Summary Report '!G43</f>
        <v>0</v>
      </c>
      <c r="G30" s="435">
        <f t="shared" si="1"/>
        <v>0</v>
      </c>
    </row>
    <row r="31" spans="1:7" x14ac:dyDescent="0.2">
      <c r="A31" s="434" t="s">
        <v>82</v>
      </c>
      <c r="B31">
        <f>'Summary Report '!D44</f>
        <v>0</v>
      </c>
      <c r="C31" s="435">
        <f>'Summary Report '!B44</f>
        <v>0</v>
      </c>
      <c r="D31" s="435">
        <f t="shared" si="0"/>
        <v>0</v>
      </c>
      <c r="E31">
        <f>'Summary Report '!I44</f>
        <v>0</v>
      </c>
      <c r="F31" s="435">
        <f>'Summary Report '!G44</f>
        <v>0</v>
      </c>
      <c r="G31" s="435">
        <f t="shared" si="1"/>
        <v>0</v>
      </c>
    </row>
    <row r="32" spans="1:7" x14ac:dyDescent="0.2">
      <c r="A32" s="434" t="s">
        <v>83</v>
      </c>
      <c r="B32">
        <f>'Summary Report '!D45</f>
        <v>0</v>
      </c>
      <c r="C32" s="435">
        <f>'Summary Report '!B45</f>
        <v>0</v>
      </c>
      <c r="D32" s="435">
        <f t="shared" si="0"/>
        <v>0</v>
      </c>
      <c r="E32">
        <f>'Summary Report '!I45</f>
        <v>0</v>
      </c>
      <c r="F32" s="435">
        <f>'Summary Report '!G45</f>
        <v>0</v>
      </c>
      <c r="G32" s="435">
        <f t="shared" si="1"/>
        <v>0</v>
      </c>
    </row>
    <row r="33" spans="1:9" x14ac:dyDescent="0.2">
      <c r="A33" s="434" t="s">
        <v>84</v>
      </c>
      <c r="B33">
        <f>'Summary Report '!D46</f>
        <v>0</v>
      </c>
      <c r="C33" s="435">
        <f>'Summary Report '!B46</f>
        <v>0</v>
      </c>
      <c r="D33" s="435">
        <f t="shared" si="0"/>
        <v>0</v>
      </c>
      <c r="E33">
        <f>'Summary Report '!I46</f>
        <v>0</v>
      </c>
      <c r="F33" s="435">
        <f>'Summary Report '!G46</f>
        <v>0</v>
      </c>
      <c r="G33" s="435">
        <f t="shared" si="1"/>
        <v>0</v>
      </c>
    </row>
    <row r="34" spans="1:9" x14ac:dyDescent="0.2">
      <c r="A34" s="434" t="s">
        <v>85</v>
      </c>
      <c r="B34">
        <f>'Summary Report '!D47</f>
        <v>0</v>
      </c>
      <c r="C34" s="435">
        <f>'Summary Report '!B47</f>
        <v>0</v>
      </c>
      <c r="D34" s="435">
        <f t="shared" si="0"/>
        <v>0</v>
      </c>
      <c r="E34">
        <f>'Summary Report '!I47</f>
        <v>0</v>
      </c>
      <c r="F34" s="435">
        <f>'Summary Report '!G47</f>
        <v>0</v>
      </c>
      <c r="G34" s="435">
        <f t="shared" si="1"/>
        <v>0</v>
      </c>
    </row>
    <row r="35" spans="1:9" x14ac:dyDescent="0.2">
      <c r="A35" s="434" t="s">
        <v>86</v>
      </c>
      <c r="B35">
        <f>'Summary Report '!D48</f>
        <v>0</v>
      </c>
      <c r="C35" s="435">
        <f>'Summary Report '!B48</f>
        <v>0</v>
      </c>
      <c r="D35" s="435">
        <f t="shared" si="0"/>
        <v>0</v>
      </c>
      <c r="E35">
        <f>'Summary Report '!I48</f>
        <v>0</v>
      </c>
      <c r="F35" s="435">
        <f>'Summary Report '!G48</f>
        <v>0</v>
      </c>
      <c r="G35" s="435">
        <f t="shared" si="1"/>
        <v>0</v>
      </c>
      <c r="I35" s="432" t="s">
        <v>311</v>
      </c>
    </row>
    <row r="36" spans="1:9" s="432" customFormat="1" x14ac:dyDescent="0.2">
      <c r="A36" s="436" t="s">
        <v>221</v>
      </c>
      <c r="D36" s="437">
        <f>SUM(D2:D35)</f>
        <v>0</v>
      </c>
      <c r="G36" s="437">
        <f>SUM(G2:G35)</f>
        <v>0</v>
      </c>
      <c r="I36" s="437">
        <f>+D36+G36</f>
        <v>0</v>
      </c>
    </row>
    <row r="38" spans="1:9" ht="13.5" thickBot="1" x14ac:dyDescent="0.25"/>
    <row r="39" spans="1:9" ht="13.5" thickBot="1" x14ac:dyDescent="0.25">
      <c r="A39" s="438" t="s">
        <v>312</v>
      </c>
      <c r="B39" s="439">
        <f>I36</f>
        <v>0</v>
      </c>
    </row>
    <row r="40" spans="1:9" ht="13.5" thickBot="1" x14ac:dyDescent="0.25"/>
    <row r="41" spans="1:9" ht="13.5" thickBot="1" x14ac:dyDescent="0.25">
      <c r="A41" s="438" t="s">
        <v>313</v>
      </c>
      <c r="B41" s="440">
        <f>'Summary Report '!H11</f>
        <v>0</v>
      </c>
    </row>
    <row r="42" spans="1:9" ht="13.5" thickBot="1" x14ac:dyDescent="0.25"/>
    <row r="43" spans="1:9" ht="13.5" thickBot="1" x14ac:dyDescent="0.25">
      <c r="A43" s="438" t="s">
        <v>314</v>
      </c>
      <c r="B43" s="441"/>
      <c r="C43" s="442">
        <f>IFERROR(+B41/B39,0)</f>
        <v>0</v>
      </c>
      <c r="D43" s="443"/>
    </row>
  </sheetData>
  <sheetProtection algorithmName="SHA-512" hashValue="wsBOi78j7+3nQKiugBzAe8xvMDu4BWG9JMdacJLNGSjf3Id4PbJ8s/zqorxPk9JMxVpcrmwWUFNodErkbhUqJQ==" saltValue="+etby39MfBcrluYCwC/r7A=="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tabSelected="1" workbookViewId="0">
      <selection activeCell="F11" sqref="F11"/>
    </sheetView>
  </sheetViews>
  <sheetFormatPr defaultRowHeight="12.75" x14ac:dyDescent="0.2"/>
  <cols>
    <col min="10" max="11" width="9.140625" style="1" customWidth="1"/>
  </cols>
  <sheetData>
    <row r="1" spans="1:38" ht="18" x14ac:dyDescent="0.25">
      <c r="A1" s="39" t="s">
        <v>109</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8" x14ac:dyDescent="0.25">
      <c r="A2" s="39" t="s">
        <v>110</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35" customHeight="1" x14ac:dyDescent="0.2">
      <c r="A4" s="549" t="s">
        <v>111</v>
      </c>
      <c r="B4" s="550"/>
      <c r="C4" s="550"/>
      <c r="D4" s="550"/>
      <c r="E4" s="550"/>
      <c r="F4" s="550"/>
      <c r="G4" s="550"/>
      <c r="H4" s="550"/>
      <c r="I4" s="550"/>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
      <c r="A5" s="549"/>
      <c r="B5" s="550"/>
      <c r="C5" s="550"/>
      <c r="D5" s="550"/>
      <c r="E5" s="550"/>
      <c r="F5" s="550"/>
      <c r="G5" s="550"/>
      <c r="H5" s="550"/>
      <c r="I5" s="550"/>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
      <c r="A6" s="549"/>
      <c r="B6" s="550"/>
      <c r="C6" s="550"/>
      <c r="D6" s="550"/>
      <c r="E6" s="550"/>
      <c r="F6" s="550"/>
      <c r="G6" s="550"/>
      <c r="H6" s="550"/>
      <c r="I6" s="550"/>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
      <c r="A7" s="549"/>
      <c r="B7" s="550"/>
      <c r="C7" s="550"/>
      <c r="D7" s="550"/>
      <c r="E7" s="550"/>
      <c r="F7" s="550"/>
      <c r="G7" s="550"/>
      <c r="H7" s="550"/>
      <c r="I7" s="550"/>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
      <c r="A8" s="549"/>
      <c r="B8" s="550"/>
      <c r="C8" s="550"/>
      <c r="D8" s="550"/>
      <c r="E8" s="550"/>
      <c r="F8" s="550"/>
      <c r="G8" s="550"/>
      <c r="H8" s="550"/>
      <c r="I8" s="550"/>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5" customHeight="1" x14ac:dyDescent="0.2">
      <c r="A9" s="549"/>
      <c r="B9" s="550"/>
      <c r="C9" s="550"/>
      <c r="D9" s="550"/>
      <c r="E9" s="550"/>
      <c r="F9" s="550"/>
      <c r="G9" s="550"/>
      <c r="H9" s="550"/>
      <c r="I9" s="550"/>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75" x14ac:dyDescent="0.25">
      <c r="A11" s="324" t="s">
        <v>113</v>
      </c>
      <c r="B11" s="325"/>
      <c r="C11" s="325"/>
      <c r="D11" s="325"/>
      <c r="E11" s="325"/>
      <c r="F11" s="325"/>
      <c r="G11" s="326"/>
      <c r="H11" s="33"/>
      <c r="I11" s="33"/>
      <c r="J11" s="32" t="s">
        <v>112</v>
      </c>
      <c r="K11" s="36">
        <v>0</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8.25" x14ac:dyDescent="0.2">
      <c r="A12" s="37" t="s">
        <v>92</v>
      </c>
      <c r="B12" s="61" t="s">
        <v>114</v>
      </c>
      <c r="C12" s="61" t="s">
        <v>115</v>
      </c>
      <c r="D12" s="62" t="s">
        <v>116</v>
      </c>
      <c r="E12" s="61" t="s">
        <v>117</v>
      </c>
      <c r="F12" s="61" t="s">
        <v>118</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
      <c r="A50" s="48" t="s">
        <v>119</v>
      </c>
      <c r="B50" s="64">
        <v>96.81</v>
      </c>
      <c r="C50" s="64">
        <v>31.81</v>
      </c>
      <c r="D50" s="49"/>
      <c r="E50" s="49"/>
      <c r="F50" s="49"/>
      <c r="G50" s="50">
        <v>128.62</v>
      </c>
      <c r="H50" s="33"/>
      <c r="I50" s="33"/>
      <c r="J50" s="67" t="s">
        <v>119</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
      <c r="A51" s="51" t="s">
        <v>120</v>
      </c>
      <c r="B51" s="50">
        <v>38.72</v>
      </c>
      <c r="C51" s="50">
        <v>12.73</v>
      </c>
      <c r="D51" s="49"/>
      <c r="E51" s="49"/>
      <c r="F51" s="49"/>
      <c r="G51" s="50">
        <v>51.45</v>
      </c>
      <c r="H51" s="33"/>
      <c r="I51" s="33"/>
      <c r="J51" s="67" t="s">
        <v>120</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
      <c r="A52" s="51" t="s">
        <v>121</v>
      </c>
      <c r="B52" s="50">
        <v>58.09</v>
      </c>
      <c r="C52" s="50">
        <v>19.079999999999998</v>
      </c>
      <c r="D52" s="49"/>
      <c r="E52" s="49"/>
      <c r="F52" s="49"/>
      <c r="G52" s="50">
        <v>77.17</v>
      </c>
      <c r="H52" s="33"/>
      <c r="I52" s="33"/>
      <c r="J52" s="67" t="s">
        <v>121</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
      <c r="A53" s="33"/>
      <c r="B53" s="33"/>
      <c r="C53" s="33"/>
      <c r="D53" s="33"/>
      <c r="E53" s="33"/>
      <c r="F53" s="33"/>
      <c r="G53" s="33"/>
      <c r="H53" s="33"/>
      <c r="I53" s="33"/>
      <c r="K53" s="282" t="s">
        <v>251</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75" x14ac:dyDescent="0.25">
      <c r="A54" s="41" t="s">
        <v>122</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76.5" x14ac:dyDescent="0.2">
      <c r="A55" s="37" t="s">
        <v>92</v>
      </c>
      <c r="B55" s="61" t="s">
        <v>114</v>
      </c>
      <c r="C55" s="61" t="s">
        <v>115</v>
      </c>
      <c r="D55" s="62" t="s">
        <v>116</v>
      </c>
      <c r="E55" s="61" t="s">
        <v>117</v>
      </c>
      <c r="F55" s="61" t="s">
        <v>118</v>
      </c>
      <c r="G55" s="62" t="s">
        <v>15</v>
      </c>
      <c r="H55" s="53" t="s">
        <v>123</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
      <c r="A90" s="45" t="s">
        <v>87</v>
      </c>
      <c r="B90" s="66">
        <v>27.259999999999998</v>
      </c>
      <c r="C90" s="66">
        <v>9</v>
      </c>
      <c r="D90" s="66">
        <v>12.62</v>
      </c>
      <c r="E90" s="66">
        <v>27.25</v>
      </c>
      <c r="F90" s="66">
        <v>6.83</v>
      </c>
      <c r="G90" s="65">
        <v>82.96</v>
      </c>
      <c r="H90" s="54">
        <v>0.4</v>
      </c>
      <c r="I90" s="35"/>
      <c r="J90" s="74" t="s">
        <v>87</v>
      </c>
      <c r="K90" s="75">
        <v>82.559999999999988</v>
      </c>
      <c r="L90" s="76">
        <v>82.96</v>
      </c>
      <c r="M90" s="76">
        <v>83.36</v>
      </c>
      <c r="N90" s="76">
        <v>83.76</v>
      </c>
      <c r="O90" s="76">
        <v>84.160000000000011</v>
      </c>
      <c r="P90" s="76">
        <v>84.560000000000016</v>
      </c>
      <c r="Q90" s="76">
        <v>84.960000000000022</v>
      </c>
      <c r="R90" s="76">
        <v>85.360000000000028</v>
      </c>
      <c r="S90" s="76">
        <v>85.760000000000034</v>
      </c>
      <c r="T90" s="76">
        <v>86.160000000000039</v>
      </c>
      <c r="U90" s="76">
        <v>86.560000000000045</v>
      </c>
      <c r="V90" s="76">
        <v>86.960000000000051</v>
      </c>
      <c r="W90" s="76">
        <v>87.360000000000056</v>
      </c>
      <c r="X90" s="76">
        <v>87.760000000000062</v>
      </c>
      <c r="Y90" s="76">
        <v>88.160000000000068</v>
      </c>
      <c r="Z90" s="76">
        <v>88.560000000000073</v>
      </c>
      <c r="AA90" s="76">
        <v>88.960000000000079</v>
      </c>
      <c r="AB90" s="76">
        <v>89.360000000000085</v>
      </c>
      <c r="AC90" s="76">
        <v>89.76000000000009</v>
      </c>
      <c r="AD90" s="76">
        <v>90.160000000000096</v>
      </c>
      <c r="AE90" s="76">
        <v>90.560000000000102</v>
      </c>
      <c r="AF90" s="76">
        <v>90.960000000000107</v>
      </c>
      <c r="AG90" s="76">
        <v>91.360000000000113</v>
      </c>
      <c r="AH90" s="76">
        <v>91.760000000000119</v>
      </c>
      <c r="AI90" s="76">
        <v>92.160000000000124</v>
      </c>
      <c r="AJ90" s="76">
        <v>92.56000000000013</v>
      </c>
      <c r="AK90" s="76">
        <v>92.960000000000136</v>
      </c>
      <c r="AL90" s="76">
        <v>93.360000000000142</v>
      </c>
    </row>
    <row r="91" spans="1:38" x14ac:dyDescent="0.2">
      <c r="A91" s="45" t="s">
        <v>88</v>
      </c>
      <c r="B91" s="66">
        <v>27.259999999999998</v>
      </c>
      <c r="C91" s="66">
        <v>9</v>
      </c>
      <c r="D91" s="66">
        <v>12.62</v>
      </c>
      <c r="E91" s="66">
        <v>27.25</v>
      </c>
      <c r="F91" s="66">
        <v>6.83</v>
      </c>
      <c r="G91" s="65">
        <v>82.96</v>
      </c>
      <c r="H91" s="54">
        <v>0.4</v>
      </c>
      <c r="I91" s="35"/>
      <c r="J91" s="74" t="s">
        <v>88</v>
      </c>
      <c r="K91" s="75">
        <v>82.559999999999988</v>
      </c>
      <c r="L91" s="76">
        <v>82.96</v>
      </c>
      <c r="M91" s="76">
        <v>83.36</v>
      </c>
      <c r="N91" s="76">
        <v>83.76</v>
      </c>
      <c r="O91" s="76">
        <v>84.160000000000011</v>
      </c>
      <c r="P91" s="76">
        <v>84.560000000000016</v>
      </c>
      <c r="Q91" s="76">
        <v>84.960000000000022</v>
      </c>
      <c r="R91" s="76">
        <v>85.360000000000028</v>
      </c>
      <c r="S91" s="76">
        <v>85.760000000000034</v>
      </c>
      <c r="T91" s="76">
        <v>86.160000000000039</v>
      </c>
      <c r="U91" s="76">
        <v>86.560000000000045</v>
      </c>
      <c r="V91" s="76">
        <v>86.960000000000051</v>
      </c>
      <c r="W91" s="76">
        <v>87.360000000000056</v>
      </c>
      <c r="X91" s="76">
        <v>87.760000000000062</v>
      </c>
      <c r="Y91" s="76">
        <v>88.160000000000068</v>
      </c>
      <c r="Z91" s="76">
        <v>88.560000000000073</v>
      </c>
      <c r="AA91" s="76">
        <v>88.960000000000079</v>
      </c>
      <c r="AB91" s="76">
        <v>89.360000000000085</v>
      </c>
      <c r="AC91" s="76">
        <v>89.76000000000009</v>
      </c>
      <c r="AD91" s="76">
        <v>90.160000000000096</v>
      </c>
      <c r="AE91" s="76">
        <v>90.560000000000102</v>
      </c>
      <c r="AF91" s="76">
        <v>90.960000000000107</v>
      </c>
      <c r="AG91" s="76">
        <v>91.360000000000113</v>
      </c>
      <c r="AH91" s="76">
        <v>91.760000000000119</v>
      </c>
      <c r="AI91" s="76">
        <v>92.160000000000124</v>
      </c>
      <c r="AJ91" s="76">
        <v>92.56000000000013</v>
      </c>
      <c r="AK91" s="76">
        <v>92.960000000000136</v>
      </c>
      <c r="AL91" s="76">
        <v>93.360000000000142</v>
      </c>
    </row>
    <row r="92" spans="1:38" x14ac:dyDescent="0.2">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
      <c r="A93" s="58" t="s">
        <v>119</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
      <c r="A94" s="51" t="s">
        <v>120</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
      <c r="A95" s="59" t="s">
        <v>121</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75" x14ac:dyDescent="0.25">
      <c r="A97" s="41" t="s">
        <v>124</v>
      </c>
      <c r="B97" s="42"/>
      <c r="C97" s="42"/>
      <c r="D97" s="42"/>
      <c r="E97" s="42"/>
      <c r="F97" s="42"/>
      <c r="G97" s="42"/>
      <c r="H97" s="52"/>
      <c r="I97" s="33"/>
    </row>
    <row r="98" spans="1:9" ht="76.5" x14ac:dyDescent="0.2">
      <c r="A98" s="37" t="s">
        <v>92</v>
      </c>
      <c r="B98" s="61" t="s">
        <v>114</v>
      </c>
      <c r="C98" s="61" t="s">
        <v>115</v>
      </c>
      <c r="D98" s="62" t="s">
        <v>116</v>
      </c>
      <c r="E98" s="61" t="s">
        <v>117</v>
      </c>
      <c r="F98" s="61" t="s">
        <v>118</v>
      </c>
      <c r="G98" s="62" t="s">
        <v>15</v>
      </c>
      <c r="H98" s="53" t="s">
        <v>125</v>
      </c>
      <c r="I98" s="33"/>
    </row>
    <row r="99" spans="1:9" x14ac:dyDescent="0.2">
      <c r="A99" s="43" t="s">
        <v>54</v>
      </c>
      <c r="B99" s="66">
        <v>110.67000000000002</v>
      </c>
      <c r="C99" s="66">
        <v>36.79</v>
      </c>
      <c r="D99" s="66">
        <v>12.62</v>
      </c>
      <c r="E99" s="66">
        <v>27.25</v>
      </c>
      <c r="F99" s="66">
        <v>6.83</v>
      </c>
      <c r="G99" s="65">
        <v>194.16000000000003</v>
      </c>
      <c r="H99" s="54">
        <v>0.8</v>
      </c>
      <c r="I99" s="35"/>
    </row>
    <row r="100" spans="1:9" x14ac:dyDescent="0.2">
      <c r="A100" s="43" t="s">
        <v>55</v>
      </c>
      <c r="B100" s="66">
        <v>93.77000000000001</v>
      </c>
      <c r="C100" s="66">
        <v>31.12</v>
      </c>
      <c r="D100" s="66">
        <v>12.62</v>
      </c>
      <c r="E100" s="66">
        <v>27.25</v>
      </c>
      <c r="F100" s="66">
        <v>6.83</v>
      </c>
      <c r="G100" s="65">
        <v>171.59000000000003</v>
      </c>
      <c r="H100" s="54">
        <v>0.8</v>
      </c>
      <c r="I100" s="35"/>
    </row>
    <row r="101" spans="1:9" x14ac:dyDescent="0.2">
      <c r="A101" s="43" t="s">
        <v>56</v>
      </c>
      <c r="B101" s="66">
        <v>85.980000000000018</v>
      </c>
      <c r="C101" s="66">
        <v>28.52</v>
      </c>
      <c r="D101" s="66">
        <v>12.62</v>
      </c>
      <c r="E101" s="66">
        <v>27.25</v>
      </c>
      <c r="F101" s="66">
        <v>6.83</v>
      </c>
      <c r="G101" s="65">
        <v>161.20000000000002</v>
      </c>
      <c r="H101" s="54">
        <v>0.8</v>
      </c>
      <c r="I101" s="35"/>
    </row>
    <row r="102" spans="1:9" x14ac:dyDescent="0.2">
      <c r="A102" s="43" t="s">
        <v>57</v>
      </c>
      <c r="B102" s="66">
        <v>71.500000000000014</v>
      </c>
      <c r="C102" s="66">
        <v>23.67</v>
      </c>
      <c r="D102" s="66">
        <v>12.62</v>
      </c>
      <c r="E102" s="66">
        <v>27.25</v>
      </c>
      <c r="F102" s="66">
        <v>6.83</v>
      </c>
      <c r="G102" s="65">
        <v>141.87000000000003</v>
      </c>
      <c r="H102" s="54">
        <v>0.8</v>
      </c>
      <c r="I102" s="35"/>
    </row>
    <row r="103" spans="1:9" x14ac:dyDescent="0.2">
      <c r="A103" s="43" t="s">
        <v>58</v>
      </c>
      <c r="B103" s="66">
        <v>138.82000000000002</v>
      </c>
      <c r="C103" s="66">
        <v>46.21</v>
      </c>
      <c r="D103" s="66">
        <v>12.62</v>
      </c>
      <c r="E103" s="66">
        <v>27.25</v>
      </c>
      <c r="F103" s="66">
        <v>6.83</v>
      </c>
      <c r="G103" s="65">
        <v>231.73000000000005</v>
      </c>
      <c r="H103" s="54">
        <v>0.8</v>
      </c>
      <c r="I103" s="35"/>
    </row>
    <row r="104" spans="1:9" x14ac:dyDescent="0.2">
      <c r="A104" s="43" t="s">
        <v>59</v>
      </c>
      <c r="B104" s="66">
        <v>112.70000000000002</v>
      </c>
      <c r="C104" s="66">
        <v>37.47</v>
      </c>
      <c r="D104" s="66">
        <v>12.62</v>
      </c>
      <c r="E104" s="66">
        <v>27.25</v>
      </c>
      <c r="F104" s="66">
        <v>6.83</v>
      </c>
      <c r="G104" s="65">
        <v>196.87000000000003</v>
      </c>
      <c r="H104" s="54">
        <v>0.8</v>
      </c>
      <c r="I104" s="35"/>
    </row>
    <row r="105" spans="1:9" x14ac:dyDescent="0.2">
      <c r="A105" s="43" t="s">
        <v>60</v>
      </c>
      <c r="B105" s="66">
        <v>93.360000000000014</v>
      </c>
      <c r="C105" s="66">
        <v>30.99</v>
      </c>
      <c r="D105" s="66">
        <v>12.62</v>
      </c>
      <c r="E105" s="66">
        <v>27.25</v>
      </c>
      <c r="F105" s="66">
        <v>6.83</v>
      </c>
      <c r="G105" s="65">
        <v>171.05</v>
      </c>
      <c r="H105" s="54">
        <v>0.8</v>
      </c>
      <c r="I105" s="35"/>
    </row>
    <row r="106" spans="1:9" x14ac:dyDescent="0.2">
      <c r="A106" s="43" t="s">
        <v>61</v>
      </c>
      <c r="B106" s="66">
        <v>90.38000000000001</v>
      </c>
      <c r="C106" s="66">
        <v>29.99</v>
      </c>
      <c r="D106" s="66">
        <v>12.62</v>
      </c>
      <c r="E106" s="66">
        <v>27.25</v>
      </c>
      <c r="F106" s="66">
        <v>6.83</v>
      </c>
      <c r="G106" s="65">
        <v>167.07000000000002</v>
      </c>
      <c r="H106" s="54">
        <v>0.8</v>
      </c>
      <c r="I106" s="35"/>
    </row>
    <row r="107" spans="1:9" x14ac:dyDescent="0.2">
      <c r="A107" s="43" t="s">
        <v>62</v>
      </c>
      <c r="B107" s="66">
        <v>83.580000000000013</v>
      </c>
      <c r="C107" s="66">
        <v>27.71</v>
      </c>
      <c r="D107" s="66">
        <v>12.62</v>
      </c>
      <c r="E107" s="66">
        <v>27.25</v>
      </c>
      <c r="F107" s="66">
        <v>6.83</v>
      </c>
      <c r="G107" s="65">
        <v>157.99000000000004</v>
      </c>
      <c r="H107" s="54">
        <v>0.8</v>
      </c>
      <c r="I107" s="35"/>
    </row>
    <row r="108" spans="1:9" x14ac:dyDescent="0.2">
      <c r="A108" s="43" t="s">
        <v>63</v>
      </c>
      <c r="B108" s="66">
        <v>83.310000000000016</v>
      </c>
      <c r="C108" s="66">
        <v>27.62</v>
      </c>
      <c r="D108" s="66">
        <v>12.62</v>
      </c>
      <c r="E108" s="66">
        <v>27.25</v>
      </c>
      <c r="F108" s="66">
        <v>6.83</v>
      </c>
      <c r="G108" s="65">
        <v>157.63000000000002</v>
      </c>
      <c r="H108" s="54">
        <v>0.8</v>
      </c>
      <c r="I108" s="35"/>
    </row>
    <row r="109" spans="1:9" x14ac:dyDescent="0.2">
      <c r="A109" s="43" t="s">
        <v>64</v>
      </c>
      <c r="B109" s="66">
        <v>67.560000000000016</v>
      </c>
      <c r="C109" s="66">
        <v>22.36</v>
      </c>
      <c r="D109" s="66">
        <v>12.62</v>
      </c>
      <c r="E109" s="66">
        <v>27.25</v>
      </c>
      <c r="F109" s="66">
        <v>6.83</v>
      </c>
      <c r="G109" s="65">
        <v>136.62000000000003</v>
      </c>
      <c r="H109" s="54">
        <v>0.8</v>
      </c>
      <c r="I109" s="35"/>
    </row>
    <row r="110" spans="1:9" x14ac:dyDescent="0.2">
      <c r="A110" s="43" t="s">
        <v>65</v>
      </c>
      <c r="B110" s="66">
        <v>62.199999999999996</v>
      </c>
      <c r="C110" s="66">
        <v>20.55</v>
      </c>
      <c r="D110" s="66">
        <v>12.62</v>
      </c>
      <c r="E110" s="66">
        <v>27.25</v>
      </c>
      <c r="F110" s="66">
        <v>6.83</v>
      </c>
      <c r="G110" s="65">
        <v>129.45000000000002</v>
      </c>
      <c r="H110" s="54">
        <v>0.8</v>
      </c>
      <c r="I110" s="35"/>
    </row>
    <row r="111" spans="1:9" x14ac:dyDescent="0.2">
      <c r="A111" s="43" t="s">
        <v>66</v>
      </c>
      <c r="B111" s="66">
        <v>59.15</v>
      </c>
      <c r="C111" s="66">
        <v>19.54</v>
      </c>
      <c r="D111" s="66">
        <v>12.62</v>
      </c>
      <c r="E111" s="66">
        <v>27.25</v>
      </c>
      <c r="F111" s="66">
        <v>6.83</v>
      </c>
      <c r="G111" s="65">
        <v>125.39</v>
      </c>
      <c r="H111" s="54">
        <v>0.8</v>
      </c>
      <c r="I111" s="35"/>
    </row>
    <row r="112" spans="1:9" x14ac:dyDescent="0.2">
      <c r="A112" s="43" t="s">
        <v>67</v>
      </c>
      <c r="B112" s="66">
        <v>54.93</v>
      </c>
      <c r="C112" s="66">
        <v>18.13</v>
      </c>
      <c r="D112" s="66">
        <v>12.62</v>
      </c>
      <c r="E112" s="66">
        <v>27.25</v>
      </c>
      <c r="F112" s="66">
        <v>6.83</v>
      </c>
      <c r="G112" s="65">
        <v>119.76</v>
      </c>
      <c r="H112" s="54">
        <v>0.8</v>
      </c>
      <c r="I112" s="35"/>
    </row>
    <row r="113" spans="1:9" x14ac:dyDescent="0.2">
      <c r="A113" s="43" t="s">
        <v>68</v>
      </c>
      <c r="B113" s="66">
        <v>50.419999999999995</v>
      </c>
      <c r="C113" s="66">
        <v>16.62</v>
      </c>
      <c r="D113" s="66">
        <v>12.62</v>
      </c>
      <c r="E113" s="66">
        <v>27.25</v>
      </c>
      <c r="F113" s="66">
        <v>6.83</v>
      </c>
      <c r="G113" s="65">
        <v>113.74</v>
      </c>
      <c r="H113" s="54">
        <v>0.8</v>
      </c>
      <c r="I113" s="35"/>
    </row>
    <row r="114" spans="1:9" x14ac:dyDescent="0.2">
      <c r="A114" s="43" t="s">
        <v>69</v>
      </c>
      <c r="B114" s="66">
        <v>45.349999999999994</v>
      </c>
      <c r="C114" s="66">
        <v>14.91</v>
      </c>
      <c r="D114" s="66">
        <v>12.62</v>
      </c>
      <c r="E114" s="66">
        <v>27.25</v>
      </c>
      <c r="F114" s="66">
        <v>6.83</v>
      </c>
      <c r="G114" s="65">
        <v>106.96</v>
      </c>
      <c r="H114" s="54">
        <v>0.8</v>
      </c>
      <c r="I114" s="35"/>
    </row>
    <row r="115" spans="1:9" x14ac:dyDescent="0.2">
      <c r="A115" s="43" t="s">
        <v>70</v>
      </c>
      <c r="B115" s="66">
        <v>50.559999999999995</v>
      </c>
      <c r="C115" s="66">
        <v>16.649999999999999</v>
      </c>
      <c r="D115" s="66">
        <v>12.62</v>
      </c>
      <c r="E115" s="66">
        <v>27.25</v>
      </c>
      <c r="F115" s="66">
        <v>6.83</v>
      </c>
      <c r="G115" s="65">
        <v>113.91</v>
      </c>
      <c r="H115" s="54">
        <v>0.8</v>
      </c>
      <c r="I115" s="35"/>
    </row>
    <row r="116" spans="1:9" x14ac:dyDescent="0.2">
      <c r="A116" s="43" t="s">
        <v>71</v>
      </c>
      <c r="B116" s="66">
        <v>44.82</v>
      </c>
      <c r="C116" s="66">
        <v>14.73</v>
      </c>
      <c r="D116" s="66">
        <v>12.62</v>
      </c>
      <c r="E116" s="66">
        <v>27.25</v>
      </c>
      <c r="F116" s="66">
        <v>6.83</v>
      </c>
      <c r="G116" s="65">
        <v>106.25</v>
      </c>
      <c r="H116" s="54">
        <v>0.8</v>
      </c>
      <c r="I116" s="35"/>
    </row>
    <row r="117" spans="1:9" x14ac:dyDescent="0.2">
      <c r="A117" s="43" t="s">
        <v>72</v>
      </c>
      <c r="B117" s="66">
        <v>37.959999999999994</v>
      </c>
      <c r="C117" s="66">
        <v>12.44</v>
      </c>
      <c r="D117" s="66">
        <v>12.62</v>
      </c>
      <c r="E117" s="66">
        <v>27.25</v>
      </c>
      <c r="F117" s="66">
        <v>6.83</v>
      </c>
      <c r="G117" s="65">
        <v>97.09999999999998</v>
      </c>
      <c r="H117" s="54">
        <v>0.8</v>
      </c>
      <c r="I117" s="35"/>
    </row>
    <row r="118" spans="1:9" x14ac:dyDescent="0.2">
      <c r="A118" s="43" t="s">
        <v>73</v>
      </c>
      <c r="B118" s="66">
        <v>34.229999999999997</v>
      </c>
      <c r="C118" s="66">
        <v>11.19</v>
      </c>
      <c r="D118" s="66">
        <v>12.62</v>
      </c>
      <c r="E118" s="66">
        <v>27.25</v>
      </c>
      <c r="F118" s="66">
        <v>6.83</v>
      </c>
      <c r="G118" s="65">
        <v>92.11999999999999</v>
      </c>
      <c r="H118" s="54">
        <v>0.8</v>
      </c>
      <c r="I118" s="35"/>
    </row>
    <row r="119" spans="1:9" x14ac:dyDescent="0.2">
      <c r="A119" s="43" t="s">
        <v>74</v>
      </c>
      <c r="B119" s="66">
        <v>49.019999999999996</v>
      </c>
      <c r="C119" s="66">
        <v>16.14</v>
      </c>
      <c r="D119" s="66">
        <v>12.62</v>
      </c>
      <c r="E119" s="66">
        <v>27.25</v>
      </c>
      <c r="F119" s="66">
        <v>6.83</v>
      </c>
      <c r="G119" s="65">
        <v>111.86</v>
      </c>
      <c r="H119" s="54">
        <v>0.8</v>
      </c>
      <c r="I119" s="35"/>
    </row>
    <row r="120" spans="1:9" x14ac:dyDescent="0.2">
      <c r="A120" s="43" t="s">
        <v>75</v>
      </c>
      <c r="B120" s="66">
        <v>41.11</v>
      </c>
      <c r="C120" s="66">
        <v>13.5</v>
      </c>
      <c r="D120" s="66">
        <v>12.62</v>
      </c>
      <c r="E120" s="66">
        <v>27.25</v>
      </c>
      <c r="F120" s="66">
        <v>6.83</v>
      </c>
      <c r="G120" s="65">
        <v>101.31</v>
      </c>
      <c r="H120" s="54">
        <v>0.8</v>
      </c>
      <c r="I120" s="35"/>
    </row>
    <row r="121" spans="1:9" x14ac:dyDescent="0.2">
      <c r="A121" s="43" t="s">
        <v>76</v>
      </c>
      <c r="B121" s="66">
        <v>36.61</v>
      </c>
      <c r="C121" s="66">
        <v>11.99</v>
      </c>
      <c r="D121" s="66">
        <v>12.62</v>
      </c>
      <c r="E121" s="66">
        <v>27.25</v>
      </c>
      <c r="F121" s="66">
        <v>6.83</v>
      </c>
      <c r="G121" s="65">
        <v>95.3</v>
      </c>
      <c r="H121" s="54">
        <v>0.8</v>
      </c>
      <c r="I121" s="35"/>
    </row>
    <row r="122" spans="1:9" x14ac:dyDescent="0.2">
      <c r="A122" s="43" t="s">
        <v>77</v>
      </c>
      <c r="B122" s="66">
        <v>29.869999999999997</v>
      </c>
      <c r="C122" s="66">
        <v>9.74</v>
      </c>
      <c r="D122" s="66">
        <v>12.62</v>
      </c>
      <c r="E122" s="66">
        <v>27.25</v>
      </c>
      <c r="F122" s="66">
        <v>6.83</v>
      </c>
      <c r="G122" s="65">
        <v>86.309999999999988</v>
      </c>
      <c r="H122" s="54">
        <v>0.8</v>
      </c>
      <c r="I122" s="35"/>
    </row>
    <row r="123" spans="1:9" x14ac:dyDescent="0.2">
      <c r="A123" s="43" t="s">
        <v>78</v>
      </c>
      <c r="B123" s="66">
        <v>55.419999999999995</v>
      </c>
      <c r="C123" s="66">
        <v>18.29</v>
      </c>
      <c r="D123" s="66">
        <v>12.62</v>
      </c>
      <c r="E123" s="66">
        <v>27.25</v>
      </c>
      <c r="F123" s="66">
        <v>6.83</v>
      </c>
      <c r="G123" s="65">
        <v>120.41</v>
      </c>
      <c r="H123" s="54">
        <v>0.8</v>
      </c>
      <c r="I123" s="35"/>
    </row>
    <row r="124" spans="1:9" x14ac:dyDescent="0.2">
      <c r="A124" s="43" t="s">
        <v>79</v>
      </c>
      <c r="B124" s="66">
        <v>50.519999999999996</v>
      </c>
      <c r="C124" s="66">
        <v>16.64</v>
      </c>
      <c r="D124" s="66">
        <v>12.62</v>
      </c>
      <c r="E124" s="66">
        <v>27.25</v>
      </c>
      <c r="F124" s="66">
        <v>6.83</v>
      </c>
      <c r="G124" s="65">
        <v>113.86</v>
      </c>
      <c r="H124" s="54">
        <v>0.8</v>
      </c>
      <c r="I124" s="35"/>
    </row>
    <row r="125" spans="1:9" x14ac:dyDescent="0.2">
      <c r="A125" s="43" t="s">
        <v>80</v>
      </c>
      <c r="B125" s="66">
        <v>51.709999999999994</v>
      </c>
      <c r="C125" s="66">
        <v>17.04</v>
      </c>
      <c r="D125" s="66">
        <v>12.62</v>
      </c>
      <c r="E125" s="66">
        <v>27.25</v>
      </c>
      <c r="F125" s="66">
        <v>6.83</v>
      </c>
      <c r="G125" s="65">
        <v>115.45</v>
      </c>
      <c r="H125" s="54">
        <v>0.8</v>
      </c>
      <c r="I125" s="35"/>
    </row>
    <row r="126" spans="1:9" x14ac:dyDescent="0.2">
      <c r="A126" s="43" t="s">
        <v>53</v>
      </c>
      <c r="B126" s="66">
        <v>46.65</v>
      </c>
      <c r="C126" s="66">
        <v>15.35</v>
      </c>
      <c r="D126" s="66">
        <v>12.62</v>
      </c>
      <c r="E126" s="66">
        <v>27.25</v>
      </c>
      <c r="F126" s="66">
        <v>6.83</v>
      </c>
      <c r="G126" s="65">
        <v>108.7</v>
      </c>
      <c r="H126" s="54">
        <v>0.8</v>
      </c>
      <c r="I126" s="35"/>
    </row>
    <row r="127" spans="1:9" x14ac:dyDescent="0.2">
      <c r="A127" s="43" t="s">
        <v>81</v>
      </c>
      <c r="B127" s="66">
        <v>44.5</v>
      </c>
      <c r="C127" s="66">
        <v>14.63</v>
      </c>
      <c r="D127" s="66">
        <v>12.62</v>
      </c>
      <c r="E127" s="66">
        <v>27.25</v>
      </c>
      <c r="F127" s="66">
        <v>6.83</v>
      </c>
      <c r="G127" s="65">
        <v>105.83</v>
      </c>
      <c r="H127" s="54">
        <v>0.8</v>
      </c>
      <c r="I127" s="35"/>
    </row>
    <row r="128" spans="1:9" x14ac:dyDescent="0.2">
      <c r="A128" s="43" t="s">
        <v>82</v>
      </c>
      <c r="B128" s="66">
        <v>41.269999999999996</v>
      </c>
      <c r="C128" s="66">
        <v>13.55</v>
      </c>
      <c r="D128" s="66">
        <v>12.62</v>
      </c>
      <c r="E128" s="66">
        <v>27.25</v>
      </c>
      <c r="F128" s="66">
        <v>6.83</v>
      </c>
      <c r="G128" s="65">
        <v>101.52</v>
      </c>
      <c r="H128" s="54">
        <v>0.8</v>
      </c>
      <c r="I128" s="35"/>
    </row>
    <row r="129" spans="1:9" x14ac:dyDescent="0.2">
      <c r="A129" s="43" t="s">
        <v>83</v>
      </c>
      <c r="B129" s="66">
        <v>39.279999999999994</v>
      </c>
      <c r="C129" s="66">
        <v>12.88</v>
      </c>
      <c r="D129" s="66">
        <v>12.62</v>
      </c>
      <c r="E129" s="66">
        <v>27.25</v>
      </c>
      <c r="F129" s="66">
        <v>6.83</v>
      </c>
      <c r="G129" s="65">
        <v>98.86</v>
      </c>
      <c r="H129" s="54">
        <v>0.8</v>
      </c>
      <c r="I129" s="35"/>
    </row>
    <row r="130" spans="1:9" x14ac:dyDescent="0.2">
      <c r="A130" s="43" t="s">
        <v>84</v>
      </c>
      <c r="B130" s="66">
        <v>35.72</v>
      </c>
      <c r="C130" s="66">
        <v>11.69</v>
      </c>
      <c r="D130" s="66">
        <v>12.62</v>
      </c>
      <c r="E130" s="66">
        <v>27.25</v>
      </c>
      <c r="F130" s="66">
        <v>6.83</v>
      </c>
      <c r="G130" s="65">
        <v>94.11</v>
      </c>
      <c r="H130" s="54">
        <v>0.8</v>
      </c>
      <c r="I130" s="35"/>
    </row>
    <row r="131" spans="1:9" x14ac:dyDescent="0.2">
      <c r="A131" s="43" t="s">
        <v>85</v>
      </c>
      <c r="B131" s="66">
        <v>31.369999999999997</v>
      </c>
      <c r="C131" s="66">
        <v>10.23</v>
      </c>
      <c r="D131" s="66">
        <v>12.62</v>
      </c>
      <c r="E131" s="66">
        <v>27.25</v>
      </c>
      <c r="F131" s="66">
        <v>6.83</v>
      </c>
      <c r="G131" s="65">
        <v>88.3</v>
      </c>
      <c r="H131" s="54">
        <v>0.8</v>
      </c>
      <c r="I131" s="35"/>
    </row>
    <row r="132" spans="1:9" x14ac:dyDescent="0.2">
      <c r="A132" s="43" t="s">
        <v>86</v>
      </c>
      <c r="B132" s="66">
        <v>27.659999999999997</v>
      </c>
      <c r="C132" s="66">
        <v>9</v>
      </c>
      <c r="D132" s="66">
        <v>12.62</v>
      </c>
      <c r="E132" s="66">
        <v>27.25</v>
      </c>
      <c r="F132" s="66">
        <v>6.83</v>
      </c>
      <c r="G132" s="65">
        <v>83.36</v>
      </c>
      <c r="H132" s="54">
        <v>0.8</v>
      </c>
      <c r="I132" s="35"/>
    </row>
    <row r="133" spans="1:9" x14ac:dyDescent="0.2">
      <c r="A133" s="45" t="s">
        <v>87</v>
      </c>
      <c r="B133" s="66">
        <v>27.659999999999997</v>
      </c>
      <c r="C133" s="66">
        <v>9</v>
      </c>
      <c r="D133" s="66">
        <v>12.62</v>
      </c>
      <c r="E133" s="66">
        <v>27.25</v>
      </c>
      <c r="F133" s="66">
        <v>6.83</v>
      </c>
      <c r="G133" s="65">
        <v>83.36</v>
      </c>
      <c r="H133" s="54">
        <v>0.8</v>
      </c>
      <c r="I133" s="35"/>
    </row>
    <row r="134" spans="1:9" x14ac:dyDescent="0.2">
      <c r="A134" s="45" t="s">
        <v>88</v>
      </c>
      <c r="B134" s="66">
        <v>27.659999999999997</v>
      </c>
      <c r="C134" s="66">
        <v>9</v>
      </c>
      <c r="D134" s="66">
        <v>12.62</v>
      </c>
      <c r="E134" s="66">
        <v>27.25</v>
      </c>
      <c r="F134" s="66">
        <v>6.83</v>
      </c>
      <c r="G134" s="65">
        <v>83.36</v>
      </c>
      <c r="H134" s="54">
        <v>0.8</v>
      </c>
      <c r="I134" s="35"/>
    </row>
    <row r="135" spans="1:9" x14ac:dyDescent="0.2">
      <c r="A135" s="55"/>
      <c r="B135" s="56"/>
      <c r="C135" s="33"/>
      <c r="D135" s="33"/>
      <c r="E135" s="33"/>
      <c r="F135" s="33"/>
      <c r="G135" s="57"/>
      <c r="H135" s="54"/>
      <c r="I135" s="33"/>
    </row>
    <row r="136" spans="1:9" x14ac:dyDescent="0.2">
      <c r="A136" s="58" t="s">
        <v>119</v>
      </c>
      <c r="B136" s="64">
        <v>96.81</v>
      </c>
      <c r="C136" s="64">
        <v>31.81</v>
      </c>
      <c r="D136" s="49"/>
      <c r="E136" s="49"/>
      <c r="F136" s="49"/>
      <c r="G136" s="50">
        <v>128.62</v>
      </c>
      <c r="H136" s="54">
        <v>0</v>
      </c>
      <c r="I136" s="33"/>
    </row>
    <row r="137" spans="1:9" x14ac:dyDescent="0.2">
      <c r="A137" s="51" t="s">
        <v>120</v>
      </c>
      <c r="B137" s="64">
        <v>38.72</v>
      </c>
      <c r="C137" s="64">
        <v>12.73</v>
      </c>
      <c r="D137" s="49"/>
      <c r="E137" s="49"/>
      <c r="F137" s="49"/>
      <c r="G137" s="50">
        <v>51.45</v>
      </c>
      <c r="H137" s="54">
        <v>0</v>
      </c>
      <c r="I137" s="33"/>
    </row>
    <row r="138" spans="1:9" x14ac:dyDescent="0.2">
      <c r="A138" s="59" t="s">
        <v>121</v>
      </c>
      <c r="B138" s="64">
        <v>58.09</v>
      </c>
      <c r="C138" s="64">
        <v>19.079999999999998</v>
      </c>
      <c r="D138" s="49"/>
      <c r="E138" s="49"/>
      <c r="F138" s="49"/>
      <c r="G138" s="50">
        <v>77.17</v>
      </c>
      <c r="H138" s="54">
        <v>0</v>
      </c>
      <c r="I138" s="33"/>
    </row>
    <row r="140" spans="1:9" ht="15.75" x14ac:dyDescent="0.25">
      <c r="A140" s="41" t="s">
        <v>126</v>
      </c>
      <c r="B140" s="42"/>
      <c r="C140" s="42"/>
      <c r="D140" s="42"/>
      <c r="E140" s="42"/>
      <c r="F140" s="42"/>
      <c r="G140" s="42"/>
      <c r="H140" s="52"/>
      <c r="I140" s="33"/>
    </row>
    <row r="141" spans="1:9" ht="76.5" x14ac:dyDescent="0.2">
      <c r="A141" s="37" t="s">
        <v>92</v>
      </c>
      <c r="B141" s="61" t="s">
        <v>114</v>
      </c>
      <c r="C141" s="61" t="s">
        <v>115</v>
      </c>
      <c r="D141" s="62" t="s">
        <v>116</v>
      </c>
      <c r="E141" s="61" t="s">
        <v>117</v>
      </c>
      <c r="F141" s="61" t="s">
        <v>118</v>
      </c>
      <c r="G141" s="62" t="s">
        <v>15</v>
      </c>
      <c r="H141" s="53" t="s">
        <v>127</v>
      </c>
      <c r="I141" s="33"/>
    </row>
    <row r="142" spans="1:9" x14ac:dyDescent="0.2">
      <c r="A142" s="43" t="s">
        <v>54</v>
      </c>
      <c r="B142" s="66">
        <v>111.07000000000002</v>
      </c>
      <c r="C142" s="66">
        <v>36.79</v>
      </c>
      <c r="D142" s="66">
        <v>12.62</v>
      </c>
      <c r="E142" s="66">
        <v>27.25</v>
      </c>
      <c r="F142" s="66">
        <v>6.83</v>
      </c>
      <c r="G142" s="65">
        <v>194.56000000000003</v>
      </c>
      <c r="H142" s="54">
        <v>1.2000000000000002</v>
      </c>
      <c r="I142" s="35"/>
    </row>
    <row r="143" spans="1:9" x14ac:dyDescent="0.2">
      <c r="A143" s="43" t="s">
        <v>55</v>
      </c>
      <c r="B143" s="66">
        <v>94.170000000000016</v>
      </c>
      <c r="C143" s="66">
        <v>31.12</v>
      </c>
      <c r="D143" s="66">
        <v>12.62</v>
      </c>
      <c r="E143" s="66">
        <v>27.25</v>
      </c>
      <c r="F143" s="66">
        <v>6.83</v>
      </c>
      <c r="G143" s="65">
        <v>171.99000000000004</v>
      </c>
      <c r="H143" s="54">
        <v>1.2000000000000002</v>
      </c>
      <c r="I143" s="35"/>
    </row>
    <row r="144" spans="1:9" x14ac:dyDescent="0.2">
      <c r="A144" s="43" t="s">
        <v>56</v>
      </c>
      <c r="B144" s="66">
        <v>86.380000000000024</v>
      </c>
      <c r="C144" s="66">
        <v>28.52</v>
      </c>
      <c r="D144" s="66">
        <v>12.62</v>
      </c>
      <c r="E144" s="66">
        <v>27.25</v>
      </c>
      <c r="F144" s="66">
        <v>6.83</v>
      </c>
      <c r="G144" s="65">
        <v>161.60000000000005</v>
      </c>
      <c r="H144" s="54">
        <v>1.2000000000000002</v>
      </c>
      <c r="I144" s="35"/>
    </row>
    <row r="145" spans="1:9" x14ac:dyDescent="0.2">
      <c r="A145" s="43" t="s">
        <v>57</v>
      </c>
      <c r="B145" s="66">
        <v>71.90000000000002</v>
      </c>
      <c r="C145" s="66">
        <v>23.67</v>
      </c>
      <c r="D145" s="66">
        <v>12.62</v>
      </c>
      <c r="E145" s="66">
        <v>27.25</v>
      </c>
      <c r="F145" s="66">
        <v>6.83</v>
      </c>
      <c r="G145" s="65">
        <v>142.27000000000004</v>
      </c>
      <c r="H145" s="54">
        <v>1.2000000000000002</v>
      </c>
      <c r="I145" s="35"/>
    </row>
    <row r="146" spans="1:9" x14ac:dyDescent="0.2">
      <c r="A146" s="43" t="s">
        <v>58</v>
      </c>
      <c r="B146" s="66">
        <v>139.22000000000003</v>
      </c>
      <c r="C146" s="66">
        <v>46.21</v>
      </c>
      <c r="D146" s="66">
        <v>12.62</v>
      </c>
      <c r="E146" s="66">
        <v>27.25</v>
      </c>
      <c r="F146" s="66">
        <v>6.83</v>
      </c>
      <c r="G146" s="65">
        <v>232.13000000000005</v>
      </c>
      <c r="H146" s="54">
        <v>1.2000000000000002</v>
      </c>
      <c r="I146" s="35"/>
    </row>
    <row r="147" spans="1:9" x14ac:dyDescent="0.2">
      <c r="A147" s="43" t="s">
        <v>59</v>
      </c>
      <c r="B147" s="66">
        <v>113.10000000000002</v>
      </c>
      <c r="C147" s="66">
        <v>37.47</v>
      </c>
      <c r="D147" s="66">
        <v>12.62</v>
      </c>
      <c r="E147" s="66">
        <v>27.25</v>
      </c>
      <c r="F147" s="66">
        <v>6.83</v>
      </c>
      <c r="G147" s="65">
        <v>197.27000000000004</v>
      </c>
      <c r="H147" s="54">
        <v>1.2000000000000002</v>
      </c>
      <c r="I147" s="35"/>
    </row>
    <row r="148" spans="1:9" x14ac:dyDescent="0.2">
      <c r="A148" s="43" t="s">
        <v>60</v>
      </c>
      <c r="B148" s="66">
        <v>93.760000000000019</v>
      </c>
      <c r="C148" s="66">
        <v>30.99</v>
      </c>
      <c r="D148" s="66">
        <v>12.62</v>
      </c>
      <c r="E148" s="66">
        <v>27.25</v>
      </c>
      <c r="F148" s="66">
        <v>6.83</v>
      </c>
      <c r="G148" s="65">
        <v>171.45000000000002</v>
      </c>
      <c r="H148" s="54">
        <v>1.2000000000000002</v>
      </c>
      <c r="I148" s="35"/>
    </row>
    <row r="149" spans="1:9" x14ac:dyDescent="0.2">
      <c r="A149" s="43" t="s">
        <v>61</v>
      </c>
      <c r="B149" s="66">
        <v>90.780000000000015</v>
      </c>
      <c r="C149" s="66">
        <v>29.99</v>
      </c>
      <c r="D149" s="66">
        <v>12.62</v>
      </c>
      <c r="E149" s="66">
        <v>27.25</v>
      </c>
      <c r="F149" s="66">
        <v>6.83</v>
      </c>
      <c r="G149" s="65">
        <v>167.47000000000003</v>
      </c>
      <c r="H149" s="54">
        <v>1.2000000000000002</v>
      </c>
      <c r="I149" s="35"/>
    </row>
    <row r="150" spans="1:9" x14ac:dyDescent="0.2">
      <c r="A150" s="43" t="s">
        <v>62</v>
      </c>
      <c r="B150" s="66">
        <v>83.980000000000018</v>
      </c>
      <c r="C150" s="66">
        <v>27.71</v>
      </c>
      <c r="D150" s="66">
        <v>12.62</v>
      </c>
      <c r="E150" s="66">
        <v>27.25</v>
      </c>
      <c r="F150" s="66">
        <v>6.83</v>
      </c>
      <c r="G150" s="65">
        <v>158.39000000000004</v>
      </c>
      <c r="H150" s="54">
        <v>1.2000000000000002</v>
      </c>
      <c r="I150" s="35"/>
    </row>
    <row r="151" spans="1:9" x14ac:dyDescent="0.2">
      <c r="A151" s="43" t="s">
        <v>63</v>
      </c>
      <c r="B151" s="66">
        <v>83.710000000000022</v>
      </c>
      <c r="C151" s="66">
        <v>27.62</v>
      </c>
      <c r="D151" s="66">
        <v>12.62</v>
      </c>
      <c r="E151" s="66">
        <v>27.25</v>
      </c>
      <c r="F151" s="66">
        <v>6.83</v>
      </c>
      <c r="G151" s="65">
        <v>158.03000000000006</v>
      </c>
      <c r="H151" s="54">
        <v>1.2000000000000002</v>
      </c>
      <c r="I151" s="35"/>
    </row>
    <row r="152" spans="1:9" x14ac:dyDescent="0.2">
      <c r="A152" s="43" t="s">
        <v>64</v>
      </c>
      <c r="B152" s="66">
        <v>67.960000000000022</v>
      </c>
      <c r="C152" s="66">
        <v>22.36</v>
      </c>
      <c r="D152" s="66">
        <v>12.62</v>
      </c>
      <c r="E152" s="66">
        <v>27.25</v>
      </c>
      <c r="F152" s="66">
        <v>6.83</v>
      </c>
      <c r="G152" s="65">
        <v>137.02000000000004</v>
      </c>
      <c r="H152" s="54">
        <v>1.2000000000000002</v>
      </c>
      <c r="I152" s="35"/>
    </row>
    <row r="153" spans="1:9" x14ac:dyDescent="0.2">
      <c r="A153" s="43" t="s">
        <v>65</v>
      </c>
      <c r="B153" s="66">
        <v>62.599999999999994</v>
      </c>
      <c r="C153" s="66">
        <v>20.55</v>
      </c>
      <c r="D153" s="66">
        <v>12.62</v>
      </c>
      <c r="E153" s="66">
        <v>27.25</v>
      </c>
      <c r="F153" s="66">
        <v>6.83</v>
      </c>
      <c r="G153" s="65">
        <v>129.85</v>
      </c>
      <c r="H153" s="54">
        <v>1.2000000000000002</v>
      </c>
      <c r="I153" s="35"/>
    </row>
    <row r="154" spans="1:9" x14ac:dyDescent="0.2">
      <c r="A154" s="43" t="s">
        <v>66</v>
      </c>
      <c r="B154" s="66">
        <v>59.55</v>
      </c>
      <c r="C154" s="66">
        <v>19.54</v>
      </c>
      <c r="D154" s="66">
        <v>12.62</v>
      </c>
      <c r="E154" s="66">
        <v>27.25</v>
      </c>
      <c r="F154" s="66">
        <v>6.83</v>
      </c>
      <c r="G154" s="65">
        <v>125.79</v>
      </c>
      <c r="H154" s="54">
        <v>1.2000000000000002</v>
      </c>
      <c r="I154" s="35"/>
    </row>
    <row r="155" spans="1:9" x14ac:dyDescent="0.2">
      <c r="A155" s="43" t="s">
        <v>67</v>
      </c>
      <c r="B155" s="66">
        <v>55.33</v>
      </c>
      <c r="C155" s="66">
        <v>18.13</v>
      </c>
      <c r="D155" s="66">
        <v>12.62</v>
      </c>
      <c r="E155" s="66">
        <v>27.25</v>
      </c>
      <c r="F155" s="66">
        <v>6.83</v>
      </c>
      <c r="G155" s="65">
        <v>120.16</v>
      </c>
      <c r="H155" s="54">
        <v>1.2000000000000002</v>
      </c>
      <c r="I155" s="35"/>
    </row>
    <row r="156" spans="1:9" x14ac:dyDescent="0.2">
      <c r="A156" s="43" t="s">
        <v>68</v>
      </c>
      <c r="B156" s="66">
        <v>50.819999999999993</v>
      </c>
      <c r="C156" s="66">
        <v>16.62</v>
      </c>
      <c r="D156" s="66">
        <v>12.62</v>
      </c>
      <c r="E156" s="66">
        <v>27.25</v>
      </c>
      <c r="F156" s="66">
        <v>6.83</v>
      </c>
      <c r="G156" s="65">
        <v>114.14</v>
      </c>
      <c r="H156" s="54">
        <v>1.2000000000000002</v>
      </c>
      <c r="I156" s="35"/>
    </row>
    <row r="157" spans="1:9" x14ac:dyDescent="0.2">
      <c r="A157" s="43" t="s">
        <v>69</v>
      </c>
      <c r="B157" s="66">
        <v>45.749999999999993</v>
      </c>
      <c r="C157" s="66">
        <v>14.91</v>
      </c>
      <c r="D157" s="66">
        <v>12.62</v>
      </c>
      <c r="E157" s="66">
        <v>27.25</v>
      </c>
      <c r="F157" s="66">
        <v>6.83</v>
      </c>
      <c r="G157" s="65">
        <v>107.36</v>
      </c>
      <c r="H157" s="54">
        <v>1.2000000000000002</v>
      </c>
      <c r="I157" s="35"/>
    </row>
    <row r="158" spans="1:9" x14ac:dyDescent="0.2">
      <c r="A158" s="43" t="s">
        <v>70</v>
      </c>
      <c r="B158" s="66">
        <v>50.959999999999994</v>
      </c>
      <c r="C158" s="66">
        <v>16.649999999999999</v>
      </c>
      <c r="D158" s="66">
        <v>12.62</v>
      </c>
      <c r="E158" s="66">
        <v>27.25</v>
      </c>
      <c r="F158" s="66">
        <v>6.83</v>
      </c>
      <c r="G158" s="65">
        <v>114.30999999999999</v>
      </c>
      <c r="H158" s="54">
        <v>1.2000000000000002</v>
      </c>
      <c r="I158" s="35"/>
    </row>
    <row r="159" spans="1:9" x14ac:dyDescent="0.2">
      <c r="A159" s="43" t="s">
        <v>71</v>
      </c>
      <c r="B159" s="66">
        <v>45.22</v>
      </c>
      <c r="C159" s="66">
        <v>14.73</v>
      </c>
      <c r="D159" s="66">
        <v>12.62</v>
      </c>
      <c r="E159" s="66">
        <v>27.25</v>
      </c>
      <c r="F159" s="66">
        <v>6.83</v>
      </c>
      <c r="G159" s="65">
        <v>106.65</v>
      </c>
      <c r="H159" s="54">
        <v>1.2000000000000002</v>
      </c>
      <c r="I159" s="35"/>
    </row>
    <row r="160" spans="1:9" x14ac:dyDescent="0.2">
      <c r="A160" s="43" t="s">
        <v>72</v>
      </c>
      <c r="B160" s="66">
        <v>38.359999999999992</v>
      </c>
      <c r="C160" s="66">
        <v>12.44</v>
      </c>
      <c r="D160" s="66">
        <v>12.62</v>
      </c>
      <c r="E160" s="66">
        <v>27.25</v>
      </c>
      <c r="F160" s="66">
        <v>6.83</v>
      </c>
      <c r="G160" s="65">
        <v>97.499999999999986</v>
      </c>
      <c r="H160" s="54">
        <v>1.2000000000000002</v>
      </c>
      <c r="I160" s="35"/>
    </row>
    <row r="161" spans="1:9" x14ac:dyDescent="0.2">
      <c r="A161" s="43" t="s">
        <v>73</v>
      </c>
      <c r="B161" s="66">
        <v>34.629999999999995</v>
      </c>
      <c r="C161" s="66">
        <v>11.19</v>
      </c>
      <c r="D161" s="66">
        <v>12.62</v>
      </c>
      <c r="E161" s="66">
        <v>27.25</v>
      </c>
      <c r="F161" s="66">
        <v>6.83</v>
      </c>
      <c r="G161" s="65">
        <v>92.52</v>
      </c>
      <c r="H161" s="54">
        <v>1.2000000000000002</v>
      </c>
      <c r="I161" s="35"/>
    </row>
    <row r="162" spans="1:9" x14ac:dyDescent="0.2">
      <c r="A162" s="43" t="s">
        <v>74</v>
      </c>
      <c r="B162" s="66">
        <v>49.419999999999995</v>
      </c>
      <c r="C162" s="66">
        <v>16.14</v>
      </c>
      <c r="D162" s="66">
        <v>12.62</v>
      </c>
      <c r="E162" s="66">
        <v>27.25</v>
      </c>
      <c r="F162" s="66">
        <v>6.83</v>
      </c>
      <c r="G162" s="65">
        <v>112.26</v>
      </c>
      <c r="H162" s="54">
        <v>1.2000000000000002</v>
      </c>
      <c r="I162" s="35"/>
    </row>
    <row r="163" spans="1:9" x14ac:dyDescent="0.2">
      <c r="A163" s="43" t="s">
        <v>75</v>
      </c>
      <c r="B163" s="66">
        <v>41.51</v>
      </c>
      <c r="C163" s="66">
        <v>13.5</v>
      </c>
      <c r="D163" s="66">
        <v>12.62</v>
      </c>
      <c r="E163" s="66">
        <v>27.25</v>
      </c>
      <c r="F163" s="66">
        <v>6.83</v>
      </c>
      <c r="G163" s="65">
        <v>101.71</v>
      </c>
      <c r="H163" s="54">
        <v>1.2000000000000002</v>
      </c>
      <c r="I163" s="35"/>
    </row>
    <row r="164" spans="1:9" x14ac:dyDescent="0.2">
      <c r="A164" s="43" t="s">
        <v>76</v>
      </c>
      <c r="B164" s="66">
        <v>37.01</v>
      </c>
      <c r="C164" s="66">
        <v>11.99</v>
      </c>
      <c r="D164" s="66">
        <v>12.62</v>
      </c>
      <c r="E164" s="66">
        <v>27.25</v>
      </c>
      <c r="F164" s="66">
        <v>6.83</v>
      </c>
      <c r="G164" s="65">
        <v>95.7</v>
      </c>
      <c r="H164" s="54">
        <v>1.2000000000000002</v>
      </c>
      <c r="I164" s="35"/>
    </row>
    <row r="165" spans="1:9" x14ac:dyDescent="0.2">
      <c r="A165" s="43" t="s">
        <v>77</v>
      </c>
      <c r="B165" s="66">
        <v>30.269999999999996</v>
      </c>
      <c r="C165" s="66">
        <v>9.74</v>
      </c>
      <c r="D165" s="66">
        <v>12.62</v>
      </c>
      <c r="E165" s="66">
        <v>27.25</v>
      </c>
      <c r="F165" s="66">
        <v>6.83</v>
      </c>
      <c r="G165" s="65">
        <v>86.71</v>
      </c>
      <c r="H165" s="54">
        <v>1.2000000000000002</v>
      </c>
      <c r="I165" s="35"/>
    </row>
    <row r="166" spans="1:9" x14ac:dyDescent="0.2">
      <c r="A166" s="43" t="s">
        <v>78</v>
      </c>
      <c r="B166" s="66">
        <v>55.819999999999993</v>
      </c>
      <c r="C166" s="66">
        <v>18.29</v>
      </c>
      <c r="D166" s="66">
        <v>12.62</v>
      </c>
      <c r="E166" s="66">
        <v>27.25</v>
      </c>
      <c r="F166" s="66">
        <v>6.83</v>
      </c>
      <c r="G166" s="65">
        <v>120.80999999999999</v>
      </c>
      <c r="H166" s="54">
        <v>1.2000000000000002</v>
      </c>
      <c r="I166" s="35"/>
    </row>
    <row r="167" spans="1:9" x14ac:dyDescent="0.2">
      <c r="A167" s="43" t="s">
        <v>79</v>
      </c>
      <c r="B167" s="66">
        <v>50.919999999999995</v>
      </c>
      <c r="C167" s="66">
        <v>16.64</v>
      </c>
      <c r="D167" s="66">
        <v>12.62</v>
      </c>
      <c r="E167" s="66">
        <v>27.25</v>
      </c>
      <c r="F167" s="66">
        <v>6.83</v>
      </c>
      <c r="G167" s="65">
        <v>114.26</v>
      </c>
      <c r="H167" s="54">
        <v>1.2000000000000002</v>
      </c>
      <c r="I167" s="35"/>
    </row>
    <row r="168" spans="1:9" x14ac:dyDescent="0.2">
      <c r="A168" s="43" t="s">
        <v>80</v>
      </c>
      <c r="B168" s="66">
        <v>52.109999999999992</v>
      </c>
      <c r="C168" s="66">
        <v>17.04</v>
      </c>
      <c r="D168" s="66">
        <v>12.62</v>
      </c>
      <c r="E168" s="66">
        <v>27.25</v>
      </c>
      <c r="F168" s="66">
        <v>6.83</v>
      </c>
      <c r="G168" s="65">
        <v>115.85</v>
      </c>
      <c r="H168" s="54">
        <v>1.2000000000000002</v>
      </c>
      <c r="I168" s="35"/>
    </row>
    <row r="169" spans="1:9" x14ac:dyDescent="0.2">
      <c r="A169" s="43" t="s">
        <v>53</v>
      </c>
      <c r="B169" s="66">
        <v>47.05</v>
      </c>
      <c r="C169" s="66">
        <v>15.35</v>
      </c>
      <c r="D169" s="66">
        <v>12.62</v>
      </c>
      <c r="E169" s="66">
        <v>27.25</v>
      </c>
      <c r="F169" s="66">
        <v>6.83</v>
      </c>
      <c r="G169" s="65">
        <v>109.1</v>
      </c>
      <c r="H169" s="54">
        <v>1.2000000000000002</v>
      </c>
      <c r="I169" s="35"/>
    </row>
    <row r="170" spans="1:9" x14ac:dyDescent="0.2">
      <c r="A170" s="43" t="s">
        <v>81</v>
      </c>
      <c r="B170" s="66">
        <v>44.9</v>
      </c>
      <c r="C170" s="66">
        <v>14.63</v>
      </c>
      <c r="D170" s="66">
        <v>12.62</v>
      </c>
      <c r="E170" s="66">
        <v>27.25</v>
      </c>
      <c r="F170" s="66">
        <v>6.83</v>
      </c>
      <c r="G170" s="65">
        <v>106.23</v>
      </c>
      <c r="H170" s="54">
        <v>1.2000000000000002</v>
      </c>
      <c r="I170" s="35"/>
    </row>
    <row r="171" spans="1:9" x14ac:dyDescent="0.2">
      <c r="A171" s="43" t="s">
        <v>82</v>
      </c>
      <c r="B171" s="66">
        <v>41.669999999999995</v>
      </c>
      <c r="C171" s="66">
        <v>13.55</v>
      </c>
      <c r="D171" s="66">
        <v>12.62</v>
      </c>
      <c r="E171" s="66">
        <v>27.25</v>
      </c>
      <c r="F171" s="66">
        <v>6.83</v>
      </c>
      <c r="G171" s="65">
        <v>101.92</v>
      </c>
      <c r="H171" s="54">
        <v>1.2000000000000002</v>
      </c>
      <c r="I171" s="35"/>
    </row>
    <row r="172" spans="1:9" x14ac:dyDescent="0.2">
      <c r="A172" s="43" t="s">
        <v>83</v>
      </c>
      <c r="B172" s="66">
        <v>39.679999999999993</v>
      </c>
      <c r="C172" s="66">
        <v>12.88</v>
      </c>
      <c r="D172" s="66">
        <v>12.62</v>
      </c>
      <c r="E172" s="66">
        <v>27.25</v>
      </c>
      <c r="F172" s="66">
        <v>6.83</v>
      </c>
      <c r="G172" s="65">
        <v>99.259999999999991</v>
      </c>
      <c r="H172" s="54">
        <v>1.2000000000000002</v>
      </c>
      <c r="I172" s="35"/>
    </row>
    <row r="173" spans="1:9" x14ac:dyDescent="0.2">
      <c r="A173" s="43" t="s">
        <v>84</v>
      </c>
      <c r="B173" s="66">
        <v>36.119999999999997</v>
      </c>
      <c r="C173" s="66">
        <v>11.69</v>
      </c>
      <c r="D173" s="66">
        <v>12.62</v>
      </c>
      <c r="E173" s="66">
        <v>27.25</v>
      </c>
      <c r="F173" s="66">
        <v>6.83</v>
      </c>
      <c r="G173" s="65">
        <v>94.509999999999991</v>
      </c>
      <c r="H173" s="54">
        <v>1.2000000000000002</v>
      </c>
      <c r="I173" s="35"/>
    </row>
    <row r="174" spans="1:9" x14ac:dyDescent="0.2">
      <c r="A174" s="43" t="s">
        <v>85</v>
      </c>
      <c r="B174" s="66">
        <v>31.769999999999996</v>
      </c>
      <c r="C174" s="66">
        <v>10.23</v>
      </c>
      <c r="D174" s="66">
        <v>12.62</v>
      </c>
      <c r="E174" s="66">
        <v>27.25</v>
      </c>
      <c r="F174" s="66">
        <v>6.83</v>
      </c>
      <c r="G174" s="65">
        <v>88.7</v>
      </c>
      <c r="H174" s="54">
        <v>1.2000000000000002</v>
      </c>
      <c r="I174" s="35"/>
    </row>
    <row r="175" spans="1:9" x14ac:dyDescent="0.2">
      <c r="A175" s="43" t="s">
        <v>86</v>
      </c>
      <c r="B175" s="66">
        <v>28.059999999999995</v>
      </c>
      <c r="C175" s="66">
        <v>9</v>
      </c>
      <c r="D175" s="66">
        <v>12.62</v>
      </c>
      <c r="E175" s="66">
        <v>27.25</v>
      </c>
      <c r="F175" s="66">
        <v>6.83</v>
      </c>
      <c r="G175" s="65">
        <v>83.759999999999991</v>
      </c>
      <c r="H175" s="54">
        <v>1.2000000000000002</v>
      </c>
      <c r="I175" s="35"/>
    </row>
    <row r="176" spans="1:9" x14ac:dyDescent="0.2">
      <c r="A176" s="45" t="s">
        <v>87</v>
      </c>
      <c r="B176" s="66">
        <v>28.059999999999995</v>
      </c>
      <c r="C176" s="66">
        <v>9</v>
      </c>
      <c r="D176" s="66">
        <v>12.62</v>
      </c>
      <c r="E176" s="66">
        <v>27.25</v>
      </c>
      <c r="F176" s="66">
        <v>6.83</v>
      </c>
      <c r="G176" s="65">
        <v>83.759999999999991</v>
      </c>
      <c r="H176" s="54">
        <v>1.2000000000000002</v>
      </c>
      <c r="I176" s="35"/>
    </row>
    <row r="177" spans="1:9" x14ac:dyDescent="0.2">
      <c r="A177" s="45" t="s">
        <v>88</v>
      </c>
      <c r="B177" s="66">
        <v>28.059999999999995</v>
      </c>
      <c r="C177" s="66">
        <v>9</v>
      </c>
      <c r="D177" s="66">
        <v>12.62</v>
      </c>
      <c r="E177" s="66">
        <v>27.25</v>
      </c>
      <c r="F177" s="66">
        <v>6.83</v>
      </c>
      <c r="G177" s="65">
        <v>83.759999999999991</v>
      </c>
      <c r="H177" s="54">
        <v>1.2000000000000002</v>
      </c>
      <c r="I177" s="35"/>
    </row>
    <row r="178" spans="1:9" x14ac:dyDescent="0.2">
      <c r="A178" s="55"/>
      <c r="B178" s="56"/>
      <c r="C178" s="33"/>
      <c r="D178" s="33"/>
      <c r="E178" s="33"/>
      <c r="F178" s="33"/>
      <c r="G178" s="57"/>
      <c r="H178" s="54"/>
      <c r="I178" s="33"/>
    </row>
    <row r="179" spans="1:9" x14ac:dyDescent="0.2">
      <c r="A179" s="58" t="s">
        <v>119</v>
      </c>
      <c r="B179" s="64">
        <v>96.81</v>
      </c>
      <c r="C179" s="64">
        <v>31.81</v>
      </c>
      <c r="D179" s="49"/>
      <c r="E179" s="49"/>
      <c r="F179" s="49"/>
      <c r="G179" s="50">
        <v>128.62</v>
      </c>
      <c r="H179" s="54">
        <v>0</v>
      </c>
      <c r="I179" s="33"/>
    </row>
    <row r="180" spans="1:9" x14ac:dyDescent="0.2">
      <c r="A180" s="51" t="s">
        <v>120</v>
      </c>
      <c r="B180" s="64">
        <v>38.72</v>
      </c>
      <c r="C180" s="64">
        <v>12.73</v>
      </c>
      <c r="D180" s="49"/>
      <c r="E180" s="49"/>
      <c r="F180" s="49"/>
      <c r="G180" s="50">
        <v>51.45</v>
      </c>
      <c r="H180" s="54">
        <v>0</v>
      </c>
      <c r="I180" s="33"/>
    </row>
    <row r="181" spans="1:9" x14ac:dyDescent="0.2">
      <c r="A181" s="59" t="s">
        <v>121</v>
      </c>
      <c r="B181" s="64">
        <v>58.09</v>
      </c>
      <c r="C181" s="64">
        <v>19.079999999999998</v>
      </c>
      <c r="D181" s="49"/>
      <c r="E181" s="49"/>
      <c r="F181" s="49"/>
      <c r="G181" s="50">
        <v>77.17</v>
      </c>
      <c r="H181" s="54">
        <v>0</v>
      </c>
      <c r="I181" s="33"/>
    </row>
    <row r="183" spans="1:9" ht="15.75" x14ac:dyDescent="0.25">
      <c r="A183" s="41" t="s">
        <v>128</v>
      </c>
      <c r="B183" s="42"/>
      <c r="C183" s="42"/>
      <c r="D183" s="42"/>
      <c r="E183" s="42"/>
      <c r="F183" s="42"/>
      <c r="G183" s="42"/>
      <c r="H183" s="52"/>
      <c r="I183" s="33"/>
    </row>
    <row r="184" spans="1:9" ht="76.5" x14ac:dyDescent="0.2">
      <c r="A184" s="37" t="s">
        <v>92</v>
      </c>
      <c r="B184" s="61" t="s">
        <v>114</v>
      </c>
      <c r="C184" s="61" t="s">
        <v>115</v>
      </c>
      <c r="D184" s="62" t="s">
        <v>116</v>
      </c>
      <c r="E184" s="61" t="s">
        <v>117</v>
      </c>
      <c r="F184" s="61" t="s">
        <v>118</v>
      </c>
      <c r="G184" s="62" t="s">
        <v>15</v>
      </c>
      <c r="H184" s="53" t="s">
        <v>129</v>
      </c>
      <c r="I184" s="33"/>
    </row>
    <row r="185" spans="1:9" x14ac:dyDescent="0.2">
      <c r="A185" s="43" t="s">
        <v>54</v>
      </c>
      <c r="B185" s="66">
        <v>111.47000000000003</v>
      </c>
      <c r="C185" s="66">
        <v>36.79</v>
      </c>
      <c r="D185" s="66">
        <v>12.62</v>
      </c>
      <c r="E185" s="66">
        <v>27.25</v>
      </c>
      <c r="F185" s="66">
        <v>6.83</v>
      </c>
      <c r="G185" s="65">
        <v>194.96000000000004</v>
      </c>
      <c r="H185" s="54">
        <v>1.6</v>
      </c>
      <c r="I185" s="35"/>
    </row>
    <row r="186" spans="1:9" x14ac:dyDescent="0.2">
      <c r="A186" s="43" t="s">
        <v>55</v>
      </c>
      <c r="B186" s="66">
        <v>94.570000000000022</v>
      </c>
      <c r="C186" s="66">
        <v>31.12</v>
      </c>
      <c r="D186" s="66">
        <v>12.62</v>
      </c>
      <c r="E186" s="66">
        <v>27.25</v>
      </c>
      <c r="F186" s="66">
        <v>6.83</v>
      </c>
      <c r="G186" s="65">
        <v>172.39000000000004</v>
      </c>
      <c r="H186" s="54">
        <v>1.6</v>
      </c>
      <c r="I186" s="35"/>
    </row>
    <row r="187" spans="1:9" x14ac:dyDescent="0.2">
      <c r="A187" s="43" t="s">
        <v>56</v>
      </c>
      <c r="B187" s="66">
        <v>86.78000000000003</v>
      </c>
      <c r="C187" s="66">
        <v>28.52</v>
      </c>
      <c r="D187" s="66">
        <v>12.62</v>
      </c>
      <c r="E187" s="66">
        <v>27.25</v>
      </c>
      <c r="F187" s="66">
        <v>6.83</v>
      </c>
      <c r="G187" s="65">
        <v>162.00000000000003</v>
      </c>
      <c r="H187" s="54">
        <v>1.6</v>
      </c>
      <c r="I187" s="35"/>
    </row>
    <row r="188" spans="1:9" x14ac:dyDescent="0.2">
      <c r="A188" s="43" t="s">
        <v>57</v>
      </c>
      <c r="B188" s="66">
        <v>72.300000000000026</v>
      </c>
      <c r="C188" s="66">
        <v>23.67</v>
      </c>
      <c r="D188" s="66">
        <v>12.62</v>
      </c>
      <c r="E188" s="66">
        <v>27.25</v>
      </c>
      <c r="F188" s="66">
        <v>6.83</v>
      </c>
      <c r="G188" s="65">
        <v>142.67000000000004</v>
      </c>
      <c r="H188" s="54">
        <v>1.6</v>
      </c>
      <c r="I188" s="35"/>
    </row>
    <row r="189" spans="1:9" x14ac:dyDescent="0.2">
      <c r="A189" s="43" t="s">
        <v>58</v>
      </c>
      <c r="B189" s="66">
        <v>139.62000000000003</v>
      </c>
      <c r="C189" s="66">
        <v>46.21</v>
      </c>
      <c r="D189" s="66">
        <v>12.62</v>
      </c>
      <c r="E189" s="66">
        <v>27.25</v>
      </c>
      <c r="F189" s="66">
        <v>6.83</v>
      </c>
      <c r="G189" s="65">
        <v>232.53000000000006</v>
      </c>
      <c r="H189" s="54">
        <v>1.6</v>
      </c>
      <c r="I189" s="35"/>
    </row>
    <row r="190" spans="1:9" x14ac:dyDescent="0.2">
      <c r="A190" s="43" t="s">
        <v>59</v>
      </c>
      <c r="B190" s="66">
        <v>113.50000000000003</v>
      </c>
      <c r="C190" s="66">
        <v>37.47</v>
      </c>
      <c r="D190" s="66">
        <v>12.62</v>
      </c>
      <c r="E190" s="66">
        <v>27.25</v>
      </c>
      <c r="F190" s="66">
        <v>6.83</v>
      </c>
      <c r="G190" s="65">
        <v>197.67000000000004</v>
      </c>
      <c r="H190" s="54">
        <v>1.6</v>
      </c>
      <c r="I190" s="35"/>
    </row>
    <row r="191" spans="1:9" x14ac:dyDescent="0.2">
      <c r="A191" s="43" t="s">
        <v>60</v>
      </c>
      <c r="B191" s="66">
        <v>94.160000000000025</v>
      </c>
      <c r="C191" s="66">
        <v>30.99</v>
      </c>
      <c r="D191" s="66">
        <v>12.62</v>
      </c>
      <c r="E191" s="66">
        <v>27.25</v>
      </c>
      <c r="F191" s="66">
        <v>6.83</v>
      </c>
      <c r="G191" s="65">
        <v>171.85000000000002</v>
      </c>
      <c r="H191" s="54">
        <v>1.6</v>
      </c>
      <c r="I191" s="35"/>
    </row>
    <row r="192" spans="1:9" x14ac:dyDescent="0.2">
      <c r="A192" s="43" t="s">
        <v>61</v>
      </c>
      <c r="B192" s="66">
        <v>91.180000000000021</v>
      </c>
      <c r="C192" s="66">
        <v>29.99</v>
      </c>
      <c r="D192" s="66">
        <v>12.62</v>
      </c>
      <c r="E192" s="66">
        <v>27.25</v>
      </c>
      <c r="F192" s="66">
        <v>6.83</v>
      </c>
      <c r="G192" s="65">
        <v>167.87000000000003</v>
      </c>
      <c r="H192" s="54">
        <v>1.6</v>
      </c>
      <c r="I192" s="35"/>
    </row>
    <row r="193" spans="1:9" x14ac:dyDescent="0.2">
      <c r="A193" s="43" t="s">
        <v>62</v>
      </c>
      <c r="B193" s="66">
        <v>84.380000000000024</v>
      </c>
      <c r="C193" s="66">
        <v>27.71</v>
      </c>
      <c r="D193" s="66">
        <v>12.62</v>
      </c>
      <c r="E193" s="66">
        <v>27.25</v>
      </c>
      <c r="F193" s="66">
        <v>6.83</v>
      </c>
      <c r="G193" s="65">
        <v>158.79000000000005</v>
      </c>
      <c r="H193" s="54">
        <v>1.6</v>
      </c>
      <c r="I193" s="35"/>
    </row>
    <row r="194" spans="1:9" x14ac:dyDescent="0.2">
      <c r="A194" s="43" t="s">
        <v>63</v>
      </c>
      <c r="B194" s="66">
        <v>84.110000000000028</v>
      </c>
      <c r="C194" s="66">
        <v>27.62</v>
      </c>
      <c r="D194" s="66">
        <v>12.62</v>
      </c>
      <c r="E194" s="66">
        <v>27.25</v>
      </c>
      <c r="F194" s="66">
        <v>6.83</v>
      </c>
      <c r="G194" s="65">
        <v>158.43000000000004</v>
      </c>
      <c r="H194" s="54">
        <v>1.6</v>
      </c>
      <c r="I194" s="35"/>
    </row>
    <row r="195" spans="1:9" x14ac:dyDescent="0.2">
      <c r="A195" s="43" t="s">
        <v>64</v>
      </c>
      <c r="B195" s="66">
        <v>68.360000000000028</v>
      </c>
      <c r="C195" s="66">
        <v>22.36</v>
      </c>
      <c r="D195" s="66">
        <v>12.62</v>
      </c>
      <c r="E195" s="66">
        <v>27.25</v>
      </c>
      <c r="F195" s="66">
        <v>6.83</v>
      </c>
      <c r="G195" s="65">
        <v>137.42000000000004</v>
      </c>
      <c r="H195" s="54">
        <v>1.6</v>
      </c>
      <c r="I195" s="35"/>
    </row>
    <row r="196" spans="1:9" x14ac:dyDescent="0.2">
      <c r="A196" s="43" t="s">
        <v>65</v>
      </c>
      <c r="B196" s="66">
        <v>62.999999999999993</v>
      </c>
      <c r="C196" s="66">
        <v>20.55</v>
      </c>
      <c r="D196" s="66">
        <v>12.62</v>
      </c>
      <c r="E196" s="66">
        <v>27.25</v>
      </c>
      <c r="F196" s="66">
        <v>6.83</v>
      </c>
      <c r="G196" s="65">
        <v>130.25</v>
      </c>
      <c r="H196" s="54">
        <v>1.6</v>
      </c>
      <c r="I196" s="35"/>
    </row>
    <row r="197" spans="1:9" x14ac:dyDescent="0.2">
      <c r="A197" s="43" t="s">
        <v>66</v>
      </c>
      <c r="B197" s="66">
        <v>59.949999999999996</v>
      </c>
      <c r="C197" s="66">
        <v>19.54</v>
      </c>
      <c r="D197" s="66">
        <v>12.62</v>
      </c>
      <c r="E197" s="66">
        <v>27.25</v>
      </c>
      <c r="F197" s="66">
        <v>6.83</v>
      </c>
      <c r="G197" s="65">
        <v>126.19</v>
      </c>
      <c r="H197" s="54">
        <v>1.6</v>
      </c>
      <c r="I197" s="35"/>
    </row>
    <row r="198" spans="1:9" x14ac:dyDescent="0.2">
      <c r="A198" s="43" t="s">
        <v>67</v>
      </c>
      <c r="B198" s="66">
        <v>55.73</v>
      </c>
      <c r="C198" s="66">
        <v>18.13</v>
      </c>
      <c r="D198" s="66">
        <v>12.62</v>
      </c>
      <c r="E198" s="66">
        <v>27.25</v>
      </c>
      <c r="F198" s="66">
        <v>6.83</v>
      </c>
      <c r="G198" s="65">
        <v>120.56</v>
      </c>
      <c r="H198" s="54">
        <v>1.6</v>
      </c>
      <c r="I198" s="35"/>
    </row>
    <row r="199" spans="1:9" x14ac:dyDescent="0.2">
      <c r="A199" s="43" t="s">
        <v>68</v>
      </c>
      <c r="B199" s="66">
        <v>51.219999999999992</v>
      </c>
      <c r="C199" s="66">
        <v>16.62</v>
      </c>
      <c r="D199" s="66">
        <v>12.62</v>
      </c>
      <c r="E199" s="66">
        <v>27.25</v>
      </c>
      <c r="F199" s="66">
        <v>6.83</v>
      </c>
      <c r="G199" s="65">
        <v>114.53999999999999</v>
      </c>
      <c r="H199" s="54">
        <v>1.6</v>
      </c>
      <c r="I199" s="35"/>
    </row>
    <row r="200" spans="1:9" x14ac:dyDescent="0.2">
      <c r="A200" s="43" t="s">
        <v>69</v>
      </c>
      <c r="B200" s="66">
        <v>46.149999999999991</v>
      </c>
      <c r="C200" s="66">
        <v>14.91</v>
      </c>
      <c r="D200" s="66">
        <v>12.62</v>
      </c>
      <c r="E200" s="66">
        <v>27.25</v>
      </c>
      <c r="F200" s="66">
        <v>6.83</v>
      </c>
      <c r="G200" s="65">
        <v>107.75999999999999</v>
      </c>
      <c r="H200" s="54">
        <v>1.6</v>
      </c>
      <c r="I200" s="35"/>
    </row>
    <row r="201" spans="1:9" x14ac:dyDescent="0.2">
      <c r="A201" s="43" t="s">
        <v>70</v>
      </c>
      <c r="B201" s="66">
        <v>51.359999999999992</v>
      </c>
      <c r="C201" s="66">
        <v>16.649999999999999</v>
      </c>
      <c r="D201" s="66">
        <v>12.62</v>
      </c>
      <c r="E201" s="66">
        <v>27.25</v>
      </c>
      <c r="F201" s="66">
        <v>6.83</v>
      </c>
      <c r="G201" s="65">
        <v>114.71</v>
      </c>
      <c r="H201" s="54">
        <v>1.6</v>
      </c>
      <c r="I201" s="35"/>
    </row>
    <row r="202" spans="1:9" x14ac:dyDescent="0.2">
      <c r="A202" s="43" t="s">
        <v>71</v>
      </c>
      <c r="B202" s="66">
        <v>45.62</v>
      </c>
      <c r="C202" s="66">
        <v>14.73</v>
      </c>
      <c r="D202" s="66">
        <v>12.62</v>
      </c>
      <c r="E202" s="66">
        <v>27.25</v>
      </c>
      <c r="F202" s="66">
        <v>6.83</v>
      </c>
      <c r="G202" s="65">
        <v>107.05</v>
      </c>
      <c r="H202" s="54">
        <v>1.6</v>
      </c>
      <c r="I202" s="35"/>
    </row>
    <row r="203" spans="1:9" x14ac:dyDescent="0.2">
      <c r="A203" s="43" t="s">
        <v>72</v>
      </c>
      <c r="B203" s="66">
        <v>38.759999999999991</v>
      </c>
      <c r="C203" s="66">
        <v>12.44</v>
      </c>
      <c r="D203" s="66">
        <v>12.62</v>
      </c>
      <c r="E203" s="66">
        <v>27.25</v>
      </c>
      <c r="F203" s="66">
        <v>6.83</v>
      </c>
      <c r="G203" s="65">
        <v>97.899999999999991</v>
      </c>
      <c r="H203" s="54">
        <v>1.6</v>
      </c>
      <c r="I203" s="35"/>
    </row>
    <row r="204" spans="1:9" x14ac:dyDescent="0.2">
      <c r="A204" s="43" t="s">
        <v>73</v>
      </c>
      <c r="B204" s="66">
        <v>35.029999999999994</v>
      </c>
      <c r="C204" s="66">
        <v>11.19</v>
      </c>
      <c r="D204" s="66">
        <v>12.62</v>
      </c>
      <c r="E204" s="66">
        <v>27.25</v>
      </c>
      <c r="F204" s="66">
        <v>6.83</v>
      </c>
      <c r="G204" s="65">
        <v>92.919999999999987</v>
      </c>
      <c r="H204" s="54">
        <v>1.6</v>
      </c>
      <c r="I204" s="35"/>
    </row>
    <row r="205" spans="1:9" x14ac:dyDescent="0.2">
      <c r="A205" s="43" t="s">
        <v>74</v>
      </c>
      <c r="B205" s="66">
        <v>49.819999999999993</v>
      </c>
      <c r="C205" s="66">
        <v>16.14</v>
      </c>
      <c r="D205" s="66">
        <v>12.62</v>
      </c>
      <c r="E205" s="66">
        <v>27.25</v>
      </c>
      <c r="F205" s="66">
        <v>6.83</v>
      </c>
      <c r="G205" s="65">
        <v>112.66</v>
      </c>
      <c r="H205" s="54">
        <v>1.6</v>
      </c>
      <c r="I205" s="35"/>
    </row>
    <row r="206" spans="1:9" x14ac:dyDescent="0.2">
      <c r="A206" s="43" t="s">
        <v>75</v>
      </c>
      <c r="B206" s="66">
        <v>41.91</v>
      </c>
      <c r="C206" s="66">
        <v>13.5</v>
      </c>
      <c r="D206" s="66">
        <v>12.62</v>
      </c>
      <c r="E206" s="66">
        <v>27.25</v>
      </c>
      <c r="F206" s="66">
        <v>6.83</v>
      </c>
      <c r="G206" s="65">
        <v>102.11</v>
      </c>
      <c r="H206" s="54">
        <v>1.6</v>
      </c>
      <c r="I206" s="35"/>
    </row>
    <row r="207" spans="1:9" x14ac:dyDescent="0.2">
      <c r="A207" s="43" t="s">
        <v>76</v>
      </c>
      <c r="B207" s="66">
        <v>37.409999999999997</v>
      </c>
      <c r="C207" s="66">
        <v>11.99</v>
      </c>
      <c r="D207" s="66">
        <v>12.62</v>
      </c>
      <c r="E207" s="66">
        <v>27.25</v>
      </c>
      <c r="F207" s="66">
        <v>6.83</v>
      </c>
      <c r="G207" s="65">
        <v>96.1</v>
      </c>
      <c r="H207" s="54">
        <v>1.6</v>
      </c>
      <c r="I207" s="35"/>
    </row>
    <row r="208" spans="1:9" x14ac:dyDescent="0.2">
      <c r="A208" s="43" t="s">
        <v>77</v>
      </c>
      <c r="B208" s="66">
        <v>30.669999999999995</v>
      </c>
      <c r="C208" s="66">
        <v>9.74</v>
      </c>
      <c r="D208" s="66">
        <v>12.62</v>
      </c>
      <c r="E208" s="66">
        <v>27.25</v>
      </c>
      <c r="F208" s="66">
        <v>6.83</v>
      </c>
      <c r="G208" s="65">
        <v>87.11</v>
      </c>
      <c r="H208" s="54">
        <v>1.6</v>
      </c>
      <c r="I208" s="35"/>
    </row>
    <row r="209" spans="1:9" x14ac:dyDescent="0.2">
      <c r="A209" s="43" t="s">
        <v>78</v>
      </c>
      <c r="B209" s="66">
        <v>56.219999999999992</v>
      </c>
      <c r="C209" s="66">
        <v>18.29</v>
      </c>
      <c r="D209" s="66">
        <v>12.62</v>
      </c>
      <c r="E209" s="66">
        <v>27.25</v>
      </c>
      <c r="F209" s="66">
        <v>6.83</v>
      </c>
      <c r="G209" s="65">
        <v>121.21</v>
      </c>
      <c r="H209" s="54">
        <v>1.6</v>
      </c>
      <c r="I209" s="35"/>
    </row>
    <row r="210" spans="1:9" x14ac:dyDescent="0.2">
      <c r="A210" s="43" t="s">
        <v>79</v>
      </c>
      <c r="B210" s="66">
        <v>51.319999999999993</v>
      </c>
      <c r="C210" s="66">
        <v>16.64</v>
      </c>
      <c r="D210" s="66">
        <v>12.62</v>
      </c>
      <c r="E210" s="66">
        <v>27.25</v>
      </c>
      <c r="F210" s="66">
        <v>6.83</v>
      </c>
      <c r="G210" s="65">
        <v>114.66</v>
      </c>
      <c r="H210" s="54">
        <v>1.6</v>
      </c>
      <c r="I210" s="35"/>
    </row>
    <row r="211" spans="1:9" x14ac:dyDescent="0.2">
      <c r="A211" s="43" t="s">
        <v>80</v>
      </c>
      <c r="B211" s="66">
        <v>52.509999999999991</v>
      </c>
      <c r="C211" s="66">
        <v>17.04</v>
      </c>
      <c r="D211" s="66">
        <v>12.62</v>
      </c>
      <c r="E211" s="66">
        <v>27.25</v>
      </c>
      <c r="F211" s="66">
        <v>6.83</v>
      </c>
      <c r="G211" s="65">
        <v>116.24999999999999</v>
      </c>
      <c r="H211" s="54">
        <v>1.6</v>
      </c>
      <c r="I211" s="35"/>
    </row>
    <row r="212" spans="1:9" x14ac:dyDescent="0.2">
      <c r="A212" s="43" t="s">
        <v>53</v>
      </c>
      <c r="B212" s="66">
        <v>47.449999999999996</v>
      </c>
      <c r="C212" s="66">
        <v>15.35</v>
      </c>
      <c r="D212" s="66">
        <v>12.62</v>
      </c>
      <c r="E212" s="66">
        <v>27.25</v>
      </c>
      <c r="F212" s="66">
        <v>6.83</v>
      </c>
      <c r="G212" s="65">
        <v>109.5</v>
      </c>
      <c r="H212" s="54">
        <v>1.6</v>
      </c>
      <c r="I212" s="35"/>
    </row>
    <row r="213" spans="1:9" x14ac:dyDescent="0.2">
      <c r="A213" s="43" t="s">
        <v>81</v>
      </c>
      <c r="B213" s="66">
        <v>45.3</v>
      </c>
      <c r="C213" s="66">
        <v>14.63</v>
      </c>
      <c r="D213" s="66">
        <v>12.62</v>
      </c>
      <c r="E213" s="66">
        <v>27.25</v>
      </c>
      <c r="F213" s="66">
        <v>6.83</v>
      </c>
      <c r="G213" s="65">
        <v>106.63</v>
      </c>
      <c r="H213" s="54">
        <v>1.6</v>
      </c>
      <c r="I213" s="35"/>
    </row>
    <row r="214" spans="1:9" x14ac:dyDescent="0.2">
      <c r="A214" s="43" t="s">
        <v>82</v>
      </c>
      <c r="B214" s="66">
        <v>42.069999999999993</v>
      </c>
      <c r="C214" s="66">
        <v>13.55</v>
      </c>
      <c r="D214" s="66">
        <v>12.62</v>
      </c>
      <c r="E214" s="66">
        <v>27.25</v>
      </c>
      <c r="F214" s="66">
        <v>6.83</v>
      </c>
      <c r="G214" s="65">
        <v>102.32</v>
      </c>
      <c r="H214" s="54">
        <v>1.6</v>
      </c>
      <c r="I214" s="35"/>
    </row>
    <row r="215" spans="1:9" x14ac:dyDescent="0.2">
      <c r="A215" s="43" t="s">
        <v>83</v>
      </c>
      <c r="B215" s="66">
        <v>40.079999999999991</v>
      </c>
      <c r="C215" s="66">
        <v>12.88</v>
      </c>
      <c r="D215" s="66">
        <v>12.62</v>
      </c>
      <c r="E215" s="66">
        <v>27.25</v>
      </c>
      <c r="F215" s="66">
        <v>6.83</v>
      </c>
      <c r="G215" s="65">
        <v>99.66</v>
      </c>
      <c r="H215" s="54">
        <v>1.6</v>
      </c>
      <c r="I215" s="35"/>
    </row>
    <row r="216" spans="1:9" x14ac:dyDescent="0.2">
      <c r="A216" s="43" t="s">
        <v>84</v>
      </c>
      <c r="B216" s="66">
        <v>36.519999999999996</v>
      </c>
      <c r="C216" s="66">
        <v>11.69</v>
      </c>
      <c r="D216" s="66">
        <v>12.62</v>
      </c>
      <c r="E216" s="66">
        <v>27.25</v>
      </c>
      <c r="F216" s="66">
        <v>6.83</v>
      </c>
      <c r="G216" s="65">
        <v>94.909999999999982</v>
      </c>
      <c r="H216" s="54">
        <v>1.6</v>
      </c>
      <c r="I216" s="35"/>
    </row>
    <row r="217" spans="1:9" x14ac:dyDescent="0.2">
      <c r="A217" s="43" t="s">
        <v>85</v>
      </c>
      <c r="B217" s="66">
        <v>32.169999999999995</v>
      </c>
      <c r="C217" s="66">
        <v>10.23</v>
      </c>
      <c r="D217" s="66">
        <v>12.62</v>
      </c>
      <c r="E217" s="66">
        <v>27.25</v>
      </c>
      <c r="F217" s="66">
        <v>6.83</v>
      </c>
      <c r="G217" s="65">
        <v>89.09999999999998</v>
      </c>
      <c r="H217" s="54">
        <v>1.6</v>
      </c>
      <c r="I217" s="35"/>
    </row>
    <row r="218" spans="1:9" x14ac:dyDescent="0.2">
      <c r="A218" s="43" t="s">
        <v>86</v>
      </c>
      <c r="B218" s="66">
        <v>28.459999999999994</v>
      </c>
      <c r="C218" s="66">
        <v>9</v>
      </c>
      <c r="D218" s="66">
        <v>12.62</v>
      </c>
      <c r="E218" s="66">
        <v>27.25</v>
      </c>
      <c r="F218" s="66">
        <v>6.83</v>
      </c>
      <c r="G218" s="65">
        <v>84.159999999999982</v>
      </c>
      <c r="H218" s="54">
        <v>1.6</v>
      </c>
      <c r="I218" s="35"/>
    </row>
    <row r="219" spans="1:9" x14ac:dyDescent="0.2">
      <c r="A219" s="45" t="s">
        <v>87</v>
      </c>
      <c r="B219" s="66">
        <v>28.459999999999994</v>
      </c>
      <c r="C219" s="66">
        <v>9</v>
      </c>
      <c r="D219" s="66">
        <v>12.62</v>
      </c>
      <c r="E219" s="66">
        <v>27.25</v>
      </c>
      <c r="F219" s="66">
        <v>6.83</v>
      </c>
      <c r="G219" s="65">
        <v>84.159999999999982</v>
      </c>
      <c r="H219" s="54">
        <v>1.6</v>
      </c>
      <c r="I219" s="35"/>
    </row>
    <row r="220" spans="1:9" x14ac:dyDescent="0.2">
      <c r="A220" s="45" t="s">
        <v>88</v>
      </c>
      <c r="B220" s="66">
        <v>28.459999999999994</v>
      </c>
      <c r="C220" s="66">
        <v>9</v>
      </c>
      <c r="D220" s="66">
        <v>12.62</v>
      </c>
      <c r="E220" s="66">
        <v>27.25</v>
      </c>
      <c r="F220" s="66">
        <v>6.83</v>
      </c>
      <c r="G220" s="65">
        <v>84.159999999999982</v>
      </c>
      <c r="H220" s="54">
        <v>1.6</v>
      </c>
      <c r="I220" s="35"/>
    </row>
    <row r="221" spans="1:9" x14ac:dyDescent="0.2">
      <c r="A221" s="55"/>
      <c r="B221" s="56"/>
      <c r="C221" s="33"/>
      <c r="D221" s="33"/>
      <c r="E221" s="33"/>
      <c r="F221" s="33"/>
      <c r="G221" s="57"/>
      <c r="H221" s="54"/>
      <c r="I221" s="33"/>
    </row>
    <row r="222" spans="1:9" x14ac:dyDescent="0.2">
      <c r="A222" s="58" t="s">
        <v>119</v>
      </c>
      <c r="B222" s="64">
        <v>96.81</v>
      </c>
      <c r="C222" s="64">
        <v>31.81</v>
      </c>
      <c r="D222" s="49"/>
      <c r="E222" s="49"/>
      <c r="F222" s="49"/>
      <c r="G222" s="50">
        <v>128.62</v>
      </c>
      <c r="H222" s="54">
        <v>0</v>
      </c>
      <c r="I222" s="33"/>
    </row>
    <row r="223" spans="1:9" x14ac:dyDescent="0.2">
      <c r="A223" s="51" t="s">
        <v>120</v>
      </c>
      <c r="B223" s="64">
        <v>38.72</v>
      </c>
      <c r="C223" s="64">
        <v>12.73</v>
      </c>
      <c r="D223" s="49"/>
      <c r="E223" s="49"/>
      <c r="F223" s="49"/>
      <c r="G223" s="50">
        <v>51.45</v>
      </c>
      <c r="H223" s="54">
        <v>0</v>
      </c>
      <c r="I223" s="33"/>
    </row>
    <row r="224" spans="1:9" x14ac:dyDescent="0.2">
      <c r="A224" s="59" t="s">
        <v>121</v>
      </c>
      <c r="B224" s="64">
        <v>58.09</v>
      </c>
      <c r="C224" s="64">
        <v>19.079999999999998</v>
      </c>
      <c r="D224" s="49"/>
      <c r="E224" s="49"/>
      <c r="F224" s="49"/>
      <c r="G224" s="50">
        <v>77.17</v>
      </c>
      <c r="H224" s="54">
        <v>0</v>
      </c>
      <c r="I224" s="33"/>
    </row>
    <row r="226" spans="1:9" ht="15.75" x14ac:dyDescent="0.25">
      <c r="A226" s="41" t="s">
        <v>130</v>
      </c>
      <c r="B226" s="42"/>
      <c r="C226" s="42"/>
      <c r="D226" s="42"/>
      <c r="E226" s="42"/>
      <c r="F226" s="42"/>
      <c r="G226" s="42"/>
      <c r="H226" s="52"/>
      <c r="I226" s="33"/>
    </row>
    <row r="227" spans="1:9" ht="76.5" x14ac:dyDescent="0.2">
      <c r="A227" s="37" t="s">
        <v>92</v>
      </c>
      <c r="B227" s="61" t="s">
        <v>114</v>
      </c>
      <c r="C227" s="61" t="s">
        <v>115</v>
      </c>
      <c r="D227" s="62" t="s">
        <v>116</v>
      </c>
      <c r="E227" s="61" t="s">
        <v>117</v>
      </c>
      <c r="F227" s="61" t="s">
        <v>118</v>
      </c>
      <c r="G227" s="62" t="s">
        <v>15</v>
      </c>
      <c r="H227" s="53" t="s">
        <v>131</v>
      </c>
      <c r="I227" s="33"/>
    </row>
    <row r="228" spans="1:9" x14ac:dyDescent="0.2">
      <c r="A228" s="43" t="s">
        <v>54</v>
      </c>
      <c r="B228" s="66">
        <v>111.87000000000003</v>
      </c>
      <c r="C228" s="66">
        <v>36.79</v>
      </c>
      <c r="D228" s="66">
        <v>12.62</v>
      </c>
      <c r="E228" s="66">
        <v>27.25</v>
      </c>
      <c r="F228" s="66">
        <v>6.83</v>
      </c>
      <c r="G228" s="65">
        <v>195.36000000000004</v>
      </c>
      <c r="H228" s="54">
        <v>2</v>
      </c>
      <c r="I228" s="35"/>
    </row>
    <row r="229" spans="1:9" x14ac:dyDescent="0.2">
      <c r="A229" s="43" t="s">
        <v>55</v>
      </c>
      <c r="B229" s="66">
        <v>94.970000000000027</v>
      </c>
      <c r="C229" s="66">
        <v>31.12</v>
      </c>
      <c r="D229" s="66">
        <v>12.62</v>
      </c>
      <c r="E229" s="66">
        <v>27.25</v>
      </c>
      <c r="F229" s="66">
        <v>6.83</v>
      </c>
      <c r="G229" s="65">
        <v>172.79000000000005</v>
      </c>
      <c r="H229" s="54">
        <v>2</v>
      </c>
      <c r="I229" s="35"/>
    </row>
    <row r="230" spans="1:9" x14ac:dyDescent="0.2">
      <c r="A230" s="43" t="s">
        <v>56</v>
      </c>
      <c r="B230" s="66">
        <v>87.180000000000035</v>
      </c>
      <c r="C230" s="66">
        <v>28.52</v>
      </c>
      <c r="D230" s="66">
        <v>12.62</v>
      </c>
      <c r="E230" s="66">
        <v>27.25</v>
      </c>
      <c r="F230" s="66">
        <v>6.83</v>
      </c>
      <c r="G230" s="65">
        <v>162.40000000000003</v>
      </c>
      <c r="H230" s="54">
        <v>2</v>
      </c>
      <c r="I230" s="35"/>
    </row>
    <row r="231" spans="1:9" x14ac:dyDescent="0.2">
      <c r="A231" s="43" t="s">
        <v>57</v>
      </c>
      <c r="B231" s="66">
        <v>72.700000000000031</v>
      </c>
      <c r="C231" s="66">
        <v>23.67</v>
      </c>
      <c r="D231" s="66">
        <v>12.62</v>
      </c>
      <c r="E231" s="66">
        <v>27.25</v>
      </c>
      <c r="F231" s="66">
        <v>6.83</v>
      </c>
      <c r="G231" s="65">
        <v>143.07000000000005</v>
      </c>
      <c r="H231" s="54">
        <v>2</v>
      </c>
      <c r="I231" s="35"/>
    </row>
    <row r="232" spans="1:9" x14ac:dyDescent="0.2">
      <c r="A232" s="43" t="s">
        <v>58</v>
      </c>
      <c r="B232" s="66">
        <v>140.02000000000004</v>
      </c>
      <c r="C232" s="66">
        <v>46.21</v>
      </c>
      <c r="D232" s="66">
        <v>12.62</v>
      </c>
      <c r="E232" s="66">
        <v>27.25</v>
      </c>
      <c r="F232" s="66">
        <v>6.83</v>
      </c>
      <c r="G232" s="65">
        <v>232.93000000000006</v>
      </c>
      <c r="H232" s="54">
        <v>2</v>
      </c>
      <c r="I232" s="35"/>
    </row>
    <row r="233" spans="1:9" x14ac:dyDescent="0.2">
      <c r="A233" s="43" t="s">
        <v>59</v>
      </c>
      <c r="B233" s="66">
        <v>113.90000000000003</v>
      </c>
      <c r="C233" s="66">
        <v>37.47</v>
      </c>
      <c r="D233" s="66">
        <v>12.62</v>
      </c>
      <c r="E233" s="66">
        <v>27.25</v>
      </c>
      <c r="F233" s="66">
        <v>6.83</v>
      </c>
      <c r="G233" s="65">
        <v>198.07000000000005</v>
      </c>
      <c r="H233" s="54">
        <v>2</v>
      </c>
      <c r="I233" s="35"/>
    </row>
    <row r="234" spans="1:9" x14ac:dyDescent="0.2">
      <c r="A234" s="43" t="s">
        <v>60</v>
      </c>
      <c r="B234" s="66">
        <v>94.560000000000031</v>
      </c>
      <c r="C234" s="66">
        <v>30.99</v>
      </c>
      <c r="D234" s="66">
        <v>12.62</v>
      </c>
      <c r="E234" s="66">
        <v>27.25</v>
      </c>
      <c r="F234" s="66">
        <v>6.83</v>
      </c>
      <c r="G234" s="65">
        <v>172.25000000000003</v>
      </c>
      <c r="H234" s="54">
        <v>2</v>
      </c>
      <c r="I234" s="35"/>
    </row>
    <row r="235" spans="1:9" x14ac:dyDescent="0.2">
      <c r="A235" s="43" t="s">
        <v>61</v>
      </c>
      <c r="B235" s="66">
        <v>91.580000000000027</v>
      </c>
      <c r="C235" s="66">
        <v>29.99</v>
      </c>
      <c r="D235" s="66">
        <v>12.62</v>
      </c>
      <c r="E235" s="66">
        <v>27.25</v>
      </c>
      <c r="F235" s="66">
        <v>6.83</v>
      </c>
      <c r="G235" s="65">
        <v>168.27000000000004</v>
      </c>
      <c r="H235" s="54">
        <v>2</v>
      </c>
      <c r="I235" s="35"/>
    </row>
    <row r="236" spans="1:9" x14ac:dyDescent="0.2">
      <c r="A236" s="43" t="s">
        <v>62</v>
      </c>
      <c r="B236" s="66">
        <v>84.78000000000003</v>
      </c>
      <c r="C236" s="66">
        <v>27.71</v>
      </c>
      <c r="D236" s="66">
        <v>12.62</v>
      </c>
      <c r="E236" s="66">
        <v>27.25</v>
      </c>
      <c r="F236" s="66">
        <v>6.83</v>
      </c>
      <c r="G236" s="65">
        <v>159.19000000000005</v>
      </c>
      <c r="H236" s="54">
        <v>2</v>
      </c>
      <c r="I236" s="35"/>
    </row>
    <row r="237" spans="1:9" x14ac:dyDescent="0.2">
      <c r="A237" s="43" t="s">
        <v>63</v>
      </c>
      <c r="B237" s="66">
        <v>84.510000000000034</v>
      </c>
      <c r="C237" s="66">
        <v>27.62</v>
      </c>
      <c r="D237" s="66">
        <v>12.62</v>
      </c>
      <c r="E237" s="66">
        <v>27.25</v>
      </c>
      <c r="F237" s="66">
        <v>6.83</v>
      </c>
      <c r="G237" s="65">
        <v>158.83000000000007</v>
      </c>
      <c r="H237" s="54">
        <v>2</v>
      </c>
      <c r="I237" s="35"/>
    </row>
    <row r="238" spans="1:9" x14ac:dyDescent="0.2">
      <c r="A238" s="43" t="s">
        <v>64</v>
      </c>
      <c r="B238" s="66">
        <v>68.760000000000034</v>
      </c>
      <c r="C238" s="66">
        <v>22.36</v>
      </c>
      <c r="D238" s="66">
        <v>12.62</v>
      </c>
      <c r="E238" s="66">
        <v>27.25</v>
      </c>
      <c r="F238" s="66">
        <v>6.83</v>
      </c>
      <c r="G238" s="65">
        <v>137.82000000000005</v>
      </c>
      <c r="H238" s="54">
        <v>2</v>
      </c>
      <c r="I238" s="35"/>
    </row>
    <row r="239" spans="1:9" x14ac:dyDescent="0.2">
      <c r="A239" s="43" t="s">
        <v>65</v>
      </c>
      <c r="B239" s="66">
        <v>63.399999999999991</v>
      </c>
      <c r="C239" s="66">
        <v>20.55</v>
      </c>
      <c r="D239" s="66">
        <v>12.62</v>
      </c>
      <c r="E239" s="66">
        <v>27.25</v>
      </c>
      <c r="F239" s="66">
        <v>6.83</v>
      </c>
      <c r="G239" s="65">
        <v>130.65</v>
      </c>
      <c r="H239" s="54">
        <v>2</v>
      </c>
      <c r="I239" s="35"/>
    </row>
    <row r="240" spans="1:9" x14ac:dyDescent="0.2">
      <c r="A240" s="43" t="s">
        <v>66</v>
      </c>
      <c r="B240" s="66">
        <v>60.349999999999994</v>
      </c>
      <c r="C240" s="66">
        <v>19.54</v>
      </c>
      <c r="D240" s="66">
        <v>12.62</v>
      </c>
      <c r="E240" s="66">
        <v>27.25</v>
      </c>
      <c r="F240" s="66">
        <v>6.83</v>
      </c>
      <c r="G240" s="65">
        <v>126.58999999999999</v>
      </c>
      <c r="H240" s="54">
        <v>2</v>
      </c>
      <c r="I240" s="35"/>
    </row>
    <row r="241" spans="1:9" x14ac:dyDescent="0.2">
      <c r="A241" s="43" t="s">
        <v>67</v>
      </c>
      <c r="B241" s="66">
        <v>56.129999999999995</v>
      </c>
      <c r="C241" s="66">
        <v>18.13</v>
      </c>
      <c r="D241" s="66">
        <v>12.62</v>
      </c>
      <c r="E241" s="66">
        <v>27.25</v>
      </c>
      <c r="F241" s="66">
        <v>6.83</v>
      </c>
      <c r="G241" s="65">
        <v>120.96</v>
      </c>
      <c r="H241" s="54">
        <v>2</v>
      </c>
      <c r="I241" s="35"/>
    </row>
    <row r="242" spans="1:9" x14ac:dyDescent="0.2">
      <c r="A242" s="43" t="s">
        <v>68</v>
      </c>
      <c r="B242" s="66">
        <v>51.61999999999999</v>
      </c>
      <c r="C242" s="66">
        <v>16.62</v>
      </c>
      <c r="D242" s="66">
        <v>12.62</v>
      </c>
      <c r="E242" s="66">
        <v>27.25</v>
      </c>
      <c r="F242" s="66">
        <v>6.83</v>
      </c>
      <c r="G242" s="65">
        <v>114.94</v>
      </c>
      <c r="H242" s="54">
        <v>2</v>
      </c>
      <c r="I242" s="35"/>
    </row>
    <row r="243" spans="1:9" x14ac:dyDescent="0.2">
      <c r="A243" s="43" t="s">
        <v>69</v>
      </c>
      <c r="B243" s="66">
        <v>46.54999999999999</v>
      </c>
      <c r="C243" s="66">
        <v>14.91</v>
      </c>
      <c r="D243" s="66">
        <v>12.62</v>
      </c>
      <c r="E243" s="66">
        <v>27.25</v>
      </c>
      <c r="F243" s="66">
        <v>6.83</v>
      </c>
      <c r="G243" s="65">
        <v>108.16</v>
      </c>
      <c r="H243" s="54">
        <v>2</v>
      </c>
      <c r="I243" s="35"/>
    </row>
    <row r="244" spans="1:9" x14ac:dyDescent="0.2">
      <c r="A244" s="43" t="s">
        <v>70</v>
      </c>
      <c r="B244" s="66">
        <v>51.759999999999991</v>
      </c>
      <c r="C244" s="66">
        <v>16.649999999999999</v>
      </c>
      <c r="D244" s="66">
        <v>12.62</v>
      </c>
      <c r="E244" s="66">
        <v>27.25</v>
      </c>
      <c r="F244" s="66">
        <v>6.83</v>
      </c>
      <c r="G244" s="65">
        <v>115.11</v>
      </c>
      <c r="H244" s="54">
        <v>2</v>
      </c>
      <c r="I244" s="35"/>
    </row>
    <row r="245" spans="1:9" x14ac:dyDescent="0.2">
      <c r="A245" s="43" t="s">
        <v>71</v>
      </c>
      <c r="B245" s="66">
        <v>46.019999999999996</v>
      </c>
      <c r="C245" s="66">
        <v>14.73</v>
      </c>
      <c r="D245" s="66">
        <v>12.62</v>
      </c>
      <c r="E245" s="66">
        <v>27.25</v>
      </c>
      <c r="F245" s="66">
        <v>6.83</v>
      </c>
      <c r="G245" s="65">
        <v>107.45</v>
      </c>
      <c r="H245" s="54">
        <v>2</v>
      </c>
      <c r="I245" s="35"/>
    </row>
    <row r="246" spans="1:9" x14ac:dyDescent="0.2">
      <c r="A246" s="43" t="s">
        <v>72</v>
      </c>
      <c r="B246" s="66">
        <v>39.159999999999989</v>
      </c>
      <c r="C246" s="66">
        <v>12.44</v>
      </c>
      <c r="D246" s="66">
        <v>12.62</v>
      </c>
      <c r="E246" s="66">
        <v>27.25</v>
      </c>
      <c r="F246" s="66">
        <v>6.83</v>
      </c>
      <c r="G246" s="65">
        <v>98.299999999999983</v>
      </c>
      <c r="H246" s="54">
        <v>2</v>
      </c>
      <c r="I246" s="35"/>
    </row>
    <row r="247" spans="1:9" x14ac:dyDescent="0.2">
      <c r="A247" s="43" t="s">
        <v>73</v>
      </c>
      <c r="B247" s="66">
        <v>35.429999999999993</v>
      </c>
      <c r="C247" s="66">
        <v>11.19</v>
      </c>
      <c r="D247" s="66">
        <v>12.62</v>
      </c>
      <c r="E247" s="66">
        <v>27.25</v>
      </c>
      <c r="F247" s="66">
        <v>6.83</v>
      </c>
      <c r="G247" s="65">
        <v>93.319999999999979</v>
      </c>
      <c r="H247" s="54">
        <v>2</v>
      </c>
      <c r="I247" s="35"/>
    </row>
    <row r="248" spans="1:9" x14ac:dyDescent="0.2">
      <c r="A248" s="43" t="s">
        <v>74</v>
      </c>
      <c r="B248" s="66">
        <v>50.219999999999992</v>
      </c>
      <c r="C248" s="66">
        <v>16.14</v>
      </c>
      <c r="D248" s="66">
        <v>12.62</v>
      </c>
      <c r="E248" s="66">
        <v>27.25</v>
      </c>
      <c r="F248" s="66">
        <v>6.83</v>
      </c>
      <c r="G248" s="65">
        <v>113.05999999999999</v>
      </c>
      <c r="H248" s="54">
        <v>2</v>
      </c>
      <c r="I248" s="35"/>
    </row>
    <row r="249" spans="1:9" x14ac:dyDescent="0.2">
      <c r="A249" s="43" t="s">
        <v>75</v>
      </c>
      <c r="B249" s="66">
        <v>42.309999999999995</v>
      </c>
      <c r="C249" s="66">
        <v>13.5</v>
      </c>
      <c r="D249" s="66">
        <v>12.62</v>
      </c>
      <c r="E249" s="66">
        <v>27.25</v>
      </c>
      <c r="F249" s="66">
        <v>6.83</v>
      </c>
      <c r="G249" s="65">
        <v>102.50999999999999</v>
      </c>
      <c r="H249" s="54">
        <v>2</v>
      </c>
      <c r="I249" s="35"/>
    </row>
    <row r="250" spans="1:9" x14ac:dyDescent="0.2">
      <c r="A250" s="43" t="s">
        <v>76</v>
      </c>
      <c r="B250" s="66">
        <v>37.809999999999995</v>
      </c>
      <c r="C250" s="66">
        <v>11.99</v>
      </c>
      <c r="D250" s="66">
        <v>12.62</v>
      </c>
      <c r="E250" s="66">
        <v>27.25</v>
      </c>
      <c r="F250" s="66">
        <v>6.83</v>
      </c>
      <c r="G250" s="65">
        <v>96.499999999999986</v>
      </c>
      <c r="H250" s="54">
        <v>2</v>
      </c>
      <c r="I250" s="35"/>
    </row>
    <row r="251" spans="1:9" x14ac:dyDescent="0.2">
      <c r="A251" s="43" t="s">
        <v>77</v>
      </c>
      <c r="B251" s="66">
        <v>31.069999999999993</v>
      </c>
      <c r="C251" s="66">
        <v>9.74</v>
      </c>
      <c r="D251" s="66">
        <v>12.62</v>
      </c>
      <c r="E251" s="66">
        <v>27.25</v>
      </c>
      <c r="F251" s="66">
        <v>6.83</v>
      </c>
      <c r="G251" s="65">
        <v>87.509999999999991</v>
      </c>
      <c r="H251" s="54">
        <v>2</v>
      </c>
      <c r="I251" s="35"/>
    </row>
    <row r="252" spans="1:9" x14ac:dyDescent="0.2">
      <c r="A252" s="43" t="s">
        <v>78</v>
      </c>
      <c r="B252" s="66">
        <v>56.61999999999999</v>
      </c>
      <c r="C252" s="66">
        <v>18.29</v>
      </c>
      <c r="D252" s="66">
        <v>12.62</v>
      </c>
      <c r="E252" s="66">
        <v>27.25</v>
      </c>
      <c r="F252" s="66">
        <v>6.83</v>
      </c>
      <c r="G252" s="65">
        <v>121.61</v>
      </c>
      <c r="H252" s="54">
        <v>2</v>
      </c>
      <c r="I252" s="35"/>
    </row>
    <row r="253" spans="1:9" x14ac:dyDescent="0.2">
      <c r="A253" s="43" t="s">
        <v>79</v>
      </c>
      <c r="B253" s="66">
        <v>51.719999999999992</v>
      </c>
      <c r="C253" s="66">
        <v>16.64</v>
      </c>
      <c r="D253" s="66">
        <v>12.62</v>
      </c>
      <c r="E253" s="66">
        <v>27.25</v>
      </c>
      <c r="F253" s="66">
        <v>6.83</v>
      </c>
      <c r="G253" s="65">
        <v>115.05999999999999</v>
      </c>
      <c r="H253" s="54">
        <v>2</v>
      </c>
      <c r="I253" s="35"/>
    </row>
    <row r="254" spans="1:9" x14ac:dyDescent="0.2">
      <c r="A254" s="43" t="s">
        <v>80</v>
      </c>
      <c r="B254" s="66">
        <v>52.909999999999989</v>
      </c>
      <c r="C254" s="66">
        <v>17.04</v>
      </c>
      <c r="D254" s="66">
        <v>12.62</v>
      </c>
      <c r="E254" s="66">
        <v>27.25</v>
      </c>
      <c r="F254" s="66">
        <v>6.83</v>
      </c>
      <c r="G254" s="65">
        <v>116.64999999999999</v>
      </c>
      <c r="H254" s="54">
        <v>2</v>
      </c>
      <c r="I254" s="35"/>
    </row>
    <row r="255" spans="1:9" x14ac:dyDescent="0.2">
      <c r="A255" s="43" t="s">
        <v>53</v>
      </c>
      <c r="B255" s="66">
        <v>47.849999999999994</v>
      </c>
      <c r="C255" s="66">
        <v>15.35</v>
      </c>
      <c r="D255" s="66">
        <v>12.62</v>
      </c>
      <c r="E255" s="66">
        <v>27.25</v>
      </c>
      <c r="F255" s="66">
        <v>6.83</v>
      </c>
      <c r="G255" s="65">
        <v>109.89999999999999</v>
      </c>
      <c r="H255" s="54">
        <v>2</v>
      </c>
      <c r="I255" s="35"/>
    </row>
    <row r="256" spans="1:9" x14ac:dyDescent="0.2">
      <c r="A256" s="43" t="s">
        <v>81</v>
      </c>
      <c r="B256" s="66">
        <v>45.699999999999996</v>
      </c>
      <c r="C256" s="66">
        <v>14.63</v>
      </c>
      <c r="D256" s="66">
        <v>12.62</v>
      </c>
      <c r="E256" s="66">
        <v>27.25</v>
      </c>
      <c r="F256" s="66">
        <v>6.83</v>
      </c>
      <c r="G256" s="65">
        <v>107.03</v>
      </c>
      <c r="H256" s="54">
        <v>2</v>
      </c>
      <c r="I256" s="35"/>
    </row>
    <row r="257" spans="1:9" x14ac:dyDescent="0.2">
      <c r="A257" s="43" t="s">
        <v>82</v>
      </c>
      <c r="B257" s="66">
        <v>42.469999999999992</v>
      </c>
      <c r="C257" s="66">
        <v>13.55</v>
      </c>
      <c r="D257" s="66">
        <v>12.62</v>
      </c>
      <c r="E257" s="66">
        <v>27.25</v>
      </c>
      <c r="F257" s="66">
        <v>6.83</v>
      </c>
      <c r="G257" s="65">
        <v>102.72</v>
      </c>
      <c r="H257" s="54">
        <v>2</v>
      </c>
      <c r="I257" s="35"/>
    </row>
    <row r="258" spans="1:9" x14ac:dyDescent="0.2">
      <c r="A258" s="43" t="s">
        <v>83</v>
      </c>
      <c r="B258" s="66">
        <v>40.47999999999999</v>
      </c>
      <c r="C258" s="66">
        <v>12.88</v>
      </c>
      <c r="D258" s="66">
        <v>12.62</v>
      </c>
      <c r="E258" s="66">
        <v>27.25</v>
      </c>
      <c r="F258" s="66">
        <v>6.83</v>
      </c>
      <c r="G258" s="65">
        <v>100.05999999999999</v>
      </c>
      <c r="H258" s="54">
        <v>2</v>
      </c>
      <c r="I258" s="35"/>
    </row>
    <row r="259" spans="1:9" x14ac:dyDescent="0.2">
      <c r="A259" s="43" t="s">
        <v>84</v>
      </c>
      <c r="B259" s="66">
        <v>36.919999999999995</v>
      </c>
      <c r="C259" s="66">
        <v>11.69</v>
      </c>
      <c r="D259" s="66">
        <v>12.62</v>
      </c>
      <c r="E259" s="66">
        <v>27.25</v>
      </c>
      <c r="F259" s="66">
        <v>6.83</v>
      </c>
      <c r="G259" s="65">
        <v>95.309999999999988</v>
      </c>
      <c r="H259" s="54">
        <v>2</v>
      </c>
      <c r="I259" s="35"/>
    </row>
    <row r="260" spans="1:9" x14ac:dyDescent="0.2">
      <c r="A260" s="43" t="s">
        <v>85</v>
      </c>
      <c r="B260" s="66">
        <v>32.569999999999993</v>
      </c>
      <c r="C260" s="66">
        <v>10.23</v>
      </c>
      <c r="D260" s="66">
        <v>12.62</v>
      </c>
      <c r="E260" s="66">
        <v>27.25</v>
      </c>
      <c r="F260" s="66">
        <v>6.83</v>
      </c>
      <c r="G260" s="65">
        <v>89.499999999999986</v>
      </c>
      <c r="H260" s="54">
        <v>2</v>
      </c>
      <c r="I260" s="35"/>
    </row>
    <row r="261" spans="1:9" x14ac:dyDescent="0.2">
      <c r="A261" s="43" t="s">
        <v>86</v>
      </c>
      <c r="B261" s="66">
        <v>28.859999999999992</v>
      </c>
      <c r="C261" s="66">
        <v>9</v>
      </c>
      <c r="D261" s="66">
        <v>12.62</v>
      </c>
      <c r="E261" s="66">
        <v>27.25</v>
      </c>
      <c r="F261" s="66">
        <v>6.83</v>
      </c>
      <c r="G261" s="65">
        <v>84.559999999999988</v>
      </c>
      <c r="H261" s="54">
        <v>2</v>
      </c>
      <c r="I261" s="35"/>
    </row>
    <row r="262" spans="1:9" x14ac:dyDescent="0.2">
      <c r="A262" s="45" t="s">
        <v>87</v>
      </c>
      <c r="B262" s="66">
        <v>28.859999999999992</v>
      </c>
      <c r="C262" s="66">
        <v>9</v>
      </c>
      <c r="D262" s="66">
        <v>12.62</v>
      </c>
      <c r="E262" s="66">
        <v>27.25</v>
      </c>
      <c r="F262" s="66">
        <v>6.83</v>
      </c>
      <c r="G262" s="65">
        <v>84.559999999999988</v>
      </c>
      <c r="H262" s="54">
        <v>2</v>
      </c>
      <c r="I262" s="35"/>
    </row>
    <row r="263" spans="1:9" x14ac:dyDescent="0.2">
      <c r="A263" s="45" t="s">
        <v>88</v>
      </c>
      <c r="B263" s="66">
        <v>28.859999999999992</v>
      </c>
      <c r="C263" s="66">
        <v>9</v>
      </c>
      <c r="D263" s="66">
        <v>12.62</v>
      </c>
      <c r="E263" s="66">
        <v>27.25</v>
      </c>
      <c r="F263" s="66">
        <v>6.83</v>
      </c>
      <c r="G263" s="65">
        <v>84.559999999999988</v>
      </c>
      <c r="H263" s="54">
        <v>2</v>
      </c>
      <c r="I263" s="35"/>
    </row>
    <row r="264" spans="1:9" x14ac:dyDescent="0.2">
      <c r="A264" s="55"/>
      <c r="B264" s="56"/>
      <c r="C264" s="33"/>
      <c r="D264" s="33"/>
      <c r="E264" s="33"/>
      <c r="F264" s="33"/>
      <c r="G264" s="57"/>
      <c r="H264" s="54"/>
      <c r="I264" s="33"/>
    </row>
    <row r="265" spans="1:9" x14ac:dyDescent="0.2">
      <c r="A265" s="58" t="s">
        <v>119</v>
      </c>
      <c r="B265" s="64">
        <v>96.81</v>
      </c>
      <c r="C265" s="64">
        <v>31.81</v>
      </c>
      <c r="D265" s="49"/>
      <c r="E265" s="49"/>
      <c r="F265" s="49"/>
      <c r="G265" s="50">
        <v>128.62</v>
      </c>
      <c r="H265" s="54">
        <v>0</v>
      </c>
      <c r="I265" s="33"/>
    </row>
    <row r="266" spans="1:9" x14ac:dyDescent="0.2">
      <c r="A266" s="51" t="s">
        <v>120</v>
      </c>
      <c r="B266" s="64">
        <v>38.72</v>
      </c>
      <c r="C266" s="64">
        <v>12.73</v>
      </c>
      <c r="D266" s="49"/>
      <c r="E266" s="49"/>
      <c r="F266" s="49"/>
      <c r="G266" s="50">
        <v>51.45</v>
      </c>
      <c r="H266" s="54">
        <v>0</v>
      </c>
      <c r="I266" s="33"/>
    </row>
    <row r="267" spans="1:9" x14ac:dyDescent="0.2">
      <c r="A267" s="59" t="s">
        <v>121</v>
      </c>
      <c r="B267" s="64">
        <v>58.09</v>
      </c>
      <c r="C267" s="64">
        <v>19.079999999999998</v>
      </c>
      <c r="D267" s="49"/>
      <c r="E267" s="49"/>
      <c r="F267" s="49"/>
      <c r="G267" s="50">
        <v>77.17</v>
      </c>
      <c r="H267" s="54">
        <v>0</v>
      </c>
      <c r="I267" s="33"/>
    </row>
    <row r="269" spans="1:9" ht="15.75" x14ac:dyDescent="0.25">
      <c r="A269" s="41" t="s">
        <v>132</v>
      </c>
      <c r="B269" s="42"/>
      <c r="C269" s="42"/>
      <c r="D269" s="42"/>
      <c r="E269" s="42"/>
      <c r="F269" s="42"/>
      <c r="G269" s="42"/>
      <c r="H269" s="52"/>
      <c r="I269" s="33"/>
    </row>
    <row r="270" spans="1:9" ht="76.5" x14ac:dyDescent="0.2">
      <c r="A270" s="37" t="s">
        <v>92</v>
      </c>
      <c r="B270" s="61" t="s">
        <v>114</v>
      </c>
      <c r="C270" s="61" t="s">
        <v>115</v>
      </c>
      <c r="D270" s="62" t="s">
        <v>116</v>
      </c>
      <c r="E270" s="61" t="s">
        <v>117</v>
      </c>
      <c r="F270" s="61" t="s">
        <v>118</v>
      </c>
      <c r="G270" s="62" t="s">
        <v>15</v>
      </c>
      <c r="H270" s="53" t="s">
        <v>133</v>
      </c>
      <c r="I270" s="33"/>
    </row>
    <row r="271" spans="1:9" x14ac:dyDescent="0.2">
      <c r="A271" s="43" t="s">
        <v>54</v>
      </c>
      <c r="B271" s="66">
        <v>112.27000000000004</v>
      </c>
      <c r="C271" s="66">
        <v>36.79</v>
      </c>
      <c r="D271" s="66">
        <v>12.62</v>
      </c>
      <c r="E271" s="66">
        <v>27.25</v>
      </c>
      <c r="F271" s="66">
        <v>6.83</v>
      </c>
      <c r="G271" s="65">
        <v>195.76000000000005</v>
      </c>
      <c r="H271" s="54">
        <v>2.4</v>
      </c>
      <c r="I271" s="35"/>
    </row>
    <row r="272" spans="1:9" x14ac:dyDescent="0.2">
      <c r="A272" s="43" t="s">
        <v>55</v>
      </c>
      <c r="B272" s="66">
        <v>95.370000000000033</v>
      </c>
      <c r="C272" s="66">
        <v>31.12</v>
      </c>
      <c r="D272" s="66">
        <v>12.62</v>
      </c>
      <c r="E272" s="66">
        <v>27.25</v>
      </c>
      <c r="F272" s="66">
        <v>6.83</v>
      </c>
      <c r="G272" s="65">
        <v>173.19000000000005</v>
      </c>
      <c r="H272" s="54">
        <v>2.4</v>
      </c>
      <c r="I272" s="35"/>
    </row>
    <row r="273" spans="1:9" x14ac:dyDescent="0.2">
      <c r="A273" s="43" t="s">
        <v>56</v>
      </c>
      <c r="B273" s="66">
        <v>87.580000000000041</v>
      </c>
      <c r="C273" s="66">
        <v>28.52</v>
      </c>
      <c r="D273" s="66">
        <v>12.62</v>
      </c>
      <c r="E273" s="66">
        <v>27.25</v>
      </c>
      <c r="F273" s="66">
        <v>6.83</v>
      </c>
      <c r="G273" s="65">
        <v>162.80000000000004</v>
      </c>
      <c r="H273" s="54">
        <v>2.4</v>
      </c>
      <c r="I273" s="35"/>
    </row>
    <row r="274" spans="1:9" x14ac:dyDescent="0.2">
      <c r="A274" s="43" t="s">
        <v>57</v>
      </c>
      <c r="B274" s="66">
        <v>73.100000000000037</v>
      </c>
      <c r="C274" s="66">
        <v>23.67</v>
      </c>
      <c r="D274" s="66">
        <v>12.62</v>
      </c>
      <c r="E274" s="66">
        <v>27.25</v>
      </c>
      <c r="F274" s="66">
        <v>6.83</v>
      </c>
      <c r="G274" s="65">
        <v>143.47000000000006</v>
      </c>
      <c r="H274" s="54">
        <v>2.4</v>
      </c>
      <c r="I274" s="35"/>
    </row>
    <row r="275" spans="1:9" x14ac:dyDescent="0.2">
      <c r="A275" s="43" t="s">
        <v>58</v>
      </c>
      <c r="B275" s="66">
        <v>140.42000000000004</v>
      </c>
      <c r="C275" s="66">
        <v>46.21</v>
      </c>
      <c r="D275" s="66">
        <v>12.62</v>
      </c>
      <c r="E275" s="66">
        <v>27.25</v>
      </c>
      <c r="F275" s="66">
        <v>6.83</v>
      </c>
      <c r="G275" s="65">
        <v>233.33000000000007</v>
      </c>
      <c r="H275" s="54">
        <v>2.4</v>
      </c>
      <c r="I275" s="35"/>
    </row>
    <row r="276" spans="1:9" x14ac:dyDescent="0.2">
      <c r="A276" s="43" t="s">
        <v>59</v>
      </c>
      <c r="B276" s="66">
        <v>114.30000000000004</v>
      </c>
      <c r="C276" s="66">
        <v>37.47</v>
      </c>
      <c r="D276" s="66">
        <v>12.62</v>
      </c>
      <c r="E276" s="66">
        <v>27.25</v>
      </c>
      <c r="F276" s="66">
        <v>6.83</v>
      </c>
      <c r="G276" s="65">
        <v>198.47000000000006</v>
      </c>
      <c r="H276" s="54">
        <v>2.4</v>
      </c>
      <c r="I276" s="35"/>
    </row>
    <row r="277" spans="1:9" x14ac:dyDescent="0.2">
      <c r="A277" s="43" t="s">
        <v>60</v>
      </c>
      <c r="B277" s="66">
        <v>94.960000000000036</v>
      </c>
      <c r="C277" s="66">
        <v>30.99</v>
      </c>
      <c r="D277" s="66">
        <v>12.62</v>
      </c>
      <c r="E277" s="66">
        <v>27.25</v>
      </c>
      <c r="F277" s="66">
        <v>6.83</v>
      </c>
      <c r="G277" s="65">
        <v>172.65000000000003</v>
      </c>
      <c r="H277" s="54">
        <v>2.4</v>
      </c>
      <c r="I277" s="35"/>
    </row>
    <row r="278" spans="1:9" x14ac:dyDescent="0.2">
      <c r="A278" s="43" t="s">
        <v>61</v>
      </c>
      <c r="B278" s="66">
        <v>91.980000000000032</v>
      </c>
      <c r="C278" s="66">
        <v>29.99</v>
      </c>
      <c r="D278" s="66">
        <v>12.62</v>
      </c>
      <c r="E278" s="66">
        <v>27.25</v>
      </c>
      <c r="F278" s="66">
        <v>6.83</v>
      </c>
      <c r="G278" s="65">
        <v>168.67000000000004</v>
      </c>
      <c r="H278" s="54">
        <v>2.4</v>
      </c>
      <c r="I278" s="35"/>
    </row>
    <row r="279" spans="1:9" x14ac:dyDescent="0.2">
      <c r="A279" s="43" t="s">
        <v>62</v>
      </c>
      <c r="B279" s="66">
        <v>85.180000000000035</v>
      </c>
      <c r="C279" s="66">
        <v>27.71</v>
      </c>
      <c r="D279" s="66">
        <v>12.62</v>
      </c>
      <c r="E279" s="66">
        <v>27.25</v>
      </c>
      <c r="F279" s="66">
        <v>6.83</v>
      </c>
      <c r="G279" s="65">
        <v>159.59000000000006</v>
      </c>
      <c r="H279" s="54">
        <v>2.4</v>
      </c>
      <c r="I279" s="35"/>
    </row>
    <row r="280" spans="1:9" x14ac:dyDescent="0.2">
      <c r="A280" s="43" t="s">
        <v>63</v>
      </c>
      <c r="B280" s="66">
        <v>84.910000000000039</v>
      </c>
      <c r="C280" s="66">
        <v>27.62</v>
      </c>
      <c r="D280" s="66">
        <v>12.62</v>
      </c>
      <c r="E280" s="66">
        <v>27.25</v>
      </c>
      <c r="F280" s="66">
        <v>6.83</v>
      </c>
      <c r="G280" s="65">
        <v>159.23000000000005</v>
      </c>
      <c r="H280" s="54">
        <v>2.4</v>
      </c>
      <c r="I280" s="35"/>
    </row>
    <row r="281" spans="1:9" x14ac:dyDescent="0.2">
      <c r="A281" s="43" t="s">
        <v>64</v>
      </c>
      <c r="B281" s="66">
        <v>69.160000000000039</v>
      </c>
      <c r="C281" s="66">
        <v>22.36</v>
      </c>
      <c r="D281" s="66">
        <v>12.62</v>
      </c>
      <c r="E281" s="66">
        <v>27.25</v>
      </c>
      <c r="F281" s="66">
        <v>6.83</v>
      </c>
      <c r="G281" s="65">
        <v>138.22000000000006</v>
      </c>
      <c r="H281" s="54">
        <v>2.4</v>
      </c>
      <c r="I281" s="35"/>
    </row>
    <row r="282" spans="1:9" x14ac:dyDescent="0.2">
      <c r="A282" s="43" t="s">
        <v>65</v>
      </c>
      <c r="B282" s="66">
        <v>63.79999999999999</v>
      </c>
      <c r="C282" s="66">
        <v>20.55</v>
      </c>
      <c r="D282" s="66">
        <v>12.62</v>
      </c>
      <c r="E282" s="66">
        <v>27.25</v>
      </c>
      <c r="F282" s="66">
        <v>6.83</v>
      </c>
      <c r="G282" s="65">
        <v>131.05000000000001</v>
      </c>
      <c r="H282" s="54">
        <v>2.4</v>
      </c>
      <c r="I282" s="35"/>
    </row>
    <row r="283" spans="1:9" x14ac:dyDescent="0.2">
      <c r="A283" s="43" t="s">
        <v>66</v>
      </c>
      <c r="B283" s="66">
        <v>60.749999999999993</v>
      </c>
      <c r="C283" s="66">
        <v>19.54</v>
      </c>
      <c r="D283" s="66">
        <v>12.62</v>
      </c>
      <c r="E283" s="66">
        <v>27.25</v>
      </c>
      <c r="F283" s="66">
        <v>6.83</v>
      </c>
      <c r="G283" s="65">
        <v>126.99</v>
      </c>
      <c r="H283" s="54">
        <v>2.4</v>
      </c>
      <c r="I283" s="35"/>
    </row>
    <row r="284" spans="1:9" x14ac:dyDescent="0.2">
      <c r="A284" s="43" t="s">
        <v>67</v>
      </c>
      <c r="B284" s="66">
        <v>56.529999999999994</v>
      </c>
      <c r="C284" s="66">
        <v>18.13</v>
      </c>
      <c r="D284" s="66">
        <v>12.62</v>
      </c>
      <c r="E284" s="66">
        <v>27.25</v>
      </c>
      <c r="F284" s="66">
        <v>6.83</v>
      </c>
      <c r="G284" s="65">
        <v>121.36</v>
      </c>
      <c r="H284" s="54">
        <v>2.4</v>
      </c>
      <c r="I284" s="35"/>
    </row>
    <row r="285" spans="1:9" x14ac:dyDescent="0.2">
      <c r="A285" s="43" t="s">
        <v>68</v>
      </c>
      <c r="B285" s="66">
        <v>52.019999999999989</v>
      </c>
      <c r="C285" s="66">
        <v>16.62</v>
      </c>
      <c r="D285" s="66">
        <v>12.62</v>
      </c>
      <c r="E285" s="66">
        <v>27.25</v>
      </c>
      <c r="F285" s="66">
        <v>6.83</v>
      </c>
      <c r="G285" s="65">
        <v>115.33999999999999</v>
      </c>
      <c r="H285" s="54">
        <v>2.4</v>
      </c>
      <c r="I285" s="35"/>
    </row>
    <row r="286" spans="1:9" x14ac:dyDescent="0.2">
      <c r="A286" s="43" t="s">
        <v>69</v>
      </c>
      <c r="B286" s="66">
        <v>46.949999999999989</v>
      </c>
      <c r="C286" s="66">
        <v>14.91</v>
      </c>
      <c r="D286" s="66">
        <v>12.62</v>
      </c>
      <c r="E286" s="66">
        <v>27.25</v>
      </c>
      <c r="F286" s="66">
        <v>6.83</v>
      </c>
      <c r="G286" s="65">
        <v>108.55999999999999</v>
      </c>
      <c r="H286" s="54">
        <v>2.4</v>
      </c>
      <c r="I286" s="35"/>
    </row>
    <row r="287" spans="1:9" x14ac:dyDescent="0.2">
      <c r="A287" s="43" t="s">
        <v>70</v>
      </c>
      <c r="B287" s="66">
        <v>52.159999999999989</v>
      </c>
      <c r="C287" s="66">
        <v>16.649999999999999</v>
      </c>
      <c r="D287" s="66">
        <v>12.62</v>
      </c>
      <c r="E287" s="66">
        <v>27.25</v>
      </c>
      <c r="F287" s="66">
        <v>6.83</v>
      </c>
      <c r="G287" s="65">
        <v>115.50999999999999</v>
      </c>
      <c r="H287" s="54">
        <v>2.4</v>
      </c>
      <c r="I287" s="35"/>
    </row>
    <row r="288" spans="1:9" x14ac:dyDescent="0.2">
      <c r="A288" s="43" t="s">
        <v>71</v>
      </c>
      <c r="B288" s="66">
        <v>46.419999999999995</v>
      </c>
      <c r="C288" s="66">
        <v>14.73</v>
      </c>
      <c r="D288" s="66">
        <v>12.62</v>
      </c>
      <c r="E288" s="66">
        <v>27.25</v>
      </c>
      <c r="F288" s="66">
        <v>6.83</v>
      </c>
      <c r="G288" s="65">
        <v>107.85</v>
      </c>
      <c r="H288" s="54">
        <v>2.4</v>
      </c>
      <c r="I288" s="35"/>
    </row>
    <row r="289" spans="1:9" x14ac:dyDescent="0.2">
      <c r="A289" s="43" t="s">
        <v>72</v>
      </c>
      <c r="B289" s="66">
        <v>39.559999999999988</v>
      </c>
      <c r="C289" s="66">
        <v>12.44</v>
      </c>
      <c r="D289" s="66">
        <v>12.62</v>
      </c>
      <c r="E289" s="66">
        <v>27.25</v>
      </c>
      <c r="F289" s="66">
        <v>6.83</v>
      </c>
      <c r="G289" s="65">
        <v>98.699999999999989</v>
      </c>
      <c r="H289" s="54">
        <v>2.4</v>
      </c>
      <c r="I289" s="35"/>
    </row>
    <row r="290" spans="1:9" x14ac:dyDescent="0.2">
      <c r="A290" s="43" t="s">
        <v>73</v>
      </c>
      <c r="B290" s="66">
        <v>35.829999999999991</v>
      </c>
      <c r="C290" s="66">
        <v>11.19</v>
      </c>
      <c r="D290" s="66">
        <v>12.62</v>
      </c>
      <c r="E290" s="66">
        <v>27.25</v>
      </c>
      <c r="F290" s="66">
        <v>6.83</v>
      </c>
      <c r="G290" s="65">
        <v>93.719999999999985</v>
      </c>
      <c r="H290" s="54">
        <v>2.4</v>
      </c>
      <c r="I290" s="35"/>
    </row>
    <row r="291" spans="1:9" x14ac:dyDescent="0.2">
      <c r="A291" s="43" t="s">
        <v>74</v>
      </c>
      <c r="B291" s="66">
        <v>50.61999999999999</v>
      </c>
      <c r="C291" s="66">
        <v>16.14</v>
      </c>
      <c r="D291" s="66">
        <v>12.62</v>
      </c>
      <c r="E291" s="66">
        <v>27.25</v>
      </c>
      <c r="F291" s="66">
        <v>6.83</v>
      </c>
      <c r="G291" s="65">
        <v>113.46</v>
      </c>
      <c r="H291" s="54">
        <v>2.4</v>
      </c>
      <c r="I291" s="35"/>
    </row>
    <row r="292" spans="1:9" x14ac:dyDescent="0.2">
      <c r="A292" s="43" t="s">
        <v>75</v>
      </c>
      <c r="B292" s="66">
        <v>42.709999999999994</v>
      </c>
      <c r="C292" s="66">
        <v>13.5</v>
      </c>
      <c r="D292" s="66">
        <v>12.62</v>
      </c>
      <c r="E292" s="66">
        <v>27.25</v>
      </c>
      <c r="F292" s="66">
        <v>6.83</v>
      </c>
      <c r="G292" s="65">
        <v>102.91</v>
      </c>
      <c r="H292" s="54">
        <v>2.4</v>
      </c>
      <c r="I292" s="35"/>
    </row>
    <row r="293" spans="1:9" x14ac:dyDescent="0.2">
      <c r="A293" s="43" t="s">
        <v>76</v>
      </c>
      <c r="B293" s="66">
        <v>38.209999999999994</v>
      </c>
      <c r="C293" s="66">
        <v>11.99</v>
      </c>
      <c r="D293" s="66">
        <v>12.62</v>
      </c>
      <c r="E293" s="66">
        <v>27.25</v>
      </c>
      <c r="F293" s="66">
        <v>6.83</v>
      </c>
      <c r="G293" s="65">
        <v>96.899999999999991</v>
      </c>
      <c r="H293" s="54">
        <v>2.4</v>
      </c>
      <c r="I293" s="35"/>
    </row>
    <row r="294" spans="1:9" x14ac:dyDescent="0.2">
      <c r="A294" s="43" t="s">
        <v>77</v>
      </c>
      <c r="B294" s="66">
        <v>31.469999999999992</v>
      </c>
      <c r="C294" s="66">
        <v>9.74</v>
      </c>
      <c r="D294" s="66">
        <v>12.62</v>
      </c>
      <c r="E294" s="66">
        <v>27.25</v>
      </c>
      <c r="F294" s="66">
        <v>6.83</v>
      </c>
      <c r="G294" s="65">
        <v>87.909999999999982</v>
      </c>
      <c r="H294" s="54">
        <v>2.4</v>
      </c>
      <c r="I294" s="35"/>
    </row>
    <row r="295" spans="1:9" x14ac:dyDescent="0.2">
      <c r="A295" s="43" t="s">
        <v>78</v>
      </c>
      <c r="B295" s="66">
        <v>57.019999999999989</v>
      </c>
      <c r="C295" s="66">
        <v>18.29</v>
      </c>
      <c r="D295" s="66">
        <v>12.62</v>
      </c>
      <c r="E295" s="66">
        <v>27.25</v>
      </c>
      <c r="F295" s="66">
        <v>6.83</v>
      </c>
      <c r="G295" s="65">
        <v>122.00999999999999</v>
      </c>
      <c r="H295" s="54">
        <v>2.4</v>
      </c>
      <c r="I295" s="35"/>
    </row>
    <row r="296" spans="1:9" x14ac:dyDescent="0.2">
      <c r="A296" s="43" t="s">
        <v>79</v>
      </c>
      <c r="B296" s="66">
        <v>52.11999999999999</v>
      </c>
      <c r="C296" s="66">
        <v>16.64</v>
      </c>
      <c r="D296" s="66">
        <v>12.62</v>
      </c>
      <c r="E296" s="66">
        <v>27.25</v>
      </c>
      <c r="F296" s="66">
        <v>6.83</v>
      </c>
      <c r="G296" s="65">
        <v>115.46</v>
      </c>
      <c r="H296" s="54">
        <v>2.4</v>
      </c>
      <c r="I296" s="35"/>
    </row>
    <row r="297" spans="1:9" x14ac:dyDescent="0.2">
      <c r="A297" s="43" t="s">
        <v>80</v>
      </c>
      <c r="B297" s="66">
        <v>53.309999999999988</v>
      </c>
      <c r="C297" s="66">
        <v>17.04</v>
      </c>
      <c r="D297" s="66">
        <v>12.62</v>
      </c>
      <c r="E297" s="66">
        <v>27.25</v>
      </c>
      <c r="F297" s="66">
        <v>6.83</v>
      </c>
      <c r="G297" s="65">
        <v>117.05</v>
      </c>
      <c r="H297" s="54">
        <v>2.4</v>
      </c>
      <c r="I297" s="35"/>
    </row>
    <row r="298" spans="1:9" x14ac:dyDescent="0.2">
      <c r="A298" s="43" t="s">
        <v>53</v>
      </c>
      <c r="B298" s="66">
        <v>48.249999999999993</v>
      </c>
      <c r="C298" s="66">
        <v>15.35</v>
      </c>
      <c r="D298" s="66">
        <v>12.62</v>
      </c>
      <c r="E298" s="66">
        <v>27.25</v>
      </c>
      <c r="F298" s="66">
        <v>6.83</v>
      </c>
      <c r="G298" s="65">
        <v>110.3</v>
      </c>
      <c r="H298" s="54">
        <v>2.4</v>
      </c>
      <c r="I298" s="35"/>
    </row>
    <row r="299" spans="1:9" x14ac:dyDescent="0.2">
      <c r="A299" s="43" t="s">
        <v>81</v>
      </c>
      <c r="B299" s="66">
        <v>46.099999999999994</v>
      </c>
      <c r="C299" s="66">
        <v>14.63</v>
      </c>
      <c r="D299" s="66">
        <v>12.62</v>
      </c>
      <c r="E299" s="66">
        <v>27.25</v>
      </c>
      <c r="F299" s="66">
        <v>6.83</v>
      </c>
      <c r="G299" s="65">
        <v>107.42999999999999</v>
      </c>
      <c r="H299" s="54">
        <v>2.4</v>
      </c>
      <c r="I299" s="35"/>
    </row>
    <row r="300" spans="1:9" x14ac:dyDescent="0.2">
      <c r="A300" s="43" t="s">
        <v>82</v>
      </c>
      <c r="B300" s="66">
        <v>42.86999999999999</v>
      </c>
      <c r="C300" s="66">
        <v>13.55</v>
      </c>
      <c r="D300" s="66">
        <v>12.62</v>
      </c>
      <c r="E300" s="66">
        <v>27.25</v>
      </c>
      <c r="F300" s="66">
        <v>6.83</v>
      </c>
      <c r="G300" s="65">
        <v>103.11999999999999</v>
      </c>
      <c r="H300" s="54">
        <v>2.4</v>
      </c>
      <c r="I300" s="35"/>
    </row>
    <row r="301" spans="1:9" x14ac:dyDescent="0.2">
      <c r="A301" s="43" t="s">
        <v>83</v>
      </c>
      <c r="B301" s="66">
        <v>40.879999999999988</v>
      </c>
      <c r="C301" s="66">
        <v>12.88</v>
      </c>
      <c r="D301" s="66">
        <v>12.62</v>
      </c>
      <c r="E301" s="66">
        <v>27.25</v>
      </c>
      <c r="F301" s="66">
        <v>6.83</v>
      </c>
      <c r="G301" s="65">
        <v>100.46</v>
      </c>
      <c r="H301" s="54">
        <v>2.4</v>
      </c>
      <c r="I301" s="35"/>
    </row>
    <row r="302" spans="1:9" x14ac:dyDescent="0.2">
      <c r="A302" s="43" t="s">
        <v>84</v>
      </c>
      <c r="B302" s="66">
        <v>37.319999999999993</v>
      </c>
      <c r="C302" s="66">
        <v>11.69</v>
      </c>
      <c r="D302" s="66">
        <v>12.62</v>
      </c>
      <c r="E302" s="66">
        <v>27.25</v>
      </c>
      <c r="F302" s="66">
        <v>6.83</v>
      </c>
      <c r="G302" s="65">
        <v>95.71</v>
      </c>
      <c r="H302" s="54">
        <v>2.4</v>
      </c>
      <c r="I302" s="35"/>
    </row>
    <row r="303" spans="1:9" x14ac:dyDescent="0.2">
      <c r="A303" s="43" t="s">
        <v>85</v>
      </c>
      <c r="B303" s="66">
        <v>32.969999999999992</v>
      </c>
      <c r="C303" s="66">
        <v>10.23</v>
      </c>
      <c r="D303" s="66">
        <v>12.62</v>
      </c>
      <c r="E303" s="66">
        <v>27.25</v>
      </c>
      <c r="F303" s="66">
        <v>6.83</v>
      </c>
      <c r="G303" s="65">
        <v>89.899999999999991</v>
      </c>
      <c r="H303" s="54">
        <v>2.4</v>
      </c>
      <c r="I303" s="35"/>
    </row>
    <row r="304" spans="1:9" x14ac:dyDescent="0.2">
      <c r="A304" s="43" t="s">
        <v>86</v>
      </c>
      <c r="B304" s="66">
        <v>29.259999999999991</v>
      </c>
      <c r="C304" s="66">
        <v>9</v>
      </c>
      <c r="D304" s="66">
        <v>12.62</v>
      </c>
      <c r="E304" s="66">
        <v>27.25</v>
      </c>
      <c r="F304" s="66">
        <v>6.83</v>
      </c>
      <c r="G304" s="65">
        <v>84.96</v>
      </c>
      <c r="H304" s="54">
        <v>2.4</v>
      </c>
      <c r="I304" s="35"/>
    </row>
    <row r="305" spans="1:9" x14ac:dyDescent="0.2">
      <c r="A305" s="45" t="s">
        <v>87</v>
      </c>
      <c r="B305" s="66">
        <v>29.259999999999991</v>
      </c>
      <c r="C305" s="66">
        <v>9</v>
      </c>
      <c r="D305" s="66">
        <v>12.62</v>
      </c>
      <c r="E305" s="66">
        <v>27.25</v>
      </c>
      <c r="F305" s="66">
        <v>6.83</v>
      </c>
      <c r="G305" s="65">
        <v>84.96</v>
      </c>
      <c r="H305" s="54">
        <v>2.4</v>
      </c>
      <c r="I305" s="35"/>
    </row>
    <row r="306" spans="1:9" x14ac:dyDescent="0.2">
      <c r="A306" s="45" t="s">
        <v>88</v>
      </c>
      <c r="B306" s="66">
        <v>29.259999999999991</v>
      </c>
      <c r="C306" s="66">
        <v>9</v>
      </c>
      <c r="D306" s="66">
        <v>12.62</v>
      </c>
      <c r="E306" s="66">
        <v>27.25</v>
      </c>
      <c r="F306" s="66">
        <v>6.83</v>
      </c>
      <c r="G306" s="65">
        <v>84.96</v>
      </c>
      <c r="H306" s="54">
        <v>2.4</v>
      </c>
      <c r="I306" s="35"/>
    </row>
    <row r="307" spans="1:9" x14ac:dyDescent="0.2">
      <c r="A307" s="55"/>
      <c r="B307" s="56"/>
      <c r="C307" s="33"/>
      <c r="D307" s="33"/>
      <c r="E307" s="33"/>
      <c r="F307" s="33"/>
      <c r="G307" s="57"/>
      <c r="H307" s="54"/>
      <c r="I307" s="33"/>
    </row>
    <row r="308" spans="1:9" x14ac:dyDescent="0.2">
      <c r="A308" s="58" t="s">
        <v>119</v>
      </c>
      <c r="B308" s="64">
        <v>96.81</v>
      </c>
      <c r="C308" s="64">
        <v>31.81</v>
      </c>
      <c r="D308" s="49"/>
      <c r="E308" s="49"/>
      <c r="F308" s="49"/>
      <c r="G308" s="50">
        <v>128.62</v>
      </c>
      <c r="H308" s="54">
        <v>0</v>
      </c>
      <c r="I308" s="33"/>
    </row>
    <row r="309" spans="1:9" x14ac:dyDescent="0.2">
      <c r="A309" s="51" t="s">
        <v>120</v>
      </c>
      <c r="B309" s="64">
        <v>38.72</v>
      </c>
      <c r="C309" s="64">
        <v>12.73</v>
      </c>
      <c r="D309" s="49"/>
      <c r="E309" s="49"/>
      <c r="F309" s="49"/>
      <c r="G309" s="50">
        <v>51.45</v>
      </c>
      <c r="H309" s="54">
        <v>0</v>
      </c>
      <c r="I309" s="33"/>
    </row>
    <row r="310" spans="1:9" x14ac:dyDescent="0.2">
      <c r="A310" s="59" t="s">
        <v>121</v>
      </c>
      <c r="B310" s="64">
        <v>58.09</v>
      </c>
      <c r="C310" s="64">
        <v>19.079999999999998</v>
      </c>
      <c r="D310" s="49"/>
      <c r="E310" s="49"/>
      <c r="F310" s="49"/>
      <c r="G310" s="50">
        <v>77.17</v>
      </c>
      <c r="H310" s="54">
        <v>0</v>
      </c>
      <c r="I310" s="33"/>
    </row>
    <row r="312" spans="1:9" ht="15.75" x14ac:dyDescent="0.25">
      <c r="A312" s="41" t="s">
        <v>134</v>
      </c>
      <c r="B312" s="42"/>
      <c r="C312" s="42"/>
      <c r="D312" s="42"/>
      <c r="E312" s="42"/>
      <c r="F312" s="42"/>
      <c r="G312" s="42"/>
      <c r="H312" s="52"/>
      <c r="I312" s="33"/>
    </row>
    <row r="313" spans="1:9" ht="76.5" x14ac:dyDescent="0.2">
      <c r="A313" s="37" t="s">
        <v>92</v>
      </c>
      <c r="B313" s="61" t="s">
        <v>114</v>
      </c>
      <c r="C313" s="61" t="s">
        <v>115</v>
      </c>
      <c r="D313" s="62" t="s">
        <v>116</v>
      </c>
      <c r="E313" s="61" t="s">
        <v>117</v>
      </c>
      <c r="F313" s="61" t="s">
        <v>118</v>
      </c>
      <c r="G313" s="62" t="s">
        <v>15</v>
      </c>
      <c r="H313" s="53" t="s">
        <v>135</v>
      </c>
      <c r="I313" s="33"/>
    </row>
    <row r="314" spans="1:9" x14ac:dyDescent="0.2">
      <c r="A314" s="43" t="s">
        <v>54</v>
      </c>
      <c r="B314" s="66">
        <v>112.67000000000004</v>
      </c>
      <c r="C314" s="66">
        <v>36.79</v>
      </c>
      <c r="D314" s="66">
        <v>12.62</v>
      </c>
      <c r="E314" s="66">
        <v>27.25</v>
      </c>
      <c r="F314" s="66">
        <v>6.83</v>
      </c>
      <c r="G314" s="65">
        <v>196.16000000000005</v>
      </c>
      <c r="H314" s="54">
        <v>2.8</v>
      </c>
      <c r="I314" s="35"/>
    </row>
    <row r="315" spans="1:9" x14ac:dyDescent="0.2">
      <c r="A315" s="43" t="s">
        <v>55</v>
      </c>
      <c r="B315" s="66">
        <v>95.770000000000039</v>
      </c>
      <c r="C315" s="66">
        <v>31.12</v>
      </c>
      <c r="D315" s="66">
        <v>12.62</v>
      </c>
      <c r="E315" s="66">
        <v>27.25</v>
      </c>
      <c r="F315" s="66">
        <v>6.83</v>
      </c>
      <c r="G315" s="65">
        <v>173.59000000000006</v>
      </c>
      <c r="H315" s="54">
        <v>2.8</v>
      </c>
      <c r="I315" s="35"/>
    </row>
    <row r="316" spans="1:9" x14ac:dyDescent="0.2">
      <c r="A316" s="43" t="s">
        <v>56</v>
      </c>
      <c r="B316" s="66">
        <v>87.980000000000047</v>
      </c>
      <c r="C316" s="66">
        <v>28.52</v>
      </c>
      <c r="D316" s="66">
        <v>12.62</v>
      </c>
      <c r="E316" s="66">
        <v>27.25</v>
      </c>
      <c r="F316" s="66">
        <v>6.83</v>
      </c>
      <c r="G316" s="65">
        <v>163.20000000000005</v>
      </c>
      <c r="H316" s="54">
        <v>2.8</v>
      </c>
      <c r="I316" s="35"/>
    </row>
    <row r="317" spans="1:9" x14ac:dyDescent="0.2">
      <c r="A317" s="43" t="s">
        <v>57</v>
      </c>
      <c r="B317" s="66">
        <v>73.500000000000043</v>
      </c>
      <c r="C317" s="66">
        <v>23.67</v>
      </c>
      <c r="D317" s="66">
        <v>12.62</v>
      </c>
      <c r="E317" s="66">
        <v>27.25</v>
      </c>
      <c r="F317" s="66">
        <v>6.83</v>
      </c>
      <c r="G317" s="65">
        <v>143.87000000000006</v>
      </c>
      <c r="H317" s="54">
        <v>2.8</v>
      </c>
      <c r="I317" s="35"/>
    </row>
    <row r="318" spans="1:9" x14ac:dyDescent="0.2">
      <c r="A318" s="43" t="s">
        <v>58</v>
      </c>
      <c r="B318" s="66">
        <v>140.82000000000005</v>
      </c>
      <c r="C318" s="66">
        <v>46.21</v>
      </c>
      <c r="D318" s="66">
        <v>12.62</v>
      </c>
      <c r="E318" s="66">
        <v>27.25</v>
      </c>
      <c r="F318" s="66">
        <v>6.83</v>
      </c>
      <c r="G318" s="65">
        <v>233.73000000000008</v>
      </c>
      <c r="H318" s="54">
        <v>2.8</v>
      </c>
      <c r="I318" s="35"/>
    </row>
    <row r="319" spans="1:9" x14ac:dyDescent="0.2">
      <c r="A319" s="43" t="s">
        <v>59</v>
      </c>
      <c r="B319" s="66">
        <v>114.70000000000005</v>
      </c>
      <c r="C319" s="66">
        <v>37.47</v>
      </c>
      <c r="D319" s="66">
        <v>12.62</v>
      </c>
      <c r="E319" s="66">
        <v>27.25</v>
      </c>
      <c r="F319" s="66">
        <v>6.83</v>
      </c>
      <c r="G319" s="65">
        <v>198.87000000000006</v>
      </c>
      <c r="H319" s="54">
        <v>2.8</v>
      </c>
      <c r="I319" s="35"/>
    </row>
    <row r="320" spans="1:9" x14ac:dyDescent="0.2">
      <c r="A320" s="43" t="s">
        <v>60</v>
      </c>
      <c r="B320" s="66">
        <v>95.360000000000042</v>
      </c>
      <c r="C320" s="66">
        <v>30.99</v>
      </c>
      <c r="D320" s="66">
        <v>12.62</v>
      </c>
      <c r="E320" s="66">
        <v>27.25</v>
      </c>
      <c r="F320" s="66">
        <v>6.83</v>
      </c>
      <c r="G320" s="65">
        <v>173.05000000000004</v>
      </c>
      <c r="H320" s="54">
        <v>2.8</v>
      </c>
      <c r="I320" s="35"/>
    </row>
    <row r="321" spans="1:9" x14ac:dyDescent="0.2">
      <c r="A321" s="43" t="s">
        <v>61</v>
      </c>
      <c r="B321" s="66">
        <v>92.380000000000038</v>
      </c>
      <c r="C321" s="66">
        <v>29.99</v>
      </c>
      <c r="D321" s="66">
        <v>12.62</v>
      </c>
      <c r="E321" s="66">
        <v>27.25</v>
      </c>
      <c r="F321" s="66">
        <v>6.83</v>
      </c>
      <c r="G321" s="65">
        <v>169.07000000000005</v>
      </c>
      <c r="H321" s="54">
        <v>2.8</v>
      </c>
      <c r="I321" s="35"/>
    </row>
    <row r="322" spans="1:9" x14ac:dyDescent="0.2">
      <c r="A322" s="43" t="s">
        <v>62</v>
      </c>
      <c r="B322" s="66">
        <v>85.580000000000041</v>
      </c>
      <c r="C322" s="66">
        <v>27.71</v>
      </c>
      <c r="D322" s="66">
        <v>12.62</v>
      </c>
      <c r="E322" s="66">
        <v>27.25</v>
      </c>
      <c r="F322" s="66">
        <v>6.83</v>
      </c>
      <c r="G322" s="65">
        <v>159.99000000000007</v>
      </c>
      <c r="H322" s="54">
        <v>2.8</v>
      </c>
      <c r="I322" s="35"/>
    </row>
    <row r="323" spans="1:9" x14ac:dyDescent="0.2">
      <c r="A323" s="43" t="s">
        <v>63</v>
      </c>
      <c r="B323" s="66">
        <v>85.310000000000045</v>
      </c>
      <c r="C323" s="66">
        <v>27.62</v>
      </c>
      <c r="D323" s="66">
        <v>12.62</v>
      </c>
      <c r="E323" s="66">
        <v>27.25</v>
      </c>
      <c r="F323" s="66">
        <v>6.83</v>
      </c>
      <c r="G323" s="65">
        <v>159.63000000000008</v>
      </c>
      <c r="H323" s="54">
        <v>2.8</v>
      </c>
      <c r="I323" s="35"/>
    </row>
    <row r="324" spans="1:9" x14ac:dyDescent="0.2">
      <c r="A324" s="43" t="s">
        <v>64</v>
      </c>
      <c r="B324" s="66">
        <v>69.560000000000045</v>
      </c>
      <c r="C324" s="66">
        <v>22.36</v>
      </c>
      <c r="D324" s="66">
        <v>12.62</v>
      </c>
      <c r="E324" s="66">
        <v>27.25</v>
      </c>
      <c r="F324" s="66">
        <v>6.83</v>
      </c>
      <c r="G324" s="65">
        <v>138.62000000000006</v>
      </c>
      <c r="H324" s="54">
        <v>2.8</v>
      </c>
      <c r="I324" s="35"/>
    </row>
    <row r="325" spans="1:9" x14ac:dyDescent="0.2">
      <c r="A325" s="43" t="s">
        <v>65</v>
      </c>
      <c r="B325" s="66">
        <v>64.199999999999989</v>
      </c>
      <c r="C325" s="66">
        <v>20.55</v>
      </c>
      <c r="D325" s="66">
        <v>12.62</v>
      </c>
      <c r="E325" s="66">
        <v>27.25</v>
      </c>
      <c r="F325" s="66">
        <v>6.83</v>
      </c>
      <c r="G325" s="65">
        <v>131.44999999999999</v>
      </c>
      <c r="H325" s="54">
        <v>2.8</v>
      </c>
      <c r="I325" s="35"/>
    </row>
    <row r="326" spans="1:9" x14ac:dyDescent="0.2">
      <c r="A326" s="43" t="s">
        <v>66</v>
      </c>
      <c r="B326" s="66">
        <v>61.149999999999991</v>
      </c>
      <c r="C326" s="66">
        <v>19.54</v>
      </c>
      <c r="D326" s="66">
        <v>12.62</v>
      </c>
      <c r="E326" s="66">
        <v>27.25</v>
      </c>
      <c r="F326" s="66">
        <v>6.83</v>
      </c>
      <c r="G326" s="65">
        <v>127.39</v>
      </c>
      <c r="H326" s="54">
        <v>2.8</v>
      </c>
      <c r="I326" s="35"/>
    </row>
    <row r="327" spans="1:9" x14ac:dyDescent="0.2">
      <c r="A327" s="43" t="s">
        <v>67</v>
      </c>
      <c r="B327" s="66">
        <v>56.929999999999993</v>
      </c>
      <c r="C327" s="66">
        <v>18.13</v>
      </c>
      <c r="D327" s="66">
        <v>12.62</v>
      </c>
      <c r="E327" s="66">
        <v>27.25</v>
      </c>
      <c r="F327" s="66">
        <v>6.83</v>
      </c>
      <c r="G327" s="65">
        <v>121.75999999999999</v>
      </c>
      <c r="H327" s="54">
        <v>2.8</v>
      </c>
      <c r="I327" s="35"/>
    </row>
    <row r="328" spans="1:9" x14ac:dyDescent="0.2">
      <c r="A328" s="43" t="s">
        <v>68</v>
      </c>
      <c r="B328" s="66">
        <v>52.419999999999987</v>
      </c>
      <c r="C328" s="66">
        <v>16.62</v>
      </c>
      <c r="D328" s="66">
        <v>12.62</v>
      </c>
      <c r="E328" s="66">
        <v>27.25</v>
      </c>
      <c r="F328" s="66">
        <v>6.83</v>
      </c>
      <c r="G328" s="65">
        <v>115.74</v>
      </c>
      <c r="H328" s="54">
        <v>2.8</v>
      </c>
      <c r="I328" s="35"/>
    </row>
    <row r="329" spans="1:9" x14ac:dyDescent="0.2">
      <c r="A329" s="43" t="s">
        <v>69</v>
      </c>
      <c r="B329" s="66">
        <v>47.349999999999987</v>
      </c>
      <c r="C329" s="66">
        <v>14.91</v>
      </c>
      <c r="D329" s="66">
        <v>12.62</v>
      </c>
      <c r="E329" s="66">
        <v>27.25</v>
      </c>
      <c r="F329" s="66">
        <v>6.83</v>
      </c>
      <c r="G329" s="65">
        <v>108.96</v>
      </c>
      <c r="H329" s="54">
        <v>2.8</v>
      </c>
      <c r="I329" s="35"/>
    </row>
    <row r="330" spans="1:9" x14ac:dyDescent="0.2">
      <c r="A330" s="43" t="s">
        <v>70</v>
      </c>
      <c r="B330" s="66">
        <v>52.559999999999988</v>
      </c>
      <c r="C330" s="66">
        <v>16.649999999999999</v>
      </c>
      <c r="D330" s="66">
        <v>12.62</v>
      </c>
      <c r="E330" s="66">
        <v>27.25</v>
      </c>
      <c r="F330" s="66">
        <v>6.83</v>
      </c>
      <c r="G330" s="65">
        <v>115.90999999999998</v>
      </c>
      <c r="H330" s="54">
        <v>2.8</v>
      </c>
      <c r="I330" s="35"/>
    </row>
    <row r="331" spans="1:9" x14ac:dyDescent="0.2">
      <c r="A331" s="43" t="s">
        <v>71</v>
      </c>
      <c r="B331" s="66">
        <v>46.819999999999993</v>
      </c>
      <c r="C331" s="66">
        <v>14.73</v>
      </c>
      <c r="D331" s="66">
        <v>12.62</v>
      </c>
      <c r="E331" s="66">
        <v>27.25</v>
      </c>
      <c r="F331" s="66">
        <v>6.83</v>
      </c>
      <c r="G331" s="65">
        <v>108.25</v>
      </c>
      <c r="H331" s="54">
        <v>2.8</v>
      </c>
      <c r="I331" s="35"/>
    </row>
    <row r="332" spans="1:9" x14ac:dyDescent="0.2">
      <c r="A332" s="43" t="s">
        <v>72</v>
      </c>
      <c r="B332" s="66">
        <v>39.959999999999987</v>
      </c>
      <c r="C332" s="66">
        <v>12.44</v>
      </c>
      <c r="D332" s="66">
        <v>12.62</v>
      </c>
      <c r="E332" s="66">
        <v>27.25</v>
      </c>
      <c r="F332" s="66">
        <v>6.83</v>
      </c>
      <c r="G332" s="65">
        <v>99.09999999999998</v>
      </c>
      <c r="H332" s="54">
        <v>2.8</v>
      </c>
      <c r="I332" s="35"/>
    </row>
    <row r="333" spans="1:9" x14ac:dyDescent="0.2">
      <c r="A333" s="43" t="s">
        <v>73</v>
      </c>
      <c r="B333" s="66">
        <v>36.22999999999999</v>
      </c>
      <c r="C333" s="66">
        <v>11.19</v>
      </c>
      <c r="D333" s="66">
        <v>12.62</v>
      </c>
      <c r="E333" s="66">
        <v>27.25</v>
      </c>
      <c r="F333" s="66">
        <v>6.83</v>
      </c>
      <c r="G333" s="65">
        <v>94.11999999999999</v>
      </c>
      <c r="H333" s="54">
        <v>2.8</v>
      </c>
      <c r="I333" s="35"/>
    </row>
    <row r="334" spans="1:9" x14ac:dyDescent="0.2">
      <c r="A334" s="43" t="s">
        <v>74</v>
      </c>
      <c r="B334" s="66">
        <v>51.019999999999989</v>
      </c>
      <c r="C334" s="66">
        <v>16.14</v>
      </c>
      <c r="D334" s="66">
        <v>12.62</v>
      </c>
      <c r="E334" s="66">
        <v>27.25</v>
      </c>
      <c r="F334" s="66">
        <v>6.83</v>
      </c>
      <c r="G334" s="65">
        <v>113.86</v>
      </c>
      <c r="H334" s="54">
        <v>2.8</v>
      </c>
      <c r="I334" s="35"/>
    </row>
    <row r="335" spans="1:9" x14ac:dyDescent="0.2">
      <c r="A335" s="43" t="s">
        <v>75</v>
      </c>
      <c r="B335" s="66">
        <v>43.109999999999992</v>
      </c>
      <c r="C335" s="66">
        <v>13.5</v>
      </c>
      <c r="D335" s="66">
        <v>12.62</v>
      </c>
      <c r="E335" s="66">
        <v>27.25</v>
      </c>
      <c r="F335" s="66">
        <v>6.83</v>
      </c>
      <c r="G335" s="65">
        <v>103.30999999999999</v>
      </c>
      <c r="H335" s="54">
        <v>2.8</v>
      </c>
      <c r="I335" s="35"/>
    </row>
    <row r="336" spans="1:9" x14ac:dyDescent="0.2">
      <c r="A336" s="43" t="s">
        <v>76</v>
      </c>
      <c r="B336" s="66">
        <v>38.609999999999992</v>
      </c>
      <c r="C336" s="66">
        <v>11.99</v>
      </c>
      <c r="D336" s="66">
        <v>12.62</v>
      </c>
      <c r="E336" s="66">
        <v>27.25</v>
      </c>
      <c r="F336" s="66">
        <v>6.83</v>
      </c>
      <c r="G336" s="65">
        <v>97.3</v>
      </c>
      <c r="H336" s="54">
        <v>2.8</v>
      </c>
      <c r="I336" s="35"/>
    </row>
    <row r="337" spans="1:9" x14ac:dyDescent="0.2">
      <c r="A337" s="43" t="s">
        <v>77</v>
      </c>
      <c r="B337" s="66">
        <v>31.86999999999999</v>
      </c>
      <c r="C337" s="66">
        <v>9.74</v>
      </c>
      <c r="D337" s="66">
        <v>12.62</v>
      </c>
      <c r="E337" s="66">
        <v>27.25</v>
      </c>
      <c r="F337" s="66">
        <v>6.83</v>
      </c>
      <c r="G337" s="65">
        <v>88.309999999999988</v>
      </c>
      <c r="H337" s="54">
        <v>2.8</v>
      </c>
      <c r="I337" s="35"/>
    </row>
    <row r="338" spans="1:9" x14ac:dyDescent="0.2">
      <c r="A338" s="43" t="s">
        <v>78</v>
      </c>
      <c r="B338" s="66">
        <v>57.419999999999987</v>
      </c>
      <c r="C338" s="66">
        <v>18.29</v>
      </c>
      <c r="D338" s="66">
        <v>12.62</v>
      </c>
      <c r="E338" s="66">
        <v>27.25</v>
      </c>
      <c r="F338" s="66">
        <v>6.83</v>
      </c>
      <c r="G338" s="65">
        <v>122.40999999999998</v>
      </c>
      <c r="H338" s="54">
        <v>2.8</v>
      </c>
      <c r="I338" s="35"/>
    </row>
    <row r="339" spans="1:9" x14ac:dyDescent="0.2">
      <c r="A339" s="43" t="s">
        <v>79</v>
      </c>
      <c r="B339" s="66">
        <v>52.519999999999989</v>
      </c>
      <c r="C339" s="66">
        <v>16.64</v>
      </c>
      <c r="D339" s="66">
        <v>12.62</v>
      </c>
      <c r="E339" s="66">
        <v>27.25</v>
      </c>
      <c r="F339" s="66">
        <v>6.83</v>
      </c>
      <c r="G339" s="65">
        <v>115.86</v>
      </c>
      <c r="H339" s="54">
        <v>2.8</v>
      </c>
      <c r="I339" s="35"/>
    </row>
    <row r="340" spans="1:9" x14ac:dyDescent="0.2">
      <c r="A340" s="43" t="s">
        <v>80</v>
      </c>
      <c r="B340" s="66">
        <v>53.709999999999987</v>
      </c>
      <c r="C340" s="66">
        <v>17.04</v>
      </c>
      <c r="D340" s="66">
        <v>12.62</v>
      </c>
      <c r="E340" s="66">
        <v>27.25</v>
      </c>
      <c r="F340" s="66">
        <v>6.83</v>
      </c>
      <c r="G340" s="65">
        <v>117.44999999999999</v>
      </c>
      <c r="H340" s="54">
        <v>2.8</v>
      </c>
      <c r="I340" s="35"/>
    </row>
    <row r="341" spans="1:9" x14ac:dyDescent="0.2">
      <c r="A341" s="43" t="s">
        <v>53</v>
      </c>
      <c r="B341" s="66">
        <v>48.649999999999991</v>
      </c>
      <c r="C341" s="66">
        <v>15.35</v>
      </c>
      <c r="D341" s="66">
        <v>12.62</v>
      </c>
      <c r="E341" s="66">
        <v>27.25</v>
      </c>
      <c r="F341" s="66">
        <v>6.83</v>
      </c>
      <c r="G341" s="65">
        <v>110.69999999999999</v>
      </c>
      <c r="H341" s="54">
        <v>2.8</v>
      </c>
      <c r="I341" s="35"/>
    </row>
    <row r="342" spans="1:9" x14ac:dyDescent="0.2">
      <c r="A342" s="43" t="s">
        <v>81</v>
      </c>
      <c r="B342" s="66">
        <v>46.499999999999993</v>
      </c>
      <c r="C342" s="66">
        <v>14.63</v>
      </c>
      <c r="D342" s="66">
        <v>12.62</v>
      </c>
      <c r="E342" s="66">
        <v>27.25</v>
      </c>
      <c r="F342" s="66">
        <v>6.83</v>
      </c>
      <c r="G342" s="65">
        <v>107.83</v>
      </c>
      <c r="H342" s="54">
        <v>2.8</v>
      </c>
      <c r="I342" s="35"/>
    </row>
    <row r="343" spans="1:9" x14ac:dyDescent="0.2">
      <c r="A343" s="43" t="s">
        <v>82</v>
      </c>
      <c r="B343" s="66">
        <v>43.269999999999989</v>
      </c>
      <c r="C343" s="66">
        <v>13.55</v>
      </c>
      <c r="D343" s="66">
        <v>12.62</v>
      </c>
      <c r="E343" s="66">
        <v>27.25</v>
      </c>
      <c r="F343" s="66">
        <v>6.83</v>
      </c>
      <c r="G343" s="65">
        <v>103.52</v>
      </c>
      <c r="H343" s="54">
        <v>2.8</v>
      </c>
      <c r="I343" s="35"/>
    </row>
    <row r="344" spans="1:9" x14ac:dyDescent="0.2">
      <c r="A344" s="43" t="s">
        <v>83</v>
      </c>
      <c r="B344" s="66">
        <v>41.279999999999987</v>
      </c>
      <c r="C344" s="66">
        <v>12.88</v>
      </c>
      <c r="D344" s="66">
        <v>12.62</v>
      </c>
      <c r="E344" s="66">
        <v>27.25</v>
      </c>
      <c r="F344" s="66">
        <v>6.83</v>
      </c>
      <c r="G344" s="65">
        <v>100.85999999999999</v>
      </c>
      <c r="H344" s="54">
        <v>2.8</v>
      </c>
      <c r="I344" s="35"/>
    </row>
    <row r="345" spans="1:9" x14ac:dyDescent="0.2">
      <c r="A345" s="43" t="s">
        <v>84</v>
      </c>
      <c r="B345" s="66">
        <v>37.719999999999992</v>
      </c>
      <c r="C345" s="66">
        <v>11.69</v>
      </c>
      <c r="D345" s="66">
        <v>12.62</v>
      </c>
      <c r="E345" s="66">
        <v>27.25</v>
      </c>
      <c r="F345" s="66">
        <v>6.83</v>
      </c>
      <c r="G345" s="65">
        <v>96.109999999999985</v>
      </c>
      <c r="H345" s="54">
        <v>2.8</v>
      </c>
      <c r="I345" s="35"/>
    </row>
    <row r="346" spans="1:9" x14ac:dyDescent="0.2">
      <c r="A346" s="43" t="s">
        <v>85</v>
      </c>
      <c r="B346" s="66">
        <v>33.36999999999999</v>
      </c>
      <c r="C346" s="66">
        <v>10.23</v>
      </c>
      <c r="D346" s="66">
        <v>12.62</v>
      </c>
      <c r="E346" s="66">
        <v>27.25</v>
      </c>
      <c r="F346" s="66">
        <v>6.83</v>
      </c>
      <c r="G346" s="65">
        <v>90.3</v>
      </c>
      <c r="H346" s="54">
        <v>2.8</v>
      </c>
      <c r="I346" s="35"/>
    </row>
    <row r="347" spans="1:9" x14ac:dyDescent="0.2">
      <c r="A347" s="43" t="s">
        <v>86</v>
      </c>
      <c r="B347" s="66">
        <v>29.659999999999989</v>
      </c>
      <c r="C347" s="66">
        <v>9</v>
      </c>
      <c r="D347" s="66">
        <v>12.62</v>
      </c>
      <c r="E347" s="66">
        <v>27.25</v>
      </c>
      <c r="F347" s="66">
        <v>6.83</v>
      </c>
      <c r="G347" s="65">
        <v>85.359999999999985</v>
      </c>
      <c r="H347" s="54">
        <v>2.8</v>
      </c>
      <c r="I347" s="35"/>
    </row>
    <row r="348" spans="1:9" x14ac:dyDescent="0.2">
      <c r="A348" s="45" t="s">
        <v>87</v>
      </c>
      <c r="B348" s="66">
        <v>29.659999999999989</v>
      </c>
      <c r="C348" s="66">
        <v>9</v>
      </c>
      <c r="D348" s="66">
        <v>12.62</v>
      </c>
      <c r="E348" s="66">
        <v>27.25</v>
      </c>
      <c r="F348" s="66">
        <v>6.83</v>
      </c>
      <c r="G348" s="65">
        <v>85.359999999999985</v>
      </c>
      <c r="H348" s="54">
        <v>2.8</v>
      </c>
      <c r="I348" s="35"/>
    </row>
    <row r="349" spans="1:9" x14ac:dyDescent="0.2">
      <c r="A349" s="45" t="s">
        <v>88</v>
      </c>
      <c r="B349" s="66">
        <v>29.659999999999989</v>
      </c>
      <c r="C349" s="66">
        <v>9</v>
      </c>
      <c r="D349" s="66">
        <v>12.62</v>
      </c>
      <c r="E349" s="66">
        <v>27.25</v>
      </c>
      <c r="F349" s="66">
        <v>6.83</v>
      </c>
      <c r="G349" s="65">
        <v>85.359999999999985</v>
      </c>
      <c r="H349" s="54">
        <v>2.8</v>
      </c>
      <c r="I349" s="35"/>
    </row>
    <row r="350" spans="1:9" x14ac:dyDescent="0.2">
      <c r="A350" s="55"/>
      <c r="B350" s="56"/>
      <c r="C350" s="33"/>
      <c r="D350" s="33"/>
      <c r="E350" s="33"/>
      <c r="F350" s="33"/>
      <c r="G350" s="57"/>
      <c r="H350" s="54"/>
      <c r="I350" s="33"/>
    </row>
    <row r="351" spans="1:9" x14ac:dyDescent="0.2">
      <c r="A351" s="58" t="s">
        <v>119</v>
      </c>
      <c r="B351" s="64">
        <v>96.81</v>
      </c>
      <c r="C351" s="64">
        <v>31.81</v>
      </c>
      <c r="D351" s="49"/>
      <c r="E351" s="49"/>
      <c r="F351" s="49"/>
      <c r="G351" s="50">
        <v>128.62</v>
      </c>
      <c r="H351" s="54">
        <v>0</v>
      </c>
      <c r="I351" s="33"/>
    </row>
    <row r="352" spans="1:9" x14ac:dyDescent="0.2">
      <c r="A352" s="51" t="s">
        <v>120</v>
      </c>
      <c r="B352" s="64">
        <v>38.72</v>
      </c>
      <c r="C352" s="64">
        <v>12.73</v>
      </c>
      <c r="D352" s="49"/>
      <c r="E352" s="49"/>
      <c r="F352" s="49"/>
      <c r="G352" s="50">
        <v>51.45</v>
      </c>
      <c r="H352" s="54">
        <v>0</v>
      </c>
      <c r="I352" s="33"/>
    </row>
    <row r="353" spans="1:9" x14ac:dyDescent="0.2">
      <c r="A353" s="59" t="s">
        <v>121</v>
      </c>
      <c r="B353" s="64">
        <v>58.09</v>
      </c>
      <c r="C353" s="64">
        <v>19.079999999999998</v>
      </c>
      <c r="D353" s="49"/>
      <c r="E353" s="49"/>
      <c r="F353" s="49"/>
      <c r="G353" s="50">
        <v>77.17</v>
      </c>
      <c r="H353" s="54">
        <v>0</v>
      </c>
      <c r="I353" s="33"/>
    </row>
    <row r="355" spans="1:9" ht="15.75" x14ac:dyDescent="0.25">
      <c r="A355" s="41" t="s">
        <v>136</v>
      </c>
      <c r="B355" s="42"/>
      <c r="C355" s="42"/>
      <c r="D355" s="42"/>
      <c r="E355" s="42"/>
      <c r="F355" s="42"/>
      <c r="G355" s="42"/>
      <c r="H355" s="52"/>
      <c r="I355" s="33"/>
    </row>
    <row r="356" spans="1:9" ht="76.5" x14ac:dyDescent="0.2">
      <c r="A356" s="37" t="s">
        <v>92</v>
      </c>
      <c r="B356" s="61" t="s">
        <v>114</v>
      </c>
      <c r="C356" s="61" t="s">
        <v>115</v>
      </c>
      <c r="D356" s="62" t="s">
        <v>116</v>
      </c>
      <c r="E356" s="61" t="s">
        <v>117</v>
      </c>
      <c r="F356" s="61" t="s">
        <v>118</v>
      </c>
      <c r="G356" s="62" t="s">
        <v>15</v>
      </c>
      <c r="H356" s="53" t="s">
        <v>137</v>
      </c>
      <c r="I356" s="33"/>
    </row>
    <row r="357" spans="1:9" x14ac:dyDescent="0.2">
      <c r="A357" s="43" t="s">
        <v>54</v>
      </c>
      <c r="B357" s="66">
        <v>113.07000000000005</v>
      </c>
      <c r="C357" s="66">
        <v>36.79</v>
      </c>
      <c r="D357" s="66">
        <v>12.62</v>
      </c>
      <c r="E357" s="66">
        <v>27.25</v>
      </c>
      <c r="F357" s="66">
        <v>6.83</v>
      </c>
      <c r="G357" s="65">
        <v>196.56000000000006</v>
      </c>
      <c r="H357" s="54">
        <v>3.1999999999999997</v>
      </c>
      <c r="I357" s="35"/>
    </row>
    <row r="358" spans="1:9" x14ac:dyDescent="0.2">
      <c r="A358" s="43" t="s">
        <v>55</v>
      </c>
      <c r="B358" s="66">
        <v>96.170000000000044</v>
      </c>
      <c r="C358" s="66">
        <v>31.12</v>
      </c>
      <c r="D358" s="66">
        <v>12.62</v>
      </c>
      <c r="E358" s="66">
        <v>27.25</v>
      </c>
      <c r="F358" s="66">
        <v>6.83</v>
      </c>
      <c r="G358" s="65">
        <v>173.99000000000007</v>
      </c>
      <c r="H358" s="54">
        <v>3.1999999999999997</v>
      </c>
      <c r="I358" s="35"/>
    </row>
    <row r="359" spans="1:9" x14ac:dyDescent="0.2">
      <c r="A359" s="43" t="s">
        <v>56</v>
      </c>
      <c r="B359" s="66">
        <v>88.380000000000052</v>
      </c>
      <c r="C359" s="66">
        <v>28.52</v>
      </c>
      <c r="D359" s="66">
        <v>12.62</v>
      </c>
      <c r="E359" s="66">
        <v>27.25</v>
      </c>
      <c r="F359" s="66">
        <v>6.83</v>
      </c>
      <c r="G359" s="65">
        <v>163.60000000000005</v>
      </c>
      <c r="H359" s="54">
        <v>3.1999999999999997</v>
      </c>
      <c r="I359" s="35"/>
    </row>
    <row r="360" spans="1:9" x14ac:dyDescent="0.2">
      <c r="A360" s="43" t="s">
        <v>57</v>
      </c>
      <c r="B360" s="66">
        <v>73.900000000000048</v>
      </c>
      <c r="C360" s="66">
        <v>23.67</v>
      </c>
      <c r="D360" s="66">
        <v>12.62</v>
      </c>
      <c r="E360" s="66">
        <v>27.25</v>
      </c>
      <c r="F360" s="66">
        <v>6.83</v>
      </c>
      <c r="G360" s="65">
        <v>144.27000000000007</v>
      </c>
      <c r="H360" s="54">
        <v>3.1999999999999997</v>
      </c>
      <c r="I360" s="35"/>
    </row>
    <row r="361" spans="1:9" x14ac:dyDescent="0.2">
      <c r="A361" s="43" t="s">
        <v>58</v>
      </c>
      <c r="B361" s="66">
        <v>141.22000000000006</v>
      </c>
      <c r="C361" s="66">
        <v>46.21</v>
      </c>
      <c r="D361" s="66">
        <v>12.62</v>
      </c>
      <c r="E361" s="66">
        <v>27.25</v>
      </c>
      <c r="F361" s="66">
        <v>6.83</v>
      </c>
      <c r="G361" s="65">
        <v>234.13000000000008</v>
      </c>
      <c r="H361" s="54">
        <v>3.1999999999999997</v>
      </c>
      <c r="I361" s="35"/>
    </row>
    <row r="362" spans="1:9" x14ac:dyDescent="0.2">
      <c r="A362" s="43" t="s">
        <v>59</v>
      </c>
      <c r="B362" s="66">
        <v>115.10000000000005</v>
      </c>
      <c r="C362" s="66">
        <v>37.47</v>
      </c>
      <c r="D362" s="66">
        <v>12.62</v>
      </c>
      <c r="E362" s="66">
        <v>27.25</v>
      </c>
      <c r="F362" s="66">
        <v>6.83</v>
      </c>
      <c r="G362" s="65">
        <v>199.27000000000007</v>
      </c>
      <c r="H362" s="54">
        <v>3.1999999999999997</v>
      </c>
      <c r="I362" s="35"/>
    </row>
    <row r="363" spans="1:9" x14ac:dyDescent="0.2">
      <c r="A363" s="43" t="s">
        <v>60</v>
      </c>
      <c r="B363" s="66">
        <v>95.760000000000048</v>
      </c>
      <c r="C363" s="66">
        <v>30.99</v>
      </c>
      <c r="D363" s="66">
        <v>12.62</v>
      </c>
      <c r="E363" s="66">
        <v>27.25</v>
      </c>
      <c r="F363" s="66">
        <v>6.83</v>
      </c>
      <c r="G363" s="65">
        <v>173.45000000000005</v>
      </c>
      <c r="H363" s="54">
        <v>3.1999999999999997</v>
      </c>
      <c r="I363" s="35"/>
    </row>
    <row r="364" spans="1:9" x14ac:dyDescent="0.2">
      <c r="A364" s="43" t="s">
        <v>61</v>
      </c>
      <c r="B364" s="66">
        <v>92.780000000000044</v>
      </c>
      <c r="C364" s="66">
        <v>29.99</v>
      </c>
      <c r="D364" s="66">
        <v>12.62</v>
      </c>
      <c r="E364" s="66">
        <v>27.25</v>
      </c>
      <c r="F364" s="66">
        <v>6.83</v>
      </c>
      <c r="G364" s="65">
        <v>169.47000000000006</v>
      </c>
      <c r="H364" s="54">
        <v>3.1999999999999997</v>
      </c>
      <c r="I364" s="35"/>
    </row>
    <row r="365" spans="1:9" x14ac:dyDescent="0.2">
      <c r="A365" s="43" t="s">
        <v>62</v>
      </c>
      <c r="B365" s="66">
        <v>85.980000000000047</v>
      </c>
      <c r="C365" s="66">
        <v>27.71</v>
      </c>
      <c r="D365" s="66">
        <v>12.62</v>
      </c>
      <c r="E365" s="66">
        <v>27.25</v>
      </c>
      <c r="F365" s="66">
        <v>6.83</v>
      </c>
      <c r="G365" s="65">
        <v>160.39000000000007</v>
      </c>
      <c r="H365" s="54">
        <v>3.1999999999999997</v>
      </c>
      <c r="I365" s="35"/>
    </row>
    <row r="366" spans="1:9" x14ac:dyDescent="0.2">
      <c r="A366" s="43" t="s">
        <v>63</v>
      </c>
      <c r="B366" s="66">
        <v>85.710000000000051</v>
      </c>
      <c r="C366" s="66">
        <v>27.62</v>
      </c>
      <c r="D366" s="66">
        <v>12.62</v>
      </c>
      <c r="E366" s="66">
        <v>27.25</v>
      </c>
      <c r="F366" s="66">
        <v>6.83</v>
      </c>
      <c r="G366" s="65">
        <v>160.03000000000006</v>
      </c>
      <c r="H366" s="54">
        <v>3.1999999999999997</v>
      </c>
      <c r="I366" s="35"/>
    </row>
    <row r="367" spans="1:9" x14ac:dyDescent="0.2">
      <c r="A367" s="43" t="s">
        <v>64</v>
      </c>
      <c r="B367" s="66">
        <v>69.960000000000051</v>
      </c>
      <c r="C367" s="66">
        <v>22.36</v>
      </c>
      <c r="D367" s="66">
        <v>12.62</v>
      </c>
      <c r="E367" s="66">
        <v>27.25</v>
      </c>
      <c r="F367" s="66">
        <v>6.83</v>
      </c>
      <c r="G367" s="65">
        <v>139.02000000000007</v>
      </c>
      <c r="H367" s="54">
        <v>3.1999999999999997</v>
      </c>
      <c r="I367" s="35"/>
    </row>
    <row r="368" spans="1:9" x14ac:dyDescent="0.2">
      <c r="A368" s="43" t="s">
        <v>65</v>
      </c>
      <c r="B368" s="66">
        <v>64.599999999999994</v>
      </c>
      <c r="C368" s="66">
        <v>20.55</v>
      </c>
      <c r="D368" s="66">
        <v>12.62</v>
      </c>
      <c r="E368" s="66">
        <v>27.25</v>
      </c>
      <c r="F368" s="66">
        <v>6.83</v>
      </c>
      <c r="G368" s="65">
        <v>131.85</v>
      </c>
      <c r="H368" s="54">
        <v>3.1999999999999997</v>
      </c>
      <c r="I368" s="35"/>
    </row>
    <row r="369" spans="1:9" x14ac:dyDescent="0.2">
      <c r="A369" s="43" t="s">
        <v>66</v>
      </c>
      <c r="B369" s="66">
        <v>61.54999999999999</v>
      </c>
      <c r="C369" s="66">
        <v>19.54</v>
      </c>
      <c r="D369" s="66">
        <v>12.62</v>
      </c>
      <c r="E369" s="66">
        <v>27.25</v>
      </c>
      <c r="F369" s="66">
        <v>6.83</v>
      </c>
      <c r="G369" s="65">
        <v>127.78999999999999</v>
      </c>
      <c r="H369" s="54">
        <v>3.1999999999999997</v>
      </c>
      <c r="I369" s="35"/>
    </row>
    <row r="370" spans="1:9" x14ac:dyDescent="0.2">
      <c r="A370" s="43" t="s">
        <v>67</v>
      </c>
      <c r="B370" s="66">
        <v>57.329999999999991</v>
      </c>
      <c r="C370" s="66">
        <v>18.13</v>
      </c>
      <c r="D370" s="66">
        <v>12.62</v>
      </c>
      <c r="E370" s="66">
        <v>27.25</v>
      </c>
      <c r="F370" s="66">
        <v>6.83</v>
      </c>
      <c r="G370" s="65">
        <v>122.16</v>
      </c>
      <c r="H370" s="54">
        <v>3.1999999999999997</v>
      </c>
      <c r="I370" s="35"/>
    </row>
    <row r="371" spans="1:9" x14ac:dyDescent="0.2">
      <c r="A371" s="43" t="s">
        <v>68</v>
      </c>
      <c r="B371" s="66">
        <v>52.819999999999986</v>
      </c>
      <c r="C371" s="66">
        <v>16.62</v>
      </c>
      <c r="D371" s="66">
        <v>12.62</v>
      </c>
      <c r="E371" s="66">
        <v>27.25</v>
      </c>
      <c r="F371" s="66">
        <v>6.83</v>
      </c>
      <c r="G371" s="65">
        <v>116.13999999999999</v>
      </c>
      <c r="H371" s="54">
        <v>3.1999999999999997</v>
      </c>
      <c r="I371" s="35"/>
    </row>
    <row r="372" spans="1:9" x14ac:dyDescent="0.2">
      <c r="A372" s="43" t="s">
        <v>69</v>
      </c>
      <c r="B372" s="66">
        <v>47.749999999999986</v>
      </c>
      <c r="C372" s="66">
        <v>14.91</v>
      </c>
      <c r="D372" s="66">
        <v>12.62</v>
      </c>
      <c r="E372" s="66">
        <v>27.25</v>
      </c>
      <c r="F372" s="66">
        <v>6.83</v>
      </c>
      <c r="G372" s="65">
        <v>109.35999999999999</v>
      </c>
      <c r="H372" s="54">
        <v>3.1999999999999997</v>
      </c>
      <c r="I372" s="35"/>
    </row>
    <row r="373" spans="1:9" x14ac:dyDescent="0.2">
      <c r="A373" s="43" t="s">
        <v>70</v>
      </c>
      <c r="B373" s="66">
        <v>52.959999999999987</v>
      </c>
      <c r="C373" s="66">
        <v>16.649999999999999</v>
      </c>
      <c r="D373" s="66">
        <v>12.62</v>
      </c>
      <c r="E373" s="66">
        <v>27.25</v>
      </c>
      <c r="F373" s="66">
        <v>6.83</v>
      </c>
      <c r="G373" s="65">
        <v>116.30999999999999</v>
      </c>
      <c r="H373" s="54">
        <v>3.1999999999999997</v>
      </c>
      <c r="I373" s="35"/>
    </row>
    <row r="374" spans="1:9" x14ac:dyDescent="0.2">
      <c r="A374" s="43" t="s">
        <v>71</v>
      </c>
      <c r="B374" s="66">
        <v>47.219999999999992</v>
      </c>
      <c r="C374" s="66">
        <v>14.73</v>
      </c>
      <c r="D374" s="66">
        <v>12.62</v>
      </c>
      <c r="E374" s="66">
        <v>27.25</v>
      </c>
      <c r="F374" s="66">
        <v>6.83</v>
      </c>
      <c r="G374" s="65">
        <v>108.64999999999999</v>
      </c>
      <c r="H374" s="54">
        <v>3.1999999999999997</v>
      </c>
      <c r="I374" s="35"/>
    </row>
    <row r="375" spans="1:9" x14ac:dyDescent="0.2">
      <c r="A375" s="43" t="s">
        <v>72</v>
      </c>
      <c r="B375" s="66">
        <v>40.359999999999985</v>
      </c>
      <c r="C375" s="66">
        <v>12.44</v>
      </c>
      <c r="D375" s="66">
        <v>12.62</v>
      </c>
      <c r="E375" s="66">
        <v>27.25</v>
      </c>
      <c r="F375" s="66">
        <v>6.83</v>
      </c>
      <c r="G375" s="65">
        <v>99.499999999999986</v>
      </c>
      <c r="H375" s="54">
        <v>3.1999999999999997</v>
      </c>
      <c r="I375" s="35"/>
    </row>
    <row r="376" spans="1:9" x14ac:dyDescent="0.2">
      <c r="A376" s="43" t="s">
        <v>73</v>
      </c>
      <c r="B376" s="66">
        <v>36.629999999999988</v>
      </c>
      <c r="C376" s="66">
        <v>11.19</v>
      </c>
      <c r="D376" s="66">
        <v>12.62</v>
      </c>
      <c r="E376" s="66">
        <v>27.25</v>
      </c>
      <c r="F376" s="66">
        <v>6.83</v>
      </c>
      <c r="G376" s="65">
        <v>94.519999999999982</v>
      </c>
      <c r="H376" s="54">
        <v>3.1999999999999997</v>
      </c>
      <c r="I376" s="35"/>
    </row>
    <row r="377" spans="1:9" x14ac:dyDescent="0.2">
      <c r="A377" s="43" t="s">
        <v>74</v>
      </c>
      <c r="B377" s="66">
        <v>51.419999999999987</v>
      </c>
      <c r="C377" s="66">
        <v>16.14</v>
      </c>
      <c r="D377" s="66">
        <v>12.62</v>
      </c>
      <c r="E377" s="66">
        <v>27.25</v>
      </c>
      <c r="F377" s="66">
        <v>6.83</v>
      </c>
      <c r="G377" s="65">
        <v>114.25999999999999</v>
      </c>
      <c r="H377" s="54">
        <v>3.1999999999999997</v>
      </c>
      <c r="I377" s="35"/>
    </row>
    <row r="378" spans="1:9" x14ac:dyDescent="0.2">
      <c r="A378" s="43" t="s">
        <v>75</v>
      </c>
      <c r="B378" s="66">
        <v>43.509999999999991</v>
      </c>
      <c r="C378" s="66">
        <v>13.5</v>
      </c>
      <c r="D378" s="66">
        <v>12.62</v>
      </c>
      <c r="E378" s="66">
        <v>27.25</v>
      </c>
      <c r="F378" s="66">
        <v>6.83</v>
      </c>
      <c r="G378" s="65">
        <v>103.71</v>
      </c>
      <c r="H378" s="54">
        <v>3.1999999999999997</v>
      </c>
      <c r="I378" s="35"/>
    </row>
    <row r="379" spans="1:9" x14ac:dyDescent="0.2">
      <c r="A379" s="43" t="s">
        <v>76</v>
      </c>
      <c r="B379" s="66">
        <v>39.009999999999991</v>
      </c>
      <c r="C379" s="66">
        <v>11.99</v>
      </c>
      <c r="D379" s="66">
        <v>12.62</v>
      </c>
      <c r="E379" s="66">
        <v>27.25</v>
      </c>
      <c r="F379" s="66">
        <v>6.83</v>
      </c>
      <c r="G379" s="65">
        <v>97.699999999999989</v>
      </c>
      <c r="H379" s="54">
        <v>3.1999999999999997</v>
      </c>
      <c r="I379" s="35"/>
    </row>
    <row r="380" spans="1:9" x14ac:dyDescent="0.2">
      <c r="A380" s="43" t="s">
        <v>77</v>
      </c>
      <c r="B380" s="66">
        <v>32.269999999999989</v>
      </c>
      <c r="C380" s="66">
        <v>9.74</v>
      </c>
      <c r="D380" s="66">
        <v>12.62</v>
      </c>
      <c r="E380" s="66">
        <v>27.25</v>
      </c>
      <c r="F380" s="66">
        <v>6.83</v>
      </c>
      <c r="G380" s="65">
        <v>88.71</v>
      </c>
      <c r="H380" s="54">
        <v>3.1999999999999997</v>
      </c>
      <c r="I380" s="35"/>
    </row>
    <row r="381" spans="1:9" x14ac:dyDescent="0.2">
      <c r="A381" s="43" t="s">
        <v>78</v>
      </c>
      <c r="B381" s="66">
        <v>57.819999999999986</v>
      </c>
      <c r="C381" s="66">
        <v>18.29</v>
      </c>
      <c r="D381" s="66">
        <v>12.62</v>
      </c>
      <c r="E381" s="66">
        <v>27.25</v>
      </c>
      <c r="F381" s="66">
        <v>6.83</v>
      </c>
      <c r="G381" s="65">
        <v>122.80999999999999</v>
      </c>
      <c r="H381" s="54">
        <v>3.1999999999999997</v>
      </c>
      <c r="I381" s="35"/>
    </row>
    <row r="382" spans="1:9" x14ac:dyDescent="0.2">
      <c r="A382" s="43" t="s">
        <v>79</v>
      </c>
      <c r="B382" s="66">
        <v>52.919999999999987</v>
      </c>
      <c r="C382" s="66">
        <v>16.64</v>
      </c>
      <c r="D382" s="66">
        <v>12.62</v>
      </c>
      <c r="E382" s="66">
        <v>27.25</v>
      </c>
      <c r="F382" s="66">
        <v>6.83</v>
      </c>
      <c r="G382" s="65">
        <v>116.25999999999999</v>
      </c>
      <c r="H382" s="54">
        <v>3.1999999999999997</v>
      </c>
      <c r="I382" s="35"/>
    </row>
    <row r="383" spans="1:9" x14ac:dyDescent="0.2">
      <c r="A383" s="43" t="s">
        <v>80</v>
      </c>
      <c r="B383" s="66">
        <v>54.109999999999985</v>
      </c>
      <c r="C383" s="66">
        <v>17.04</v>
      </c>
      <c r="D383" s="66">
        <v>12.62</v>
      </c>
      <c r="E383" s="66">
        <v>27.25</v>
      </c>
      <c r="F383" s="66">
        <v>6.83</v>
      </c>
      <c r="G383" s="65">
        <v>117.84999999999998</v>
      </c>
      <c r="H383" s="54">
        <v>3.1999999999999997</v>
      </c>
      <c r="I383" s="35"/>
    </row>
    <row r="384" spans="1:9" x14ac:dyDescent="0.2">
      <c r="A384" s="43" t="s">
        <v>53</v>
      </c>
      <c r="B384" s="66">
        <v>49.04999999999999</v>
      </c>
      <c r="C384" s="66">
        <v>15.35</v>
      </c>
      <c r="D384" s="66">
        <v>12.62</v>
      </c>
      <c r="E384" s="66">
        <v>27.25</v>
      </c>
      <c r="F384" s="66">
        <v>6.83</v>
      </c>
      <c r="G384" s="65">
        <v>111.1</v>
      </c>
      <c r="H384" s="54">
        <v>3.1999999999999997</v>
      </c>
      <c r="I384" s="35"/>
    </row>
    <row r="385" spans="1:9" x14ac:dyDescent="0.2">
      <c r="A385" s="43" t="s">
        <v>81</v>
      </c>
      <c r="B385" s="66">
        <v>46.899999999999991</v>
      </c>
      <c r="C385" s="66">
        <v>14.63</v>
      </c>
      <c r="D385" s="66">
        <v>12.62</v>
      </c>
      <c r="E385" s="66">
        <v>27.25</v>
      </c>
      <c r="F385" s="66">
        <v>6.83</v>
      </c>
      <c r="G385" s="65">
        <v>108.22999999999999</v>
      </c>
      <c r="H385" s="54">
        <v>3.1999999999999997</v>
      </c>
      <c r="I385" s="35"/>
    </row>
    <row r="386" spans="1:9" x14ac:dyDescent="0.2">
      <c r="A386" s="43" t="s">
        <v>82</v>
      </c>
      <c r="B386" s="66">
        <v>43.669999999999987</v>
      </c>
      <c r="C386" s="66">
        <v>13.55</v>
      </c>
      <c r="D386" s="66">
        <v>12.62</v>
      </c>
      <c r="E386" s="66">
        <v>27.25</v>
      </c>
      <c r="F386" s="66">
        <v>6.83</v>
      </c>
      <c r="G386" s="65">
        <v>103.91999999999999</v>
      </c>
      <c r="H386" s="54">
        <v>3.1999999999999997</v>
      </c>
      <c r="I386" s="35"/>
    </row>
    <row r="387" spans="1:9" x14ac:dyDescent="0.2">
      <c r="A387" s="43" t="s">
        <v>83</v>
      </c>
      <c r="B387" s="66">
        <v>41.679999999999986</v>
      </c>
      <c r="C387" s="66">
        <v>12.88</v>
      </c>
      <c r="D387" s="66">
        <v>12.62</v>
      </c>
      <c r="E387" s="66">
        <v>27.25</v>
      </c>
      <c r="F387" s="66">
        <v>6.83</v>
      </c>
      <c r="G387" s="65">
        <v>101.25999999999999</v>
      </c>
      <c r="H387" s="54">
        <v>3.1999999999999997</v>
      </c>
      <c r="I387" s="35"/>
    </row>
    <row r="388" spans="1:9" x14ac:dyDescent="0.2">
      <c r="A388" s="43" t="s">
        <v>84</v>
      </c>
      <c r="B388" s="66">
        <v>38.11999999999999</v>
      </c>
      <c r="C388" s="66">
        <v>11.69</v>
      </c>
      <c r="D388" s="66">
        <v>12.62</v>
      </c>
      <c r="E388" s="66">
        <v>27.25</v>
      </c>
      <c r="F388" s="66">
        <v>6.83</v>
      </c>
      <c r="G388" s="65">
        <v>96.509999999999977</v>
      </c>
      <c r="H388" s="54">
        <v>3.1999999999999997</v>
      </c>
      <c r="I388" s="35"/>
    </row>
    <row r="389" spans="1:9" x14ac:dyDescent="0.2">
      <c r="A389" s="43" t="s">
        <v>85</v>
      </c>
      <c r="B389" s="66">
        <v>33.769999999999989</v>
      </c>
      <c r="C389" s="66">
        <v>10.23</v>
      </c>
      <c r="D389" s="66">
        <v>12.62</v>
      </c>
      <c r="E389" s="66">
        <v>27.25</v>
      </c>
      <c r="F389" s="66">
        <v>6.83</v>
      </c>
      <c r="G389" s="65">
        <v>90.699999999999974</v>
      </c>
      <c r="H389" s="54">
        <v>3.1999999999999997</v>
      </c>
      <c r="I389" s="35"/>
    </row>
    <row r="390" spans="1:9" x14ac:dyDescent="0.2">
      <c r="A390" s="43" t="s">
        <v>86</v>
      </c>
      <c r="B390" s="66">
        <v>30.059999999999988</v>
      </c>
      <c r="C390" s="66">
        <v>9</v>
      </c>
      <c r="D390" s="66">
        <v>12.62</v>
      </c>
      <c r="E390" s="66">
        <v>27.25</v>
      </c>
      <c r="F390" s="66">
        <v>6.83</v>
      </c>
      <c r="G390" s="65">
        <v>85.759999999999977</v>
      </c>
      <c r="H390" s="54">
        <v>3.1999999999999997</v>
      </c>
      <c r="I390" s="35"/>
    </row>
    <row r="391" spans="1:9" x14ac:dyDescent="0.2">
      <c r="A391" s="45" t="s">
        <v>87</v>
      </c>
      <c r="B391" s="66">
        <v>30.059999999999988</v>
      </c>
      <c r="C391" s="66">
        <v>9</v>
      </c>
      <c r="D391" s="66">
        <v>12.62</v>
      </c>
      <c r="E391" s="66">
        <v>27.25</v>
      </c>
      <c r="F391" s="66">
        <v>6.83</v>
      </c>
      <c r="G391" s="65">
        <v>85.759999999999977</v>
      </c>
      <c r="H391" s="54">
        <v>3.1999999999999997</v>
      </c>
      <c r="I391" s="35"/>
    </row>
    <row r="392" spans="1:9" x14ac:dyDescent="0.2">
      <c r="A392" s="45" t="s">
        <v>88</v>
      </c>
      <c r="B392" s="66">
        <v>30.059999999999988</v>
      </c>
      <c r="C392" s="66">
        <v>9</v>
      </c>
      <c r="D392" s="66">
        <v>12.62</v>
      </c>
      <c r="E392" s="66">
        <v>27.25</v>
      </c>
      <c r="F392" s="66">
        <v>6.83</v>
      </c>
      <c r="G392" s="65">
        <v>85.759999999999977</v>
      </c>
      <c r="H392" s="54">
        <v>3.1999999999999997</v>
      </c>
      <c r="I392" s="35"/>
    </row>
    <row r="393" spans="1:9" x14ac:dyDescent="0.2">
      <c r="A393" s="55"/>
      <c r="B393" s="56"/>
      <c r="C393" s="33"/>
      <c r="D393" s="33"/>
      <c r="E393" s="33"/>
      <c r="F393" s="33"/>
      <c r="G393" s="57"/>
      <c r="H393" s="54"/>
      <c r="I393" s="33"/>
    </row>
    <row r="394" spans="1:9" x14ac:dyDescent="0.2">
      <c r="A394" s="58" t="s">
        <v>119</v>
      </c>
      <c r="B394" s="64">
        <v>96.81</v>
      </c>
      <c r="C394" s="64">
        <v>31.81</v>
      </c>
      <c r="D394" s="49"/>
      <c r="E394" s="49"/>
      <c r="F394" s="49"/>
      <c r="G394" s="50">
        <v>128.62</v>
      </c>
      <c r="H394" s="54">
        <v>0</v>
      </c>
      <c r="I394" s="33"/>
    </row>
    <row r="395" spans="1:9" x14ac:dyDescent="0.2">
      <c r="A395" s="51" t="s">
        <v>120</v>
      </c>
      <c r="B395" s="64">
        <v>38.72</v>
      </c>
      <c r="C395" s="64">
        <v>12.73</v>
      </c>
      <c r="D395" s="49"/>
      <c r="E395" s="49"/>
      <c r="F395" s="49"/>
      <c r="G395" s="50">
        <v>51.45</v>
      </c>
      <c r="H395" s="54">
        <v>0</v>
      </c>
      <c r="I395" s="33"/>
    </row>
    <row r="396" spans="1:9" x14ac:dyDescent="0.2">
      <c r="A396" s="59" t="s">
        <v>121</v>
      </c>
      <c r="B396" s="64">
        <v>58.09</v>
      </c>
      <c r="C396" s="64">
        <v>19.079999999999998</v>
      </c>
      <c r="D396" s="49"/>
      <c r="E396" s="49"/>
      <c r="F396" s="49"/>
      <c r="G396" s="50">
        <v>77.17</v>
      </c>
      <c r="H396" s="54">
        <v>0</v>
      </c>
      <c r="I396" s="33"/>
    </row>
    <row r="398" spans="1:9" ht="15.75" x14ac:dyDescent="0.25">
      <c r="A398" s="41" t="s">
        <v>138</v>
      </c>
      <c r="B398" s="42"/>
      <c r="C398" s="42"/>
      <c r="D398" s="42"/>
      <c r="E398" s="42"/>
      <c r="F398" s="42"/>
      <c r="G398" s="42"/>
      <c r="H398" s="52"/>
      <c r="I398" s="33"/>
    </row>
    <row r="399" spans="1:9" ht="76.5" x14ac:dyDescent="0.2">
      <c r="A399" s="37" t="s">
        <v>92</v>
      </c>
      <c r="B399" s="61" t="s">
        <v>114</v>
      </c>
      <c r="C399" s="61" t="s">
        <v>115</v>
      </c>
      <c r="D399" s="62" t="s">
        <v>116</v>
      </c>
      <c r="E399" s="61" t="s">
        <v>117</v>
      </c>
      <c r="F399" s="61" t="s">
        <v>118</v>
      </c>
      <c r="G399" s="62" t="s">
        <v>15</v>
      </c>
      <c r="H399" s="53" t="s">
        <v>139</v>
      </c>
      <c r="I399" s="33"/>
    </row>
    <row r="400" spans="1:9" x14ac:dyDescent="0.2">
      <c r="A400" s="43" t="s">
        <v>54</v>
      </c>
      <c r="B400" s="66">
        <v>113.47000000000006</v>
      </c>
      <c r="C400" s="66">
        <v>36.79</v>
      </c>
      <c r="D400" s="66">
        <v>12.62</v>
      </c>
      <c r="E400" s="66">
        <v>27.25</v>
      </c>
      <c r="F400" s="66">
        <v>6.83</v>
      </c>
      <c r="G400" s="65">
        <v>196.96000000000006</v>
      </c>
      <c r="H400" s="54">
        <v>3.5999999999999996</v>
      </c>
      <c r="I400" s="35"/>
    </row>
    <row r="401" spans="1:9" x14ac:dyDescent="0.2">
      <c r="A401" s="43" t="s">
        <v>55</v>
      </c>
      <c r="B401" s="66">
        <v>96.57000000000005</v>
      </c>
      <c r="C401" s="66">
        <v>31.12</v>
      </c>
      <c r="D401" s="66">
        <v>12.62</v>
      </c>
      <c r="E401" s="66">
        <v>27.25</v>
      </c>
      <c r="F401" s="66">
        <v>6.83</v>
      </c>
      <c r="G401" s="65">
        <v>174.39000000000007</v>
      </c>
      <c r="H401" s="54">
        <v>3.5999999999999996</v>
      </c>
      <c r="I401" s="35"/>
    </row>
    <row r="402" spans="1:9" x14ac:dyDescent="0.2">
      <c r="A402" s="43" t="s">
        <v>56</v>
      </c>
      <c r="B402" s="66">
        <v>88.780000000000058</v>
      </c>
      <c r="C402" s="66">
        <v>28.52</v>
      </c>
      <c r="D402" s="66">
        <v>12.62</v>
      </c>
      <c r="E402" s="66">
        <v>27.25</v>
      </c>
      <c r="F402" s="66">
        <v>6.83</v>
      </c>
      <c r="G402" s="65">
        <v>164.00000000000006</v>
      </c>
      <c r="H402" s="54">
        <v>3.5999999999999996</v>
      </c>
      <c r="I402" s="35"/>
    </row>
    <row r="403" spans="1:9" x14ac:dyDescent="0.2">
      <c r="A403" s="43" t="s">
        <v>57</v>
      </c>
      <c r="B403" s="66">
        <v>74.300000000000054</v>
      </c>
      <c r="C403" s="66">
        <v>23.67</v>
      </c>
      <c r="D403" s="66">
        <v>12.62</v>
      </c>
      <c r="E403" s="66">
        <v>27.25</v>
      </c>
      <c r="F403" s="66">
        <v>6.83</v>
      </c>
      <c r="G403" s="65">
        <v>144.67000000000007</v>
      </c>
      <c r="H403" s="54">
        <v>3.5999999999999996</v>
      </c>
      <c r="I403" s="35"/>
    </row>
    <row r="404" spans="1:9" x14ac:dyDescent="0.2">
      <c r="A404" s="43" t="s">
        <v>58</v>
      </c>
      <c r="B404" s="66">
        <v>141.62000000000006</v>
      </c>
      <c r="C404" s="66">
        <v>46.21</v>
      </c>
      <c r="D404" s="66">
        <v>12.62</v>
      </c>
      <c r="E404" s="66">
        <v>27.25</v>
      </c>
      <c r="F404" s="66">
        <v>6.83</v>
      </c>
      <c r="G404" s="65">
        <v>234.53000000000009</v>
      </c>
      <c r="H404" s="54">
        <v>3.5999999999999996</v>
      </c>
      <c r="I404" s="35"/>
    </row>
    <row r="405" spans="1:9" x14ac:dyDescent="0.2">
      <c r="A405" s="43" t="s">
        <v>59</v>
      </c>
      <c r="B405" s="66">
        <v>115.50000000000006</v>
      </c>
      <c r="C405" s="66">
        <v>37.47</v>
      </c>
      <c r="D405" s="66">
        <v>12.62</v>
      </c>
      <c r="E405" s="66">
        <v>27.25</v>
      </c>
      <c r="F405" s="66">
        <v>6.83</v>
      </c>
      <c r="G405" s="65">
        <v>199.67000000000007</v>
      </c>
      <c r="H405" s="54">
        <v>3.5999999999999996</v>
      </c>
      <c r="I405" s="35"/>
    </row>
    <row r="406" spans="1:9" x14ac:dyDescent="0.2">
      <c r="A406" s="43" t="s">
        <v>60</v>
      </c>
      <c r="B406" s="66">
        <v>96.160000000000053</v>
      </c>
      <c r="C406" s="66">
        <v>30.99</v>
      </c>
      <c r="D406" s="66">
        <v>12.62</v>
      </c>
      <c r="E406" s="66">
        <v>27.25</v>
      </c>
      <c r="F406" s="66">
        <v>6.83</v>
      </c>
      <c r="G406" s="65">
        <v>173.85000000000005</v>
      </c>
      <c r="H406" s="54">
        <v>3.5999999999999996</v>
      </c>
      <c r="I406" s="35"/>
    </row>
    <row r="407" spans="1:9" x14ac:dyDescent="0.2">
      <c r="A407" s="43" t="s">
        <v>61</v>
      </c>
      <c r="B407" s="66">
        <v>93.180000000000049</v>
      </c>
      <c r="C407" s="66">
        <v>29.99</v>
      </c>
      <c r="D407" s="66">
        <v>12.62</v>
      </c>
      <c r="E407" s="66">
        <v>27.25</v>
      </c>
      <c r="F407" s="66">
        <v>6.83</v>
      </c>
      <c r="G407" s="65">
        <v>169.87000000000006</v>
      </c>
      <c r="H407" s="54">
        <v>3.5999999999999996</v>
      </c>
      <c r="I407" s="35"/>
    </row>
    <row r="408" spans="1:9" x14ac:dyDescent="0.2">
      <c r="A408" s="43" t="s">
        <v>62</v>
      </c>
      <c r="B408" s="66">
        <v>86.380000000000052</v>
      </c>
      <c r="C408" s="66">
        <v>27.71</v>
      </c>
      <c r="D408" s="66">
        <v>12.62</v>
      </c>
      <c r="E408" s="66">
        <v>27.25</v>
      </c>
      <c r="F408" s="66">
        <v>6.83</v>
      </c>
      <c r="G408" s="65">
        <v>160.79000000000008</v>
      </c>
      <c r="H408" s="54">
        <v>3.5999999999999996</v>
      </c>
      <c r="I408" s="35"/>
    </row>
    <row r="409" spans="1:9" x14ac:dyDescent="0.2">
      <c r="A409" s="43" t="s">
        <v>63</v>
      </c>
      <c r="B409" s="66">
        <v>86.110000000000056</v>
      </c>
      <c r="C409" s="66">
        <v>27.62</v>
      </c>
      <c r="D409" s="66">
        <v>12.62</v>
      </c>
      <c r="E409" s="66">
        <v>27.25</v>
      </c>
      <c r="F409" s="66">
        <v>6.83</v>
      </c>
      <c r="G409" s="65">
        <v>160.43000000000009</v>
      </c>
      <c r="H409" s="54">
        <v>3.5999999999999996</v>
      </c>
      <c r="I409" s="35"/>
    </row>
    <row r="410" spans="1:9" x14ac:dyDescent="0.2">
      <c r="A410" s="43" t="s">
        <v>64</v>
      </c>
      <c r="B410" s="66">
        <v>70.360000000000056</v>
      </c>
      <c r="C410" s="66">
        <v>22.36</v>
      </c>
      <c r="D410" s="66">
        <v>12.62</v>
      </c>
      <c r="E410" s="66">
        <v>27.25</v>
      </c>
      <c r="F410" s="66">
        <v>6.83</v>
      </c>
      <c r="G410" s="65">
        <v>139.42000000000007</v>
      </c>
      <c r="H410" s="54">
        <v>3.5999999999999996</v>
      </c>
      <c r="I410" s="35"/>
    </row>
    <row r="411" spans="1:9" x14ac:dyDescent="0.2">
      <c r="A411" s="43" t="s">
        <v>65</v>
      </c>
      <c r="B411" s="66">
        <v>65</v>
      </c>
      <c r="C411" s="66">
        <v>20.55</v>
      </c>
      <c r="D411" s="66">
        <v>12.62</v>
      </c>
      <c r="E411" s="66">
        <v>27.25</v>
      </c>
      <c r="F411" s="66">
        <v>6.83</v>
      </c>
      <c r="G411" s="65">
        <v>132.25</v>
      </c>
      <c r="H411" s="54">
        <v>3.5999999999999996</v>
      </c>
      <c r="I411" s="35"/>
    </row>
    <row r="412" spans="1:9" x14ac:dyDescent="0.2">
      <c r="A412" s="43" t="s">
        <v>66</v>
      </c>
      <c r="B412" s="66">
        <v>61.949999999999989</v>
      </c>
      <c r="C412" s="66">
        <v>19.54</v>
      </c>
      <c r="D412" s="66">
        <v>12.62</v>
      </c>
      <c r="E412" s="66">
        <v>27.25</v>
      </c>
      <c r="F412" s="66">
        <v>6.83</v>
      </c>
      <c r="G412" s="65">
        <v>128.19</v>
      </c>
      <c r="H412" s="54">
        <v>3.5999999999999996</v>
      </c>
      <c r="I412" s="35"/>
    </row>
    <row r="413" spans="1:9" x14ac:dyDescent="0.2">
      <c r="A413" s="43" t="s">
        <v>67</v>
      </c>
      <c r="B413" s="66">
        <v>57.72999999999999</v>
      </c>
      <c r="C413" s="66">
        <v>18.13</v>
      </c>
      <c r="D413" s="66">
        <v>12.62</v>
      </c>
      <c r="E413" s="66">
        <v>27.25</v>
      </c>
      <c r="F413" s="66">
        <v>6.83</v>
      </c>
      <c r="G413" s="65">
        <v>122.55999999999999</v>
      </c>
      <c r="H413" s="54">
        <v>3.5999999999999996</v>
      </c>
      <c r="I413" s="35"/>
    </row>
    <row r="414" spans="1:9" x14ac:dyDescent="0.2">
      <c r="A414" s="43" t="s">
        <v>68</v>
      </c>
      <c r="B414" s="66">
        <v>53.219999999999985</v>
      </c>
      <c r="C414" s="66">
        <v>16.62</v>
      </c>
      <c r="D414" s="66">
        <v>12.62</v>
      </c>
      <c r="E414" s="66">
        <v>27.25</v>
      </c>
      <c r="F414" s="66">
        <v>6.83</v>
      </c>
      <c r="G414" s="65">
        <v>116.53999999999999</v>
      </c>
      <c r="H414" s="54">
        <v>3.5999999999999996</v>
      </c>
      <c r="I414" s="35"/>
    </row>
    <row r="415" spans="1:9" x14ac:dyDescent="0.2">
      <c r="A415" s="43" t="s">
        <v>69</v>
      </c>
      <c r="B415" s="66">
        <v>48.149999999999984</v>
      </c>
      <c r="C415" s="66">
        <v>14.91</v>
      </c>
      <c r="D415" s="66">
        <v>12.62</v>
      </c>
      <c r="E415" s="66">
        <v>27.25</v>
      </c>
      <c r="F415" s="66">
        <v>6.83</v>
      </c>
      <c r="G415" s="65">
        <v>109.75999999999999</v>
      </c>
      <c r="H415" s="54">
        <v>3.5999999999999996</v>
      </c>
      <c r="I415" s="35"/>
    </row>
    <row r="416" spans="1:9" x14ac:dyDescent="0.2">
      <c r="A416" s="43" t="s">
        <v>70</v>
      </c>
      <c r="B416" s="66">
        <v>53.359999999999985</v>
      </c>
      <c r="C416" s="66">
        <v>16.649999999999999</v>
      </c>
      <c r="D416" s="66">
        <v>12.62</v>
      </c>
      <c r="E416" s="66">
        <v>27.25</v>
      </c>
      <c r="F416" s="66">
        <v>6.83</v>
      </c>
      <c r="G416" s="65">
        <v>116.71</v>
      </c>
      <c r="H416" s="54">
        <v>3.5999999999999996</v>
      </c>
      <c r="I416" s="35"/>
    </row>
    <row r="417" spans="1:9" x14ac:dyDescent="0.2">
      <c r="A417" s="43" t="s">
        <v>71</v>
      </c>
      <c r="B417" s="66">
        <v>47.61999999999999</v>
      </c>
      <c r="C417" s="66">
        <v>14.73</v>
      </c>
      <c r="D417" s="66">
        <v>12.62</v>
      </c>
      <c r="E417" s="66">
        <v>27.25</v>
      </c>
      <c r="F417" s="66">
        <v>6.83</v>
      </c>
      <c r="G417" s="65">
        <v>109.05</v>
      </c>
      <c r="H417" s="54">
        <v>3.5999999999999996</v>
      </c>
      <c r="I417" s="35"/>
    </row>
    <row r="418" spans="1:9" x14ac:dyDescent="0.2">
      <c r="A418" s="43" t="s">
        <v>72</v>
      </c>
      <c r="B418" s="66">
        <v>40.759999999999984</v>
      </c>
      <c r="C418" s="66">
        <v>12.44</v>
      </c>
      <c r="D418" s="66">
        <v>12.62</v>
      </c>
      <c r="E418" s="66">
        <v>27.25</v>
      </c>
      <c r="F418" s="66">
        <v>6.83</v>
      </c>
      <c r="G418" s="65">
        <v>99.899999999999977</v>
      </c>
      <c r="H418" s="54">
        <v>3.5999999999999996</v>
      </c>
      <c r="I418" s="35"/>
    </row>
    <row r="419" spans="1:9" x14ac:dyDescent="0.2">
      <c r="A419" s="43" t="s">
        <v>73</v>
      </c>
      <c r="B419" s="66">
        <v>37.029999999999987</v>
      </c>
      <c r="C419" s="66">
        <v>11.19</v>
      </c>
      <c r="D419" s="66">
        <v>12.62</v>
      </c>
      <c r="E419" s="66">
        <v>27.25</v>
      </c>
      <c r="F419" s="66">
        <v>6.83</v>
      </c>
      <c r="G419" s="65">
        <v>94.919999999999973</v>
      </c>
      <c r="H419" s="54">
        <v>3.5999999999999996</v>
      </c>
      <c r="I419" s="35"/>
    </row>
    <row r="420" spans="1:9" x14ac:dyDescent="0.2">
      <c r="A420" s="43" t="s">
        <v>74</v>
      </c>
      <c r="B420" s="66">
        <v>51.819999999999986</v>
      </c>
      <c r="C420" s="66">
        <v>16.14</v>
      </c>
      <c r="D420" s="66">
        <v>12.62</v>
      </c>
      <c r="E420" s="66">
        <v>27.25</v>
      </c>
      <c r="F420" s="66">
        <v>6.83</v>
      </c>
      <c r="G420" s="65">
        <v>114.65999999999998</v>
      </c>
      <c r="H420" s="54">
        <v>3.5999999999999996</v>
      </c>
      <c r="I420" s="35"/>
    </row>
    <row r="421" spans="1:9" x14ac:dyDescent="0.2">
      <c r="A421" s="43" t="s">
        <v>75</v>
      </c>
      <c r="B421" s="66">
        <v>43.909999999999989</v>
      </c>
      <c r="C421" s="66">
        <v>13.5</v>
      </c>
      <c r="D421" s="66">
        <v>12.62</v>
      </c>
      <c r="E421" s="66">
        <v>27.25</v>
      </c>
      <c r="F421" s="66">
        <v>6.83</v>
      </c>
      <c r="G421" s="65">
        <v>104.10999999999999</v>
      </c>
      <c r="H421" s="54">
        <v>3.5999999999999996</v>
      </c>
      <c r="I421" s="35"/>
    </row>
    <row r="422" spans="1:9" x14ac:dyDescent="0.2">
      <c r="A422" s="43" t="s">
        <v>76</v>
      </c>
      <c r="B422" s="66">
        <v>39.409999999999989</v>
      </c>
      <c r="C422" s="66">
        <v>11.99</v>
      </c>
      <c r="D422" s="66">
        <v>12.62</v>
      </c>
      <c r="E422" s="66">
        <v>27.25</v>
      </c>
      <c r="F422" s="66">
        <v>6.83</v>
      </c>
      <c r="G422" s="65">
        <v>98.1</v>
      </c>
      <c r="H422" s="54">
        <v>3.5999999999999996</v>
      </c>
      <c r="I422" s="35"/>
    </row>
    <row r="423" spans="1:9" x14ac:dyDescent="0.2">
      <c r="A423" s="43" t="s">
        <v>77</v>
      </c>
      <c r="B423" s="66">
        <v>32.669999999999987</v>
      </c>
      <c r="C423" s="66">
        <v>9.74</v>
      </c>
      <c r="D423" s="66">
        <v>12.62</v>
      </c>
      <c r="E423" s="66">
        <v>27.25</v>
      </c>
      <c r="F423" s="66">
        <v>6.83</v>
      </c>
      <c r="G423" s="65">
        <v>89.109999999999985</v>
      </c>
      <c r="H423" s="54">
        <v>3.5999999999999996</v>
      </c>
      <c r="I423" s="35"/>
    </row>
    <row r="424" spans="1:9" x14ac:dyDescent="0.2">
      <c r="A424" s="43" t="s">
        <v>78</v>
      </c>
      <c r="B424" s="66">
        <v>58.219999999999985</v>
      </c>
      <c r="C424" s="66">
        <v>18.29</v>
      </c>
      <c r="D424" s="66">
        <v>12.62</v>
      </c>
      <c r="E424" s="66">
        <v>27.25</v>
      </c>
      <c r="F424" s="66">
        <v>6.83</v>
      </c>
      <c r="G424" s="65">
        <v>123.21</v>
      </c>
      <c r="H424" s="54">
        <v>3.5999999999999996</v>
      </c>
      <c r="I424" s="35"/>
    </row>
    <row r="425" spans="1:9" x14ac:dyDescent="0.2">
      <c r="A425" s="43" t="s">
        <v>79</v>
      </c>
      <c r="B425" s="66">
        <v>53.319999999999986</v>
      </c>
      <c r="C425" s="66">
        <v>16.64</v>
      </c>
      <c r="D425" s="66">
        <v>12.62</v>
      </c>
      <c r="E425" s="66">
        <v>27.25</v>
      </c>
      <c r="F425" s="66">
        <v>6.83</v>
      </c>
      <c r="G425" s="65">
        <v>116.65999999999998</v>
      </c>
      <c r="H425" s="54">
        <v>3.5999999999999996</v>
      </c>
      <c r="I425" s="35"/>
    </row>
    <row r="426" spans="1:9" x14ac:dyDescent="0.2">
      <c r="A426" s="43" t="s">
        <v>80</v>
      </c>
      <c r="B426" s="66">
        <v>54.509999999999984</v>
      </c>
      <c r="C426" s="66">
        <v>17.04</v>
      </c>
      <c r="D426" s="66">
        <v>12.62</v>
      </c>
      <c r="E426" s="66">
        <v>27.25</v>
      </c>
      <c r="F426" s="66">
        <v>6.83</v>
      </c>
      <c r="G426" s="65">
        <v>118.24999999999999</v>
      </c>
      <c r="H426" s="54">
        <v>3.5999999999999996</v>
      </c>
      <c r="I426" s="35"/>
    </row>
    <row r="427" spans="1:9" x14ac:dyDescent="0.2">
      <c r="A427" s="43" t="s">
        <v>53</v>
      </c>
      <c r="B427" s="66">
        <v>49.449999999999989</v>
      </c>
      <c r="C427" s="66">
        <v>15.35</v>
      </c>
      <c r="D427" s="66">
        <v>12.62</v>
      </c>
      <c r="E427" s="66">
        <v>27.25</v>
      </c>
      <c r="F427" s="66">
        <v>6.83</v>
      </c>
      <c r="G427" s="65">
        <v>111.49999999999999</v>
      </c>
      <c r="H427" s="54">
        <v>3.5999999999999996</v>
      </c>
      <c r="I427" s="35"/>
    </row>
    <row r="428" spans="1:9" x14ac:dyDescent="0.2">
      <c r="A428" s="43" t="s">
        <v>81</v>
      </c>
      <c r="B428" s="66">
        <v>47.29999999999999</v>
      </c>
      <c r="C428" s="66">
        <v>14.63</v>
      </c>
      <c r="D428" s="66">
        <v>12.62</v>
      </c>
      <c r="E428" s="66">
        <v>27.25</v>
      </c>
      <c r="F428" s="66">
        <v>6.83</v>
      </c>
      <c r="G428" s="65">
        <v>108.63</v>
      </c>
      <c r="H428" s="54">
        <v>3.5999999999999996</v>
      </c>
      <c r="I428" s="35"/>
    </row>
    <row r="429" spans="1:9" x14ac:dyDescent="0.2">
      <c r="A429" s="43" t="s">
        <v>82</v>
      </c>
      <c r="B429" s="66">
        <v>44.069999999999986</v>
      </c>
      <c r="C429" s="66">
        <v>13.55</v>
      </c>
      <c r="D429" s="66">
        <v>12.62</v>
      </c>
      <c r="E429" s="66">
        <v>27.25</v>
      </c>
      <c r="F429" s="66">
        <v>6.83</v>
      </c>
      <c r="G429" s="65">
        <v>104.32</v>
      </c>
      <c r="H429" s="54">
        <v>3.5999999999999996</v>
      </c>
      <c r="I429" s="35"/>
    </row>
    <row r="430" spans="1:9" x14ac:dyDescent="0.2">
      <c r="A430" s="43" t="s">
        <v>83</v>
      </c>
      <c r="B430" s="66">
        <v>42.079999999999984</v>
      </c>
      <c r="C430" s="66">
        <v>12.88</v>
      </c>
      <c r="D430" s="66">
        <v>12.62</v>
      </c>
      <c r="E430" s="66">
        <v>27.25</v>
      </c>
      <c r="F430" s="66">
        <v>6.83</v>
      </c>
      <c r="G430" s="65">
        <v>101.65999999999998</v>
      </c>
      <c r="H430" s="54">
        <v>3.5999999999999996</v>
      </c>
      <c r="I430" s="35"/>
    </row>
    <row r="431" spans="1:9" x14ac:dyDescent="0.2">
      <c r="A431" s="43" t="s">
        <v>84</v>
      </c>
      <c r="B431" s="66">
        <v>38.519999999999989</v>
      </c>
      <c r="C431" s="66">
        <v>11.69</v>
      </c>
      <c r="D431" s="66">
        <v>12.62</v>
      </c>
      <c r="E431" s="66">
        <v>27.25</v>
      </c>
      <c r="F431" s="66">
        <v>6.83</v>
      </c>
      <c r="G431" s="65">
        <v>96.909999999999982</v>
      </c>
      <c r="H431" s="54">
        <v>3.5999999999999996</v>
      </c>
      <c r="I431" s="35"/>
    </row>
    <row r="432" spans="1:9" x14ac:dyDescent="0.2">
      <c r="A432" s="43" t="s">
        <v>85</v>
      </c>
      <c r="B432" s="66">
        <v>34.169999999999987</v>
      </c>
      <c r="C432" s="66">
        <v>10.23</v>
      </c>
      <c r="D432" s="66">
        <v>12.62</v>
      </c>
      <c r="E432" s="66">
        <v>27.25</v>
      </c>
      <c r="F432" s="66">
        <v>6.83</v>
      </c>
      <c r="G432" s="65">
        <v>91.09999999999998</v>
      </c>
      <c r="H432" s="54">
        <v>3.5999999999999996</v>
      </c>
      <c r="I432" s="35"/>
    </row>
    <row r="433" spans="1:9" x14ac:dyDescent="0.2">
      <c r="A433" s="43" t="s">
        <v>86</v>
      </c>
      <c r="B433" s="66">
        <v>30.459999999999987</v>
      </c>
      <c r="C433" s="66">
        <v>9</v>
      </c>
      <c r="D433" s="66">
        <v>12.62</v>
      </c>
      <c r="E433" s="66">
        <v>27.25</v>
      </c>
      <c r="F433" s="66">
        <v>6.83</v>
      </c>
      <c r="G433" s="65">
        <v>86.159999999999982</v>
      </c>
      <c r="H433" s="54">
        <v>3.5999999999999996</v>
      </c>
      <c r="I433" s="35"/>
    </row>
    <row r="434" spans="1:9" x14ac:dyDescent="0.2">
      <c r="A434" s="45" t="s">
        <v>87</v>
      </c>
      <c r="B434" s="66">
        <v>30.459999999999987</v>
      </c>
      <c r="C434" s="66">
        <v>9</v>
      </c>
      <c r="D434" s="66">
        <v>12.62</v>
      </c>
      <c r="E434" s="66">
        <v>27.25</v>
      </c>
      <c r="F434" s="66">
        <v>6.83</v>
      </c>
      <c r="G434" s="65">
        <v>86.159999999999982</v>
      </c>
      <c r="H434" s="54">
        <v>3.5999999999999996</v>
      </c>
      <c r="I434" s="35"/>
    </row>
    <row r="435" spans="1:9" x14ac:dyDescent="0.2">
      <c r="A435" s="45" t="s">
        <v>88</v>
      </c>
      <c r="B435" s="66">
        <v>30.459999999999987</v>
      </c>
      <c r="C435" s="66">
        <v>9</v>
      </c>
      <c r="D435" s="66">
        <v>12.62</v>
      </c>
      <c r="E435" s="66">
        <v>27.25</v>
      </c>
      <c r="F435" s="66">
        <v>6.83</v>
      </c>
      <c r="G435" s="65">
        <v>86.159999999999982</v>
      </c>
      <c r="H435" s="54">
        <v>3.5999999999999996</v>
      </c>
      <c r="I435" s="35"/>
    </row>
    <row r="436" spans="1:9" x14ac:dyDescent="0.2">
      <c r="A436" s="55"/>
      <c r="B436" s="56"/>
      <c r="C436" s="33"/>
      <c r="D436" s="33"/>
      <c r="E436" s="33"/>
      <c r="F436" s="33"/>
      <c r="G436" s="57"/>
      <c r="H436" s="54"/>
      <c r="I436" s="33"/>
    </row>
    <row r="437" spans="1:9" x14ac:dyDescent="0.2">
      <c r="A437" s="58" t="s">
        <v>119</v>
      </c>
      <c r="B437" s="64">
        <v>96.81</v>
      </c>
      <c r="C437" s="64">
        <v>31.81</v>
      </c>
      <c r="D437" s="49"/>
      <c r="E437" s="49"/>
      <c r="F437" s="49"/>
      <c r="G437" s="50">
        <v>128.62</v>
      </c>
      <c r="H437" s="54">
        <v>0</v>
      </c>
      <c r="I437" s="33"/>
    </row>
    <row r="438" spans="1:9" x14ac:dyDescent="0.2">
      <c r="A438" s="51" t="s">
        <v>120</v>
      </c>
      <c r="B438" s="64">
        <v>38.72</v>
      </c>
      <c r="C438" s="64">
        <v>12.73</v>
      </c>
      <c r="D438" s="49"/>
      <c r="E438" s="49"/>
      <c r="F438" s="49"/>
      <c r="G438" s="50">
        <v>51.45</v>
      </c>
      <c r="H438" s="54">
        <v>0</v>
      </c>
      <c r="I438" s="33"/>
    </row>
    <row r="439" spans="1:9" x14ac:dyDescent="0.2">
      <c r="A439" s="59" t="s">
        <v>121</v>
      </c>
      <c r="B439" s="64">
        <v>58.09</v>
      </c>
      <c r="C439" s="64">
        <v>19.079999999999998</v>
      </c>
      <c r="D439" s="49"/>
      <c r="E439" s="49"/>
      <c r="F439" s="49"/>
      <c r="G439" s="50">
        <v>77.17</v>
      </c>
      <c r="H439" s="54">
        <v>0</v>
      </c>
      <c r="I439" s="33"/>
    </row>
    <row r="441" spans="1:9" ht="15.75" x14ac:dyDescent="0.25">
      <c r="A441" s="41" t="s">
        <v>140</v>
      </c>
      <c r="B441" s="42"/>
      <c r="C441" s="42"/>
      <c r="D441" s="42"/>
      <c r="E441" s="42"/>
      <c r="F441" s="42"/>
      <c r="G441" s="42"/>
      <c r="H441" s="52"/>
      <c r="I441" s="33"/>
    </row>
    <row r="442" spans="1:9" ht="76.5" x14ac:dyDescent="0.2">
      <c r="A442" s="37" t="s">
        <v>92</v>
      </c>
      <c r="B442" s="61" t="s">
        <v>114</v>
      </c>
      <c r="C442" s="61" t="s">
        <v>115</v>
      </c>
      <c r="D442" s="62" t="s">
        <v>116</v>
      </c>
      <c r="E442" s="61" t="s">
        <v>117</v>
      </c>
      <c r="F442" s="61" t="s">
        <v>118</v>
      </c>
      <c r="G442" s="62" t="s">
        <v>15</v>
      </c>
      <c r="H442" s="53" t="s">
        <v>141</v>
      </c>
      <c r="I442" s="33"/>
    </row>
    <row r="443" spans="1:9" x14ac:dyDescent="0.2">
      <c r="A443" s="43" t="s">
        <v>54</v>
      </c>
      <c r="B443" s="66">
        <v>113.87000000000006</v>
      </c>
      <c r="C443" s="66">
        <v>36.79</v>
      </c>
      <c r="D443" s="66">
        <v>12.62</v>
      </c>
      <c r="E443" s="66">
        <v>27.25</v>
      </c>
      <c r="F443" s="66">
        <v>6.83</v>
      </c>
      <c r="G443" s="65">
        <v>197.36000000000007</v>
      </c>
      <c r="H443" s="54">
        <v>3.9999999999999996</v>
      </c>
      <c r="I443" s="35"/>
    </row>
    <row r="444" spans="1:9" x14ac:dyDescent="0.2">
      <c r="A444" s="43" t="s">
        <v>55</v>
      </c>
      <c r="B444" s="66">
        <v>96.970000000000056</v>
      </c>
      <c r="C444" s="66">
        <v>31.12</v>
      </c>
      <c r="D444" s="66">
        <v>12.62</v>
      </c>
      <c r="E444" s="66">
        <v>27.25</v>
      </c>
      <c r="F444" s="66">
        <v>6.83</v>
      </c>
      <c r="G444" s="65">
        <v>174.79000000000008</v>
      </c>
      <c r="H444" s="54">
        <v>3.9999999999999996</v>
      </c>
      <c r="I444" s="35"/>
    </row>
    <row r="445" spans="1:9" x14ac:dyDescent="0.2">
      <c r="A445" s="43" t="s">
        <v>56</v>
      </c>
      <c r="B445" s="66">
        <v>89.180000000000064</v>
      </c>
      <c r="C445" s="66">
        <v>28.52</v>
      </c>
      <c r="D445" s="66">
        <v>12.62</v>
      </c>
      <c r="E445" s="66">
        <v>27.25</v>
      </c>
      <c r="F445" s="66">
        <v>6.83</v>
      </c>
      <c r="G445" s="65">
        <v>164.40000000000006</v>
      </c>
      <c r="H445" s="54">
        <v>3.9999999999999996</v>
      </c>
      <c r="I445" s="35"/>
    </row>
    <row r="446" spans="1:9" x14ac:dyDescent="0.2">
      <c r="A446" s="43" t="s">
        <v>57</v>
      </c>
      <c r="B446" s="66">
        <v>74.70000000000006</v>
      </c>
      <c r="C446" s="66">
        <v>23.67</v>
      </c>
      <c r="D446" s="66">
        <v>12.62</v>
      </c>
      <c r="E446" s="66">
        <v>27.25</v>
      </c>
      <c r="F446" s="66">
        <v>6.83</v>
      </c>
      <c r="G446" s="65">
        <v>145.07000000000008</v>
      </c>
      <c r="H446" s="54">
        <v>3.9999999999999996</v>
      </c>
      <c r="I446" s="35"/>
    </row>
    <row r="447" spans="1:9" x14ac:dyDescent="0.2">
      <c r="A447" s="43" t="s">
        <v>58</v>
      </c>
      <c r="B447" s="66">
        <v>142.02000000000007</v>
      </c>
      <c r="C447" s="66">
        <v>46.21</v>
      </c>
      <c r="D447" s="66">
        <v>12.62</v>
      </c>
      <c r="E447" s="66">
        <v>27.25</v>
      </c>
      <c r="F447" s="66">
        <v>6.83</v>
      </c>
      <c r="G447" s="65">
        <v>234.93000000000009</v>
      </c>
      <c r="H447" s="54">
        <v>3.9999999999999996</v>
      </c>
      <c r="I447" s="35"/>
    </row>
    <row r="448" spans="1:9" x14ac:dyDescent="0.2">
      <c r="A448" s="43" t="s">
        <v>59</v>
      </c>
      <c r="B448" s="66">
        <v>115.90000000000006</v>
      </c>
      <c r="C448" s="66">
        <v>37.47</v>
      </c>
      <c r="D448" s="66">
        <v>12.62</v>
      </c>
      <c r="E448" s="66">
        <v>27.25</v>
      </c>
      <c r="F448" s="66">
        <v>6.83</v>
      </c>
      <c r="G448" s="65">
        <v>200.07000000000008</v>
      </c>
      <c r="H448" s="54">
        <v>3.9999999999999996</v>
      </c>
      <c r="I448" s="35"/>
    </row>
    <row r="449" spans="1:9" x14ac:dyDescent="0.2">
      <c r="A449" s="43" t="s">
        <v>60</v>
      </c>
      <c r="B449" s="66">
        <v>96.560000000000059</v>
      </c>
      <c r="C449" s="66">
        <v>30.99</v>
      </c>
      <c r="D449" s="66">
        <v>12.62</v>
      </c>
      <c r="E449" s="66">
        <v>27.25</v>
      </c>
      <c r="F449" s="66">
        <v>6.83</v>
      </c>
      <c r="G449" s="65">
        <v>174.25000000000006</v>
      </c>
      <c r="H449" s="54">
        <v>3.9999999999999996</v>
      </c>
      <c r="I449" s="35"/>
    </row>
    <row r="450" spans="1:9" x14ac:dyDescent="0.2">
      <c r="A450" s="43" t="s">
        <v>61</v>
      </c>
      <c r="B450" s="66">
        <v>93.580000000000055</v>
      </c>
      <c r="C450" s="66">
        <v>29.99</v>
      </c>
      <c r="D450" s="66">
        <v>12.62</v>
      </c>
      <c r="E450" s="66">
        <v>27.25</v>
      </c>
      <c r="F450" s="66">
        <v>6.83</v>
      </c>
      <c r="G450" s="65">
        <v>170.27000000000007</v>
      </c>
      <c r="H450" s="54">
        <v>3.9999999999999996</v>
      </c>
      <c r="I450" s="35"/>
    </row>
    <row r="451" spans="1:9" x14ac:dyDescent="0.2">
      <c r="A451" s="43" t="s">
        <v>62</v>
      </c>
      <c r="B451" s="66">
        <v>86.780000000000058</v>
      </c>
      <c r="C451" s="66">
        <v>27.71</v>
      </c>
      <c r="D451" s="66">
        <v>12.62</v>
      </c>
      <c r="E451" s="66">
        <v>27.25</v>
      </c>
      <c r="F451" s="66">
        <v>6.83</v>
      </c>
      <c r="G451" s="65">
        <v>161.19000000000008</v>
      </c>
      <c r="H451" s="54">
        <v>3.9999999999999996</v>
      </c>
      <c r="I451" s="35"/>
    </row>
    <row r="452" spans="1:9" x14ac:dyDescent="0.2">
      <c r="A452" s="43" t="s">
        <v>63</v>
      </c>
      <c r="B452" s="66">
        <v>86.510000000000062</v>
      </c>
      <c r="C452" s="66">
        <v>27.62</v>
      </c>
      <c r="D452" s="66">
        <v>12.62</v>
      </c>
      <c r="E452" s="66">
        <v>27.25</v>
      </c>
      <c r="F452" s="66">
        <v>6.83</v>
      </c>
      <c r="G452" s="65">
        <v>160.83000000000007</v>
      </c>
      <c r="H452" s="54">
        <v>3.9999999999999996</v>
      </c>
      <c r="I452" s="35"/>
    </row>
    <row r="453" spans="1:9" x14ac:dyDescent="0.2">
      <c r="A453" s="43" t="s">
        <v>64</v>
      </c>
      <c r="B453" s="66">
        <v>70.760000000000062</v>
      </c>
      <c r="C453" s="66">
        <v>22.36</v>
      </c>
      <c r="D453" s="66">
        <v>12.62</v>
      </c>
      <c r="E453" s="66">
        <v>27.25</v>
      </c>
      <c r="F453" s="66">
        <v>6.83</v>
      </c>
      <c r="G453" s="65">
        <v>139.82000000000008</v>
      </c>
      <c r="H453" s="54">
        <v>3.9999999999999996</v>
      </c>
      <c r="I453" s="35"/>
    </row>
    <row r="454" spans="1:9" x14ac:dyDescent="0.2">
      <c r="A454" s="43" t="s">
        <v>65</v>
      </c>
      <c r="B454" s="66">
        <v>65.400000000000006</v>
      </c>
      <c r="C454" s="66">
        <v>20.55</v>
      </c>
      <c r="D454" s="66">
        <v>12.62</v>
      </c>
      <c r="E454" s="66">
        <v>27.25</v>
      </c>
      <c r="F454" s="66">
        <v>6.83</v>
      </c>
      <c r="G454" s="65">
        <v>132.65</v>
      </c>
      <c r="H454" s="54">
        <v>3.9999999999999996</v>
      </c>
      <c r="I454" s="35"/>
    </row>
    <row r="455" spans="1:9" x14ac:dyDescent="0.2">
      <c r="A455" s="43" t="s">
        <v>66</v>
      </c>
      <c r="B455" s="66">
        <v>62.349999999999987</v>
      </c>
      <c r="C455" s="66">
        <v>19.54</v>
      </c>
      <c r="D455" s="66">
        <v>12.62</v>
      </c>
      <c r="E455" s="66">
        <v>27.25</v>
      </c>
      <c r="F455" s="66">
        <v>6.83</v>
      </c>
      <c r="G455" s="65">
        <v>128.59</v>
      </c>
      <c r="H455" s="54">
        <v>3.9999999999999996</v>
      </c>
      <c r="I455" s="35"/>
    </row>
    <row r="456" spans="1:9" x14ac:dyDescent="0.2">
      <c r="A456" s="43" t="s">
        <v>67</v>
      </c>
      <c r="B456" s="66">
        <v>58.129999999999988</v>
      </c>
      <c r="C456" s="66">
        <v>18.13</v>
      </c>
      <c r="D456" s="66">
        <v>12.62</v>
      </c>
      <c r="E456" s="66">
        <v>27.25</v>
      </c>
      <c r="F456" s="66">
        <v>6.83</v>
      </c>
      <c r="G456" s="65">
        <v>122.96</v>
      </c>
      <c r="H456" s="54">
        <v>3.9999999999999996</v>
      </c>
      <c r="I456" s="35"/>
    </row>
    <row r="457" spans="1:9" x14ac:dyDescent="0.2">
      <c r="A457" s="43" t="s">
        <v>68</v>
      </c>
      <c r="B457" s="66">
        <v>53.619999999999983</v>
      </c>
      <c r="C457" s="66">
        <v>16.62</v>
      </c>
      <c r="D457" s="66">
        <v>12.62</v>
      </c>
      <c r="E457" s="66">
        <v>27.25</v>
      </c>
      <c r="F457" s="66">
        <v>6.83</v>
      </c>
      <c r="G457" s="65">
        <v>116.93999999999998</v>
      </c>
      <c r="H457" s="54">
        <v>3.9999999999999996</v>
      </c>
      <c r="I457" s="35"/>
    </row>
    <row r="458" spans="1:9" x14ac:dyDescent="0.2">
      <c r="A458" s="43" t="s">
        <v>69</v>
      </c>
      <c r="B458" s="66">
        <v>48.549999999999983</v>
      </c>
      <c r="C458" s="66">
        <v>14.91</v>
      </c>
      <c r="D458" s="66">
        <v>12.62</v>
      </c>
      <c r="E458" s="66">
        <v>27.25</v>
      </c>
      <c r="F458" s="66">
        <v>6.83</v>
      </c>
      <c r="G458" s="65">
        <v>110.15999999999998</v>
      </c>
      <c r="H458" s="54">
        <v>3.9999999999999996</v>
      </c>
      <c r="I458" s="35"/>
    </row>
    <row r="459" spans="1:9" x14ac:dyDescent="0.2">
      <c r="A459" s="43" t="s">
        <v>70</v>
      </c>
      <c r="B459" s="66">
        <v>53.759999999999984</v>
      </c>
      <c r="C459" s="66">
        <v>16.649999999999999</v>
      </c>
      <c r="D459" s="66">
        <v>12.62</v>
      </c>
      <c r="E459" s="66">
        <v>27.25</v>
      </c>
      <c r="F459" s="66">
        <v>6.83</v>
      </c>
      <c r="G459" s="65">
        <v>117.10999999999999</v>
      </c>
      <c r="H459" s="54">
        <v>3.9999999999999996</v>
      </c>
      <c r="I459" s="35"/>
    </row>
    <row r="460" spans="1:9" x14ac:dyDescent="0.2">
      <c r="A460" s="43" t="s">
        <v>71</v>
      </c>
      <c r="B460" s="66">
        <v>48.019999999999989</v>
      </c>
      <c r="C460" s="66">
        <v>14.73</v>
      </c>
      <c r="D460" s="66">
        <v>12.62</v>
      </c>
      <c r="E460" s="66">
        <v>27.25</v>
      </c>
      <c r="F460" s="66">
        <v>6.83</v>
      </c>
      <c r="G460" s="65">
        <v>109.44999999999999</v>
      </c>
      <c r="H460" s="54">
        <v>3.9999999999999996</v>
      </c>
      <c r="I460" s="35"/>
    </row>
    <row r="461" spans="1:9" x14ac:dyDescent="0.2">
      <c r="A461" s="43" t="s">
        <v>72</v>
      </c>
      <c r="B461" s="66">
        <v>41.159999999999982</v>
      </c>
      <c r="C461" s="66">
        <v>12.44</v>
      </c>
      <c r="D461" s="66">
        <v>12.62</v>
      </c>
      <c r="E461" s="66">
        <v>27.25</v>
      </c>
      <c r="F461" s="66">
        <v>6.83</v>
      </c>
      <c r="G461" s="65">
        <v>100.29999999999998</v>
      </c>
      <c r="H461" s="54">
        <v>3.9999999999999996</v>
      </c>
      <c r="I461" s="35"/>
    </row>
    <row r="462" spans="1:9" x14ac:dyDescent="0.2">
      <c r="A462" s="43" t="s">
        <v>73</v>
      </c>
      <c r="B462" s="66">
        <v>37.429999999999986</v>
      </c>
      <c r="C462" s="66">
        <v>11.19</v>
      </c>
      <c r="D462" s="66">
        <v>12.62</v>
      </c>
      <c r="E462" s="66">
        <v>27.25</v>
      </c>
      <c r="F462" s="66">
        <v>6.83</v>
      </c>
      <c r="G462" s="65">
        <v>95.319999999999979</v>
      </c>
      <c r="H462" s="54">
        <v>3.9999999999999996</v>
      </c>
      <c r="I462" s="35"/>
    </row>
    <row r="463" spans="1:9" x14ac:dyDescent="0.2">
      <c r="A463" s="43" t="s">
        <v>74</v>
      </c>
      <c r="B463" s="66">
        <v>52.219999999999985</v>
      </c>
      <c r="C463" s="66">
        <v>16.14</v>
      </c>
      <c r="D463" s="66">
        <v>12.62</v>
      </c>
      <c r="E463" s="66">
        <v>27.25</v>
      </c>
      <c r="F463" s="66">
        <v>6.83</v>
      </c>
      <c r="G463" s="65">
        <v>115.05999999999999</v>
      </c>
      <c r="H463" s="54">
        <v>3.9999999999999996</v>
      </c>
      <c r="I463" s="35"/>
    </row>
    <row r="464" spans="1:9" x14ac:dyDescent="0.2">
      <c r="A464" s="43" t="s">
        <v>75</v>
      </c>
      <c r="B464" s="66">
        <v>44.309999999999988</v>
      </c>
      <c r="C464" s="66">
        <v>13.5</v>
      </c>
      <c r="D464" s="66">
        <v>12.62</v>
      </c>
      <c r="E464" s="66">
        <v>27.25</v>
      </c>
      <c r="F464" s="66">
        <v>6.83</v>
      </c>
      <c r="G464" s="65">
        <v>104.50999999999999</v>
      </c>
      <c r="H464" s="54">
        <v>3.9999999999999996</v>
      </c>
      <c r="I464" s="35"/>
    </row>
    <row r="465" spans="1:9" x14ac:dyDescent="0.2">
      <c r="A465" s="43" t="s">
        <v>76</v>
      </c>
      <c r="B465" s="66">
        <v>39.809999999999988</v>
      </c>
      <c r="C465" s="66">
        <v>11.99</v>
      </c>
      <c r="D465" s="66">
        <v>12.62</v>
      </c>
      <c r="E465" s="66">
        <v>27.25</v>
      </c>
      <c r="F465" s="66">
        <v>6.83</v>
      </c>
      <c r="G465" s="65">
        <v>98.499999999999986</v>
      </c>
      <c r="H465" s="54">
        <v>3.9999999999999996</v>
      </c>
      <c r="I465" s="35"/>
    </row>
    <row r="466" spans="1:9" x14ac:dyDescent="0.2">
      <c r="A466" s="43" t="s">
        <v>77</v>
      </c>
      <c r="B466" s="66">
        <v>33.069999999999986</v>
      </c>
      <c r="C466" s="66">
        <v>9.74</v>
      </c>
      <c r="D466" s="66">
        <v>12.62</v>
      </c>
      <c r="E466" s="66">
        <v>27.25</v>
      </c>
      <c r="F466" s="66">
        <v>6.83</v>
      </c>
      <c r="G466" s="65">
        <v>89.509999999999977</v>
      </c>
      <c r="H466" s="54">
        <v>3.9999999999999996</v>
      </c>
      <c r="I466" s="35"/>
    </row>
    <row r="467" spans="1:9" x14ac:dyDescent="0.2">
      <c r="A467" s="43" t="s">
        <v>78</v>
      </c>
      <c r="B467" s="66">
        <v>58.619999999999983</v>
      </c>
      <c r="C467" s="66">
        <v>18.29</v>
      </c>
      <c r="D467" s="66">
        <v>12.62</v>
      </c>
      <c r="E467" s="66">
        <v>27.25</v>
      </c>
      <c r="F467" s="66">
        <v>6.83</v>
      </c>
      <c r="G467" s="65">
        <v>123.60999999999999</v>
      </c>
      <c r="H467" s="54">
        <v>3.9999999999999996</v>
      </c>
      <c r="I467" s="35"/>
    </row>
    <row r="468" spans="1:9" x14ac:dyDescent="0.2">
      <c r="A468" s="43" t="s">
        <v>79</v>
      </c>
      <c r="B468" s="66">
        <v>53.719999999999985</v>
      </c>
      <c r="C468" s="66">
        <v>16.64</v>
      </c>
      <c r="D468" s="66">
        <v>12.62</v>
      </c>
      <c r="E468" s="66">
        <v>27.25</v>
      </c>
      <c r="F468" s="66">
        <v>6.83</v>
      </c>
      <c r="G468" s="65">
        <v>117.05999999999999</v>
      </c>
      <c r="H468" s="54">
        <v>3.9999999999999996</v>
      </c>
      <c r="I468" s="35"/>
    </row>
    <row r="469" spans="1:9" x14ac:dyDescent="0.2">
      <c r="A469" s="43" t="s">
        <v>80</v>
      </c>
      <c r="B469" s="66">
        <v>54.909999999999982</v>
      </c>
      <c r="C469" s="66">
        <v>17.04</v>
      </c>
      <c r="D469" s="66">
        <v>12.62</v>
      </c>
      <c r="E469" s="66">
        <v>27.25</v>
      </c>
      <c r="F469" s="66">
        <v>6.83</v>
      </c>
      <c r="G469" s="65">
        <v>118.64999999999999</v>
      </c>
      <c r="H469" s="54">
        <v>3.9999999999999996</v>
      </c>
      <c r="I469" s="35"/>
    </row>
    <row r="470" spans="1:9" x14ac:dyDescent="0.2">
      <c r="A470" s="43" t="s">
        <v>53</v>
      </c>
      <c r="B470" s="66">
        <v>49.849999999999987</v>
      </c>
      <c r="C470" s="66">
        <v>15.35</v>
      </c>
      <c r="D470" s="66">
        <v>12.62</v>
      </c>
      <c r="E470" s="66">
        <v>27.25</v>
      </c>
      <c r="F470" s="66">
        <v>6.83</v>
      </c>
      <c r="G470" s="65">
        <v>111.89999999999999</v>
      </c>
      <c r="H470" s="54">
        <v>3.9999999999999996</v>
      </c>
      <c r="I470" s="35"/>
    </row>
    <row r="471" spans="1:9" x14ac:dyDescent="0.2">
      <c r="A471" s="43" t="s">
        <v>81</v>
      </c>
      <c r="B471" s="66">
        <v>47.699999999999989</v>
      </c>
      <c r="C471" s="66">
        <v>14.63</v>
      </c>
      <c r="D471" s="66">
        <v>12.62</v>
      </c>
      <c r="E471" s="66">
        <v>27.25</v>
      </c>
      <c r="F471" s="66">
        <v>6.83</v>
      </c>
      <c r="G471" s="65">
        <v>109.02999999999999</v>
      </c>
      <c r="H471" s="54">
        <v>3.9999999999999996</v>
      </c>
      <c r="I471" s="35"/>
    </row>
    <row r="472" spans="1:9" x14ac:dyDescent="0.2">
      <c r="A472" s="43" t="s">
        <v>82</v>
      </c>
      <c r="B472" s="66">
        <v>44.469999999999985</v>
      </c>
      <c r="C472" s="66">
        <v>13.55</v>
      </c>
      <c r="D472" s="66">
        <v>12.62</v>
      </c>
      <c r="E472" s="66">
        <v>27.25</v>
      </c>
      <c r="F472" s="66">
        <v>6.83</v>
      </c>
      <c r="G472" s="65">
        <v>104.71999999999998</v>
      </c>
      <c r="H472" s="54">
        <v>3.9999999999999996</v>
      </c>
      <c r="I472" s="35"/>
    </row>
    <row r="473" spans="1:9" x14ac:dyDescent="0.2">
      <c r="A473" s="43" t="s">
        <v>83</v>
      </c>
      <c r="B473" s="66">
        <v>42.479999999999983</v>
      </c>
      <c r="C473" s="66">
        <v>12.88</v>
      </c>
      <c r="D473" s="66">
        <v>12.62</v>
      </c>
      <c r="E473" s="66">
        <v>27.25</v>
      </c>
      <c r="F473" s="66">
        <v>6.83</v>
      </c>
      <c r="G473" s="65">
        <v>102.05999999999999</v>
      </c>
      <c r="H473" s="54">
        <v>3.9999999999999996</v>
      </c>
      <c r="I473" s="35"/>
    </row>
    <row r="474" spans="1:9" x14ac:dyDescent="0.2">
      <c r="A474" s="43" t="s">
        <v>84</v>
      </c>
      <c r="B474" s="66">
        <v>38.919999999999987</v>
      </c>
      <c r="C474" s="66">
        <v>11.69</v>
      </c>
      <c r="D474" s="66">
        <v>12.62</v>
      </c>
      <c r="E474" s="66">
        <v>27.25</v>
      </c>
      <c r="F474" s="66">
        <v>6.83</v>
      </c>
      <c r="G474" s="65">
        <v>97.309999999999988</v>
      </c>
      <c r="H474" s="54">
        <v>3.9999999999999996</v>
      </c>
      <c r="I474" s="35"/>
    </row>
    <row r="475" spans="1:9" x14ac:dyDescent="0.2">
      <c r="A475" s="43" t="s">
        <v>85</v>
      </c>
      <c r="B475" s="66">
        <v>34.569999999999986</v>
      </c>
      <c r="C475" s="66">
        <v>10.23</v>
      </c>
      <c r="D475" s="66">
        <v>12.62</v>
      </c>
      <c r="E475" s="66">
        <v>27.25</v>
      </c>
      <c r="F475" s="66">
        <v>6.83</v>
      </c>
      <c r="G475" s="65">
        <v>91.499999999999986</v>
      </c>
      <c r="H475" s="54">
        <v>3.9999999999999996</v>
      </c>
      <c r="I475" s="35"/>
    </row>
    <row r="476" spans="1:9" x14ac:dyDescent="0.2">
      <c r="A476" s="43" t="s">
        <v>86</v>
      </c>
      <c r="B476" s="66">
        <v>30.859999999999985</v>
      </c>
      <c r="C476" s="66">
        <v>9</v>
      </c>
      <c r="D476" s="66">
        <v>12.62</v>
      </c>
      <c r="E476" s="66">
        <v>27.25</v>
      </c>
      <c r="F476" s="66">
        <v>6.83</v>
      </c>
      <c r="G476" s="65">
        <v>86.559999999999988</v>
      </c>
      <c r="H476" s="54">
        <v>3.9999999999999996</v>
      </c>
      <c r="I476" s="35"/>
    </row>
    <row r="477" spans="1:9" x14ac:dyDescent="0.2">
      <c r="A477" s="45" t="s">
        <v>87</v>
      </c>
      <c r="B477" s="66">
        <v>30.859999999999985</v>
      </c>
      <c r="C477" s="66">
        <v>9</v>
      </c>
      <c r="D477" s="66">
        <v>12.62</v>
      </c>
      <c r="E477" s="66">
        <v>27.25</v>
      </c>
      <c r="F477" s="66">
        <v>6.83</v>
      </c>
      <c r="G477" s="65">
        <v>86.559999999999988</v>
      </c>
      <c r="H477" s="54">
        <v>3.9999999999999996</v>
      </c>
      <c r="I477" s="35"/>
    </row>
    <row r="478" spans="1:9" x14ac:dyDescent="0.2">
      <c r="A478" s="45" t="s">
        <v>88</v>
      </c>
      <c r="B478" s="66">
        <v>30.859999999999985</v>
      </c>
      <c r="C478" s="66">
        <v>9</v>
      </c>
      <c r="D478" s="66">
        <v>12.62</v>
      </c>
      <c r="E478" s="66">
        <v>27.25</v>
      </c>
      <c r="F478" s="66">
        <v>6.83</v>
      </c>
      <c r="G478" s="65">
        <v>86.559999999999988</v>
      </c>
      <c r="H478" s="54">
        <v>3.9999999999999996</v>
      </c>
      <c r="I478" s="35"/>
    </row>
    <row r="479" spans="1:9" x14ac:dyDescent="0.2">
      <c r="A479" s="55"/>
      <c r="B479" s="56"/>
      <c r="C479" s="33"/>
      <c r="D479" s="33"/>
      <c r="E479" s="33"/>
      <c r="F479" s="33"/>
      <c r="G479" s="57"/>
      <c r="H479" s="54"/>
      <c r="I479" s="33"/>
    </row>
    <row r="480" spans="1:9" x14ac:dyDescent="0.2">
      <c r="A480" s="58" t="s">
        <v>119</v>
      </c>
      <c r="B480" s="64">
        <v>96.81</v>
      </c>
      <c r="C480" s="64">
        <v>31.81</v>
      </c>
      <c r="D480" s="49"/>
      <c r="E480" s="49"/>
      <c r="F480" s="49"/>
      <c r="G480" s="50">
        <v>128.62</v>
      </c>
      <c r="H480" s="54">
        <v>0</v>
      </c>
      <c r="I480" s="33"/>
    </row>
    <row r="481" spans="1:9" x14ac:dyDescent="0.2">
      <c r="A481" s="51" t="s">
        <v>120</v>
      </c>
      <c r="B481" s="64">
        <v>38.72</v>
      </c>
      <c r="C481" s="64">
        <v>12.73</v>
      </c>
      <c r="D481" s="49"/>
      <c r="E481" s="49"/>
      <c r="F481" s="49"/>
      <c r="G481" s="50">
        <v>51.45</v>
      </c>
      <c r="H481" s="54">
        <v>0</v>
      </c>
      <c r="I481" s="33"/>
    </row>
    <row r="482" spans="1:9" x14ac:dyDescent="0.2">
      <c r="A482" s="59" t="s">
        <v>121</v>
      </c>
      <c r="B482" s="64">
        <v>58.09</v>
      </c>
      <c r="C482" s="64">
        <v>19.079999999999998</v>
      </c>
      <c r="D482" s="49"/>
      <c r="E482" s="49"/>
      <c r="F482" s="49"/>
      <c r="G482" s="50">
        <v>77.17</v>
      </c>
      <c r="H482" s="54">
        <v>0</v>
      </c>
      <c r="I482" s="33"/>
    </row>
    <row r="484" spans="1:9" ht="15.75" x14ac:dyDescent="0.25">
      <c r="A484" s="41" t="s">
        <v>142</v>
      </c>
      <c r="B484" s="42"/>
      <c r="C484" s="42"/>
      <c r="D484" s="42"/>
      <c r="E484" s="42"/>
      <c r="F484" s="42"/>
      <c r="G484" s="42"/>
      <c r="H484" s="52"/>
      <c r="I484" s="33"/>
    </row>
    <row r="485" spans="1:9" ht="76.5" x14ac:dyDescent="0.2">
      <c r="A485" s="37" t="s">
        <v>92</v>
      </c>
      <c r="B485" s="61" t="s">
        <v>114</v>
      </c>
      <c r="C485" s="61" t="s">
        <v>115</v>
      </c>
      <c r="D485" s="62" t="s">
        <v>116</v>
      </c>
      <c r="E485" s="61" t="s">
        <v>117</v>
      </c>
      <c r="F485" s="61" t="s">
        <v>118</v>
      </c>
      <c r="G485" s="62" t="s">
        <v>15</v>
      </c>
      <c r="H485" s="53" t="s">
        <v>143</v>
      </c>
      <c r="I485" s="33"/>
    </row>
    <row r="486" spans="1:9" x14ac:dyDescent="0.2">
      <c r="A486" s="43" t="s">
        <v>54</v>
      </c>
      <c r="B486" s="66">
        <v>114.27000000000007</v>
      </c>
      <c r="C486" s="66">
        <v>36.79</v>
      </c>
      <c r="D486" s="66">
        <v>12.62</v>
      </c>
      <c r="E486" s="66">
        <v>27.25</v>
      </c>
      <c r="F486" s="66">
        <v>6.83</v>
      </c>
      <c r="G486" s="65">
        <v>197.76000000000008</v>
      </c>
      <c r="H486" s="54">
        <v>4.3999999999999995</v>
      </c>
      <c r="I486" s="35"/>
    </row>
    <row r="487" spans="1:9" x14ac:dyDescent="0.2">
      <c r="A487" s="43" t="s">
        <v>55</v>
      </c>
      <c r="B487" s="66">
        <v>97.370000000000061</v>
      </c>
      <c r="C487" s="66">
        <v>31.12</v>
      </c>
      <c r="D487" s="66">
        <v>12.62</v>
      </c>
      <c r="E487" s="66">
        <v>27.25</v>
      </c>
      <c r="F487" s="66">
        <v>6.83</v>
      </c>
      <c r="G487" s="65">
        <v>175.19000000000008</v>
      </c>
      <c r="H487" s="54">
        <v>4.3999999999999995</v>
      </c>
      <c r="I487" s="35"/>
    </row>
    <row r="488" spans="1:9" x14ac:dyDescent="0.2">
      <c r="A488" s="43" t="s">
        <v>56</v>
      </c>
      <c r="B488" s="66">
        <v>89.580000000000069</v>
      </c>
      <c r="C488" s="66">
        <v>28.52</v>
      </c>
      <c r="D488" s="66">
        <v>12.62</v>
      </c>
      <c r="E488" s="66">
        <v>27.25</v>
      </c>
      <c r="F488" s="66">
        <v>6.83</v>
      </c>
      <c r="G488" s="65">
        <v>164.80000000000007</v>
      </c>
      <c r="H488" s="54">
        <v>4.3999999999999995</v>
      </c>
      <c r="I488" s="35"/>
    </row>
    <row r="489" spans="1:9" x14ac:dyDescent="0.2">
      <c r="A489" s="43" t="s">
        <v>57</v>
      </c>
      <c r="B489" s="66">
        <v>75.100000000000065</v>
      </c>
      <c r="C489" s="66">
        <v>23.67</v>
      </c>
      <c r="D489" s="66">
        <v>12.62</v>
      </c>
      <c r="E489" s="66">
        <v>27.25</v>
      </c>
      <c r="F489" s="66">
        <v>6.83</v>
      </c>
      <c r="G489" s="65">
        <v>145.47000000000008</v>
      </c>
      <c r="H489" s="54">
        <v>4.3999999999999995</v>
      </c>
      <c r="I489" s="35"/>
    </row>
    <row r="490" spans="1:9" x14ac:dyDescent="0.2">
      <c r="A490" s="43" t="s">
        <v>58</v>
      </c>
      <c r="B490" s="66">
        <v>142.42000000000007</v>
      </c>
      <c r="C490" s="66">
        <v>46.21</v>
      </c>
      <c r="D490" s="66">
        <v>12.62</v>
      </c>
      <c r="E490" s="66">
        <v>27.25</v>
      </c>
      <c r="F490" s="66">
        <v>6.83</v>
      </c>
      <c r="G490" s="65">
        <v>235.3300000000001</v>
      </c>
      <c r="H490" s="54">
        <v>4.3999999999999995</v>
      </c>
      <c r="I490" s="35"/>
    </row>
    <row r="491" spans="1:9" x14ac:dyDescent="0.2">
      <c r="A491" s="43" t="s">
        <v>59</v>
      </c>
      <c r="B491" s="66">
        <v>116.30000000000007</v>
      </c>
      <c r="C491" s="66">
        <v>37.47</v>
      </c>
      <c r="D491" s="66">
        <v>12.62</v>
      </c>
      <c r="E491" s="66">
        <v>27.25</v>
      </c>
      <c r="F491" s="66">
        <v>6.83</v>
      </c>
      <c r="G491" s="65">
        <v>200.47000000000008</v>
      </c>
      <c r="H491" s="54">
        <v>4.3999999999999995</v>
      </c>
      <c r="I491" s="35"/>
    </row>
    <row r="492" spans="1:9" x14ac:dyDescent="0.2">
      <c r="A492" s="43" t="s">
        <v>60</v>
      </c>
      <c r="B492" s="66">
        <v>96.960000000000065</v>
      </c>
      <c r="C492" s="66">
        <v>30.99</v>
      </c>
      <c r="D492" s="66">
        <v>12.62</v>
      </c>
      <c r="E492" s="66">
        <v>27.25</v>
      </c>
      <c r="F492" s="66">
        <v>6.83</v>
      </c>
      <c r="G492" s="65">
        <v>174.65000000000006</v>
      </c>
      <c r="H492" s="54">
        <v>4.3999999999999995</v>
      </c>
      <c r="I492" s="35"/>
    </row>
    <row r="493" spans="1:9" x14ac:dyDescent="0.2">
      <c r="A493" s="43" t="s">
        <v>61</v>
      </c>
      <c r="B493" s="66">
        <v>93.980000000000061</v>
      </c>
      <c r="C493" s="66">
        <v>29.99</v>
      </c>
      <c r="D493" s="66">
        <v>12.62</v>
      </c>
      <c r="E493" s="66">
        <v>27.25</v>
      </c>
      <c r="F493" s="66">
        <v>6.83</v>
      </c>
      <c r="G493" s="65">
        <v>170.67000000000007</v>
      </c>
      <c r="H493" s="54">
        <v>4.3999999999999995</v>
      </c>
      <c r="I493" s="35"/>
    </row>
    <row r="494" spans="1:9" x14ac:dyDescent="0.2">
      <c r="A494" s="43" t="s">
        <v>62</v>
      </c>
      <c r="B494" s="66">
        <v>87.180000000000064</v>
      </c>
      <c r="C494" s="66">
        <v>27.71</v>
      </c>
      <c r="D494" s="66">
        <v>12.62</v>
      </c>
      <c r="E494" s="66">
        <v>27.25</v>
      </c>
      <c r="F494" s="66">
        <v>6.83</v>
      </c>
      <c r="G494" s="65">
        <v>161.59000000000009</v>
      </c>
      <c r="H494" s="54">
        <v>4.3999999999999995</v>
      </c>
      <c r="I494" s="35"/>
    </row>
    <row r="495" spans="1:9" x14ac:dyDescent="0.2">
      <c r="A495" s="43" t="s">
        <v>63</v>
      </c>
      <c r="B495" s="66">
        <v>86.910000000000068</v>
      </c>
      <c r="C495" s="66">
        <v>27.62</v>
      </c>
      <c r="D495" s="66">
        <v>12.62</v>
      </c>
      <c r="E495" s="66">
        <v>27.25</v>
      </c>
      <c r="F495" s="66">
        <v>6.83</v>
      </c>
      <c r="G495" s="65">
        <v>161.2300000000001</v>
      </c>
      <c r="H495" s="54">
        <v>4.3999999999999995</v>
      </c>
      <c r="I495" s="35"/>
    </row>
    <row r="496" spans="1:9" x14ac:dyDescent="0.2">
      <c r="A496" s="43" t="s">
        <v>64</v>
      </c>
      <c r="B496" s="66">
        <v>71.160000000000068</v>
      </c>
      <c r="C496" s="66">
        <v>22.36</v>
      </c>
      <c r="D496" s="66">
        <v>12.62</v>
      </c>
      <c r="E496" s="66">
        <v>27.25</v>
      </c>
      <c r="F496" s="66">
        <v>6.83</v>
      </c>
      <c r="G496" s="65">
        <v>140.22000000000008</v>
      </c>
      <c r="H496" s="54">
        <v>4.3999999999999995</v>
      </c>
      <c r="I496" s="35"/>
    </row>
    <row r="497" spans="1:9" x14ac:dyDescent="0.2">
      <c r="A497" s="43" t="s">
        <v>65</v>
      </c>
      <c r="B497" s="66">
        <v>65.800000000000011</v>
      </c>
      <c r="C497" s="66">
        <v>20.55</v>
      </c>
      <c r="D497" s="66">
        <v>12.62</v>
      </c>
      <c r="E497" s="66">
        <v>27.25</v>
      </c>
      <c r="F497" s="66">
        <v>6.83</v>
      </c>
      <c r="G497" s="65">
        <v>133.05000000000001</v>
      </c>
      <c r="H497" s="54">
        <v>4.3999999999999995</v>
      </c>
      <c r="I497" s="35"/>
    </row>
    <row r="498" spans="1:9" x14ac:dyDescent="0.2">
      <c r="A498" s="43" t="s">
        <v>66</v>
      </c>
      <c r="B498" s="66">
        <v>62.749999999999986</v>
      </c>
      <c r="C498" s="66">
        <v>19.54</v>
      </c>
      <c r="D498" s="66">
        <v>12.62</v>
      </c>
      <c r="E498" s="66">
        <v>27.25</v>
      </c>
      <c r="F498" s="66">
        <v>6.83</v>
      </c>
      <c r="G498" s="65">
        <v>128.99</v>
      </c>
      <c r="H498" s="54">
        <v>4.3999999999999995</v>
      </c>
      <c r="I498" s="35"/>
    </row>
    <row r="499" spans="1:9" x14ac:dyDescent="0.2">
      <c r="A499" s="43" t="s">
        <v>67</v>
      </c>
      <c r="B499" s="66">
        <v>58.529999999999987</v>
      </c>
      <c r="C499" s="66">
        <v>18.13</v>
      </c>
      <c r="D499" s="66">
        <v>12.62</v>
      </c>
      <c r="E499" s="66">
        <v>27.25</v>
      </c>
      <c r="F499" s="66">
        <v>6.83</v>
      </c>
      <c r="G499" s="65">
        <v>123.35999999999999</v>
      </c>
      <c r="H499" s="54">
        <v>4.3999999999999995</v>
      </c>
      <c r="I499" s="35"/>
    </row>
    <row r="500" spans="1:9" x14ac:dyDescent="0.2">
      <c r="A500" s="43" t="s">
        <v>68</v>
      </c>
      <c r="B500" s="66">
        <v>54.019999999999982</v>
      </c>
      <c r="C500" s="66">
        <v>16.62</v>
      </c>
      <c r="D500" s="66">
        <v>12.62</v>
      </c>
      <c r="E500" s="66">
        <v>27.25</v>
      </c>
      <c r="F500" s="66">
        <v>6.83</v>
      </c>
      <c r="G500" s="65">
        <v>117.33999999999999</v>
      </c>
      <c r="H500" s="54">
        <v>4.3999999999999995</v>
      </c>
      <c r="I500" s="35"/>
    </row>
    <row r="501" spans="1:9" x14ac:dyDescent="0.2">
      <c r="A501" s="43" t="s">
        <v>69</v>
      </c>
      <c r="B501" s="66">
        <v>48.949999999999982</v>
      </c>
      <c r="C501" s="66">
        <v>14.91</v>
      </c>
      <c r="D501" s="66">
        <v>12.62</v>
      </c>
      <c r="E501" s="66">
        <v>27.25</v>
      </c>
      <c r="F501" s="66">
        <v>6.83</v>
      </c>
      <c r="G501" s="65">
        <v>110.55999999999999</v>
      </c>
      <c r="H501" s="54">
        <v>4.3999999999999995</v>
      </c>
      <c r="I501" s="35"/>
    </row>
    <row r="502" spans="1:9" x14ac:dyDescent="0.2">
      <c r="A502" s="43" t="s">
        <v>70</v>
      </c>
      <c r="B502" s="66">
        <v>54.159999999999982</v>
      </c>
      <c r="C502" s="66">
        <v>16.649999999999999</v>
      </c>
      <c r="D502" s="66">
        <v>12.62</v>
      </c>
      <c r="E502" s="66">
        <v>27.25</v>
      </c>
      <c r="F502" s="66">
        <v>6.83</v>
      </c>
      <c r="G502" s="65">
        <v>117.50999999999998</v>
      </c>
      <c r="H502" s="54">
        <v>4.3999999999999995</v>
      </c>
      <c r="I502" s="35"/>
    </row>
    <row r="503" spans="1:9" x14ac:dyDescent="0.2">
      <c r="A503" s="43" t="s">
        <v>71</v>
      </c>
      <c r="B503" s="66">
        <v>48.419999999999987</v>
      </c>
      <c r="C503" s="66">
        <v>14.73</v>
      </c>
      <c r="D503" s="66">
        <v>12.62</v>
      </c>
      <c r="E503" s="66">
        <v>27.25</v>
      </c>
      <c r="F503" s="66">
        <v>6.83</v>
      </c>
      <c r="G503" s="65">
        <v>109.85</v>
      </c>
      <c r="H503" s="54">
        <v>4.3999999999999995</v>
      </c>
      <c r="I503" s="35"/>
    </row>
    <row r="504" spans="1:9" x14ac:dyDescent="0.2">
      <c r="A504" s="43" t="s">
        <v>72</v>
      </c>
      <c r="B504" s="66">
        <v>41.559999999999981</v>
      </c>
      <c r="C504" s="66">
        <v>12.44</v>
      </c>
      <c r="D504" s="66">
        <v>12.62</v>
      </c>
      <c r="E504" s="66">
        <v>27.25</v>
      </c>
      <c r="F504" s="66">
        <v>6.83</v>
      </c>
      <c r="G504" s="65">
        <v>100.69999999999997</v>
      </c>
      <c r="H504" s="54">
        <v>4.3999999999999995</v>
      </c>
      <c r="I504" s="35"/>
    </row>
    <row r="505" spans="1:9" x14ac:dyDescent="0.2">
      <c r="A505" s="43" t="s">
        <v>73</v>
      </c>
      <c r="B505" s="66">
        <v>37.829999999999984</v>
      </c>
      <c r="C505" s="66">
        <v>11.19</v>
      </c>
      <c r="D505" s="66">
        <v>12.62</v>
      </c>
      <c r="E505" s="66">
        <v>27.25</v>
      </c>
      <c r="F505" s="66">
        <v>6.83</v>
      </c>
      <c r="G505" s="65">
        <v>95.719999999999985</v>
      </c>
      <c r="H505" s="54">
        <v>4.3999999999999995</v>
      </c>
      <c r="I505" s="35"/>
    </row>
    <row r="506" spans="1:9" x14ac:dyDescent="0.2">
      <c r="A506" s="43" t="s">
        <v>74</v>
      </c>
      <c r="B506" s="66">
        <v>52.619999999999983</v>
      </c>
      <c r="C506" s="66">
        <v>16.14</v>
      </c>
      <c r="D506" s="66">
        <v>12.62</v>
      </c>
      <c r="E506" s="66">
        <v>27.25</v>
      </c>
      <c r="F506" s="66">
        <v>6.83</v>
      </c>
      <c r="G506" s="65">
        <v>115.46</v>
      </c>
      <c r="H506" s="54">
        <v>4.3999999999999995</v>
      </c>
      <c r="I506" s="35"/>
    </row>
    <row r="507" spans="1:9" x14ac:dyDescent="0.2">
      <c r="A507" s="43" t="s">
        <v>75</v>
      </c>
      <c r="B507" s="66">
        <v>44.709999999999987</v>
      </c>
      <c r="C507" s="66">
        <v>13.5</v>
      </c>
      <c r="D507" s="66">
        <v>12.62</v>
      </c>
      <c r="E507" s="66">
        <v>27.25</v>
      </c>
      <c r="F507" s="66">
        <v>6.83</v>
      </c>
      <c r="G507" s="65">
        <v>104.90999999999998</v>
      </c>
      <c r="H507" s="54">
        <v>4.3999999999999995</v>
      </c>
      <c r="I507" s="35"/>
    </row>
    <row r="508" spans="1:9" x14ac:dyDescent="0.2">
      <c r="A508" s="43" t="s">
        <v>76</v>
      </c>
      <c r="B508" s="66">
        <v>40.209999999999987</v>
      </c>
      <c r="C508" s="66">
        <v>11.99</v>
      </c>
      <c r="D508" s="66">
        <v>12.62</v>
      </c>
      <c r="E508" s="66">
        <v>27.25</v>
      </c>
      <c r="F508" s="66">
        <v>6.83</v>
      </c>
      <c r="G508" s="65">
        <v>98.899999999999991</v>
      </c>
      <c r="H508" s="54">
        <v>4.3999999999999995</v>
      </c>
      <c r="I508" s="35"/>
    </row>
    <row r="509" spans="1:9" x14ac:dyDescent="0.2">
      <c r="A509" s="43" t="s">
        <v>77</v>
      </c>
      <c r="B509" s="66">
        <v>33.469999999999985</v>
      </c>
      <c r="C509" s="66">
        <v>9.74</v>
      </c>
      <c r="D509" s="66">
        <v>12.62</v>
      </c>
      <c r="E509" s="66">
        <v>27.25</v>
      </c>
      <c r="F509" s="66">
        <v>6.83</v>
      </c>
      <c r="G509" s="65">
        <v>89.909999999999982</v>
      </c>
      <c r="H509" s="54">
        <v>4.3999999999999995</v>
      </c>
      <c r="I509" s="35"/>
    </row>
    <row r="510" spans="1:9" x14ac:dyDescent="0.2">
      <c r="A510" s="43" t="s">
        <v>78</v>
      </c>
      <c r="B510" s="66">
        <v>59.019999999999982</v>
      </c>
      <c r="C510" s="66">
        <v>18.29</v>
      </c>
      <c r="D510" s="66">
        <v>12.62</v>
      </c>
      <c r="E510" s="66">
        <v>27.25</v>
      </c>
      <c r="F510" s="66">
        <v>6.83</v>
      </c>
      <c r="G510" s="65">
        <v>124.00999999999998</v>
      </c>
      <c r="H510" s="54">
        <v>4.3999999999999995</v>
      </c>
      <c r="I510" s="35"/>
    </row>
    <row r="511" spans="1:9" x14ac:dyDescent="0.2">
      <c r="A511" s="43" t="s">
        <v>79</v>
      </c>
      <c r="B511" s="66">
        <v>54.119999999999983</v>
      </c>
      <c r="C511" s="66">
        <v>16.64</v>
      </c>
      <c r="D511" s="66">
        <v>12.62</v>
      </c>
      <c r="E511" s="66">
        <v>27.25</v>
      </c>
      <c r="F511" s="66">
        <v>6.83</v>
      </c>
      <c r="G511" s="65">
        <v>117.46</v>
      </c>
      <c r="H511" s="54">
        <v>4.3999999999999995</v>
      </c>
      <c r="I511" s="35"/>
    </row>
    <row r="512" spans="1:9" x14ac:dyDescent="0.2">
      <c r="A512" s="43" t="s">
        <v>80</v>
      </c>
      <c r="B512" s="66">
        <v>55.309999999999981</v>
      </c>
      <c r="C512" s="66">
        <v>17.04</v>
      </c>
      <c r="D512" s="66">
        <v>12.62</v>
      </c>
      <c r="E512" s="66">
        <v>27.25</v>
      </c>
      <c r="F512" s="66">
        <v>6.83</v>
      </c>
      <c r="G512" s="65">
        <v>119.04999999999998</v>
      </c>
      <c r="H512" s="54">
        <v>4.3999999999999995</v>
      </c>
      <c r="I512" s="35"/>
    </row>
    <row r="513" spans="1:9" x14ac:dyDescent="0.2">
      <c r="A513" s="43" t="s">
        <v>53</v>
      </c>
      <c r="B513" s="66">
        <v>50.249999999999986</v>
      </c>
      <c r="C513" s="66">
        <v>15.35</v>
      </c>
      <c r="D513" s="66">
        <v>12.62</v>
      </c>
      <c r="E513" s="66">
        <v>27.25</v>
      </c>
      <c r="F513" s="66">
        <v>6.83</v>
      </c>
      <c r="G513" s="65">
        <v>112.29999999999998</v>
      </c>
      <c r="H513" s="54">
        <v>4.3999999999999995</v>
      </c>
      <c r="I513" s="35"/>
    </row>
    <row r="514" spans="1:9" x14ac:dyDescent="0.2">
      <c r="A514" s="43" t="s">
        <v>81</v>
      </c>
      <c r="B514" s="66">
        <v>48.099999999999987</v>
      </c>
      <c r="C514" s="66">
        <v>14.63</v>
      </c>
      <c r="D514" s="66">
        <v>12.62</v>
      </c>
      <c r="E514" s="66">
        <v>27.25</v>
      </c>
      <c r="F514" s="66">
        <v>6.83</v>
      </c>
      <c r="G514" s="65">
        <v>109.42999999999999</v>
      </c>
      <c r="H514" s="54">
        <v>4.3999999999999995</v>
      </c>
      <c r="I514" s="35"/>
    </row>
    <row r="515" spans="1:9" x14ac:dyDescent="0.2">
      <c r="A515" s="43" t="s">
        <v>82</v>
      </c>
      <c r="B515" s="66">
        <v>44.869999999999983</v>
      </c>
      <c r="C515" s="66">
        <v>13.55</v>
      </c>
      <c r="D515" s="66">
        <v>12.62</v>
      </c>
      <c r="E515" s="66">
        <v>27.25</v>
      </c>
      <c r="F515" s="66">
        <v>6.83</v>
      </c>
      <c r="G515" s="65">
        <v>105.11999999999999</v>
      </c>
      <c r="H515" s="54">
        <v>4.3999999999999995</v>
      </c>
      <c r="I515" s="35"/>
    </row>
    <row r="516" spans="1:9" x14ac:dyDescent="0.2">
      <c r="A516" s="43" t="s">
        <v>83</v>
      </c>
      <c r="B516" s="66">
        <v>42.879999999999981</v>
      </c>
      <c r="C516" s="66">
        <v>12.88</v>
      </c>
      <c r="D516" s="66">
        <v>12.62</v>
      </c>
      <c r="E516" s="66">
        <v>27.25</v>
      </c>
      <c r="F516" s="66">
        <v>6.83</v>
      </c>
      <c r="G516" s="65">
        <v>102.45999999999998</v>
      </c>
      <c r="H516" s="54">
        <v>4.3999999999999995</v>
      </c>
      <c r="I516" s="35"/>
    </row>
    <row r="517" spans="1:9" x14ac:dyDescent="0.2">
      <c r="A517" s="43" t="s">
        <v>84</v>
      </c>
      <c r="B517" s="66">
        <v>39.319999999999986</v>
      </c>
      <c r="C517" s="66">
        <v>11.69</v>
      </c>
      <c r="D517" s="66">
        <v>12.62</v>
      </c>
      <c r="E517" s="66">
        <v>27.25</v>
      </c>
      <c r="F517" s="66">
        <v>6.83</v>
      </c>
      <c r="G517" s="65">
        <v>97.70999999999998</v>
      </c>
      <c r="H517" s="54">
        <v>4.3999999999999995</v>
      </c>
      <c r="I517" s="35"/>
    </row>
    <row r="518" spans="1:9" x14ac:dyDescent="0.2">
      <c r="A518" s="43" t="s">
        <v>85</v>
      </c>
      <c r="B518" s="66">
        <v>34.969999999999985</v>
      </c>
      <c r="C518" s="66">
        <v>10.23</v>
      </c>
      <c r="D518" s="66">
        <v>12.62</v>
      </c>
      <c r="E518" s="66">
        <v>27.25</v>
      </c>
      <c r="F518" s="66">
        <v>6.83</v>
      </c>
      <c r="G518" s="65">
        <v>91.899999999999991</v>
      </c>
      <c r="H518" s="54">
        <v>4.3999999999999995</v>
      </c>
      <c r="I518" s="35"/>
    </row>
    <row r="519" spans="1:9" x14ac:dyDescent="0.2">
      <c r="A519" s="43" t="s">
        <v>86</v>
      </c>
      <c r="B519" s="66">
        <v>31.259999999999984</v>
      </c>
      <c r="C519" s="66">
        <v>9</v>
      </c>
      <c r="D519" s="66">
        <v>12.62</v>
      </c>
      <c r="E519" s="66">
        <v>27.25</v>
      </c>
      <c r="F519" s="66">
        <v>6.83</v>
      </c>
      <c r="G519" s="65">
        <v>86.95999999999998</v>
      </c>
      <c r="H519" s="54">
        <v>4.3999999999999995</v>
      </c>
      <c r="I519" s="35"/>
    </row>
    <row r="520" spans="1:9" x14ac:dyDescent="0.2">
      <c r="A520" s="45" t="s">
        <v>87</v>
      </c>
      <c r="B520" s="66">
        <v>31.259999999999984</v>
      </c>
      <c r="C520" s="66">
        <v>9</v>
      </c>
      <c r="D520" s="66">
        <v>12.62</v>
      </c>
      <c r="E520" s="66">
        <v>27.25</v>
      </c>
      <c r="F520" s="66">
        <v>6.83</v>
      </c>
      <c r="G520" s="65">
        <v>86.95999999999998</v>
      </c>
      <c r="H520" s="54">
        <v>4.3999999999999995</v>
      </c>
      <c r="I520" s="35"/>
    </row>
    <row r="521" spans="1:9" x14ac:dyDescent="0.2">
      <c r="A521" s="45" t="s">
        <v>88</v>
      </c>
      <c r="B521" s="66">
        <v>31.259999999999984</v>
      </c>
      <c r="C521" s="66">
        <v>9</v>
      </c>
      <c r="D521" s="66">
        <v>12.62</v>
      </c>
      <c r="E521" s="66">
        <v>27.25</v>
      </c>
      <c r="F521" s="66">
        <v>6.83</v>
      </c>
      <c r="G521" s="65">
        <v>86.95999999999998</v>
      </c>
      <c r="H521" s="54">
        <v>4.3999999999999995</v>
      </c>
      <c r="I521" s="35"/>
    </row>
    <row r="522" spans="1:9" x14ac:dyDescent="0.2">
      <c r="A522" s="55"/>
      <c r="B522" s="56"/>
      <c r="C522" s="33"/>
      <c r="D522" s="33"/>
      <c r="E522" s="33"/>
      <c r="F522" s="33"/>
      <c r="G522" s="57"/>
      <c r="H522" s="54"/>
      <c r="I522" s="33"/>
    </row>
    <row r="523" spans="1:9" x14ac:dyDescent="0.2">
      <c r="A523" s="58" t="s">
        <v>119</v>
      </c>
      <c r="B523" s="64">
        <v>96.81</v>
      </c>
      <c r="C523" s="64">
        <v>31.81</v>
      </c>
      <c r="D523" s="49"/>
      <c r="E523" s="49"/>
      <c r="F523" s="49"/>
      <c r="G523" s="50">
        <v>128.62</v>
      </c>
      <c r="H523" s="54">
        <v>0</v>
      </c>
      <c r="I523" s="33"/>
    </row>
    <row r="524" spans="1:9" x14ac:dyDescent="0.2">
      <c r="A524" s="51" t="s">
        <v>120</v>
      </c>
      <c r="B524" s="64">
        <v>38.72</v>
      </c>
      <c r="C524" s="64">
        <v>12.73</v>
      </c>
      <c r="D524" s="49"/>
      <c r="E524" s="49"/>
      <c r="F524" s="49"/>
      <c r="G524" s="50">
        <v>51.45</v>
      </c>
      <c r="H524" s="54">
        <v>0</v>
      </c>
      <c r="I524" s="33"/>
    </row>
    <row r="525" spans="1:9" x14ac:dyDescent="0.2">
      <c r="A525" s="59" t="s">
        <v>121</v>
      </c>
      <c r="B525" s="64">
        <v>58.09</v>
      </c>
      <c r="C525" s="64">
        <v>19.079999999999998</v>
      </c>
      <c r="D525" s="49"/>
      <c r="E525" s="49"/>
      <c r="F525" s="49"/>
      <c r="G525" s="50">
        <v>77.17</v>
      </c>
      <c r="H525" s="54">
        <v>0</v>
      </c>
      <c r="I525" s="33"/>
    </row>
    <row r="527" spans="1:9" ht="15.75" x14ac:dyDescent="0.25">
      <c r="A527" s="41" t="s">
        <v>144</v>
      </c>
      <c r="B527" s="42"/>
      <c r="C527" s="42"/>
      <c r="D527" s="42"/>
      <c r="E527" s="42"/>
      <c r="F527" s="42"/>
      <c r="G527" s="42"/>
      <c r="H527" s="52"/>
      <c r="I527" s="33"/>
    </row>
    <row r="528" spans="1:9" ht="76.5" x14ac:dyDescent="0.2">
      <c r="A528" s="37" t="s">
        <v>92</v>
      </c>
      <c r="B528" s="61" t="s">
        <v>114</v>
      </c>
      <c r="C528" s="61" t="s">
        <v>115</v>
      </c>
      <c r="D528" s="62" t="s">
        <v>116</v>
      </c>
      <c r="E528" s="61" t="s">
        <v>117</v>
      </c>
      <c r="F528" s="61" t="s">
        <v>118</v>
      </c>
      <c r="G528" s="62" t="s">
        <v>15</v>
      </c>
      <c r="H528" s="53" t="s">
        <v>145</v>
      </c>
      <c r="I528" s="33"/>
    </row>
    <row r="529" spans="1:9" x14ac:dyDescent="0.2">
      <c r="A529" s="43" t="s">
        <v>54</v>
      </c>
      <c r="B529" s="66">
        <v>114.67000000000007</v>
      </c>
      <c r="C529" s="66">
        <v>36.79</v>
      </c>
      <c r="D529" s="66">
        <v>12.62</v>
      </c>
      <c r="E529" s="66">
        <v>27.25</v>
      </c>
      <c r="F529" s="66">
        <v>6.83</v>
      </c>
      <c r="G529" s="65">
        <v>198.16000000000008</v>
      </c>
      <c r="H529" s="54">
        <v>4.8</v>
      </c>
      <c r="I529" s="35"/>
    </row>
    <row r="530" spans="1:9" x14ac:dyDescent="0.2">
      <c r="A530" s="43" t="s">
        <v>55</v>
      </c>
      <c r="B530" s="66">
        <v>97.770000000000067</v>
      </c>
      <c r="C530" s="66">
        <v>31.12</v>
      </c>
      <c r="D530" s="66">
        <v>12.62</v>
      </c>
      <c r="E530" s="66">
        <v>27.25</v>
      </c>
      <c r="F530" s="66">
        <v>6.83</v>
      </c>
      <c r="G530" s="65">
        <v>175.59000000000009</v>
      </c>
      <c r="H530" s="54">
        <v>4.8</v>
      </c>
      <c r="I530" s="35"/>
    </row>
    <row r="531" spans="1:9" x14ac:dyDescent="0.2">
      <c r="A531" s="43" t="s">
        <v>56</v>
      </c>
      <c r="B531" s="66">
        <v>89.980000000000075</v>
      </c>
      <c r="C531" s="66">
        <v>28.52</v>
      </c>
      <c r="D531" s="66">
        <v>12.62</v>
      </c>
      <c r="E531" s="66">
        <v>27.25</v>
      </c>
      <c r="F531" s="66">
        <v>6.83</v>
      </c>
      <c r="G531" s="65">
        <v>165.20000000000007</v>
      </c>
      <c r="H531" s="54">
        <v>4.8</v>
      </c>
      <c r="I531" s="35"/>
    </row>
    <row r="532" spans="1:9" x14ac:dyDescent="0.2">
      <c r="A532" s="43" t="s">
        <v>57</v>
      </c>
      <c r="B532" s="66">
        <v>75.500000000000071</v>
      </c>
      <c r="C532" s="66">
        <v>23.67</v>
      </c>
      <c r="D532" s="66">
        <v>12.62</v>
      </c>
      <c r="E532" s="66">
        <v>27.25</v>
      </c>
      <c r="F532" s="66">
        <v>6.83</v>
      </c>
      <c r="G532" s="65">
        <v>145.87000000000009</v>
      </c>
      <c r="H532" s="54">
        <v>4.8</v>
      </c>
      <c r="I532" s="35"/>
    </row>
    <row r="533" spans="1:9" x14ac:dyDescent="0.2">
      <c r="A533" s="43" t="s">
        <v>58</v>
      </c>
      <c r="B533" s="66">
        <v>142.82000000000008</v>
      </c>
      <c r="C533" s="66">
        <v>46.21</v>
      </c>
      <c r="D533" s="66">
        <v>12.62</v>
      </c>
      <c r="E533" s="66">
        <v>27.25</v>
      </c>
      <c r="F533" s="66">
        <v>6.83</v>
      </c>
      <c r="G533" s="65">
        <v>235.7300000000001</v>
      </c>
      <c r="H533" s="54">
        <v>4.8</v>
      </c>
      <c r="I533" s="35"/>
    </row>
    <row r="534" spans="1:9" x14ac:dyDescent="0.2">
      <c r="A534" s="43" t="s">
        <v>59</v>
      </c>
      <c r="B534" s="66">
        <v>116.70000000000007</v>
      </c>
      <c r="C534" s="66">
        <v>37.47</v>
      </c>
      <c r="D534" s="66">
        <v>12.62</v>
      </c>
      <c r="E534" s="66">
        <v>27.25</v>
      </c>
      <c r="F534" s="66">
        <v>6.83</v>
      </c>
      <c r="G534" s="65">
        <v>200.87000000000009</v>
      </c>
      <c r="H534" s="54">
        <v>4.8</v>
      </c>
      <c r="I534" s="35"/>
    </row>
    <row r="535" spans="1:9" x14ac:dyDescent="0.2">
      <c r="A535" s="43" t="s">
        <v>60</v>
      </c>
      <c r="B535" s="66">
        <v>97.36000000000007</v>
      </c>
      <c r="C535" s="66">
        <v>30.99</v>
      </c>
      <c r="D535" s="66">
        <v>12.62</v>
      </c>
      <c r="E535" s="66">
        <v>27.25</v>
      </c>
      <c r="F535" s="66">
        <v>6.83</v>
      </c>
      <c r="G535" s="65">
        <v>175.0500000000001</v>
      </c>
      <c r="H535" s="54">
        <v>4.8</v>
      </c>
      <c r="I535" s="35"/>
    </row>
    <row r="536" spans="1:9" x14ac:dyDescent="0.2">
      <c r="A536" s="43" t="s">
        <v>61</v>
      </c>
      <c r="B536" s="66">
        <v>94.380000000000067</v>
      </c>
      <c r="C536" s="66">
        <v>29.99</v>
      </c>
      <c r="D536" s="66">
        <v>12.62</v>
      </c>
      <c r="E536" s="66">
        <v>27.25</v>
      </c>
      <c r="F536" s="66">
        <v>6.83</v>
      </c>
      <c r="G536" s="65">
        <v>171.07000000000008</v>
      </c>
      <c r="H536" s="54">
        <v>4.8</v>
      </c>
      <c r="I536" s="35"/>
    </row>
    <row r="537" spans="1:9" x14ac:dyDescent="0.2">
      <c r="A537" s="43" t="s">
        <v>62</v>
      </c>
      <c r="B537" s="66">
        <v>87.580000000000069</v>
      </c>
      <c r="C537" s="66">
        <v>27.71</v>
      </c>
      <c r="D537" s="66">
        <v>12.62</v>
      </c>
      <c r="E537" s="66">
        <v>27.25</v>
      </c>
      <c r="F537" s="66">
        <v>6.83</v>
      </c>
      <c r="G537" s="65">
        <v>161.99000000000009</v>
      </c>
      <c r="H537" s="54">
        <v>4.8</v>
      </c>
      <c r="I537" s="35"/>
    </row>
    <row r="538" spans="1:9" x14ac:dyDescent="0.2">
      <c r="A538" s="43" t="s">
        <v>63</v>
      </c>
      <c r="B538" s="66">
        <v>87.310000000000073</v>
      </c>
      <c r="C538" s="66">
        <v>27.62</v>
      </c>
      <c r="D538" s="66">
        <v>12.62</v>
      </c>
      <c r="E538" s="66">
        <v>27.25</v>
      </c>
      <c r="F538" s="66">
        <v>6.83</v>
      </c>
      <c r="G538" s="65">
        <v>161.63000000000008</v>
      </c>
      <c r="H538" s="54">
        <v>4.8</v>
      </c>
      <c r="I538" s="35"/>
    </row>
    <row r="539" spans="1:9" x14ac:dyDescent="0.2">
      <c r="A539" s="43" t="s">
        <v>64</v>
      </c>
      <c r="B539" s="66">
        <v>71.560000000000073</v>
      </c>
      <c r="C539" s="66">
        <v>22.36</v>
      </c>
      <c r="D539" s="66">
        <v>12.62</v>
      </c>
      <c r="E539" s="66">
        <v>27.25</v>
      </c>
      <c r="F539" s="66">
        <v>6.83</v>
      </c>
      <c r="G539" s="65">
        <v>140.62000000000009</v>
      </c>
      <c r="H539" s="54">
        <v>4.8</v>
      </c>
      <c r="I539" s="35"/>
    </row>
    <row r="540" spans="1:9" x14ac:dyDescent="0.2">
      <c r="A540" s="43" t="s">
        <v>65</v>
      </c>
      <c r="B540" s="66">
        <v>66.200000000000017</v>
      </c>
      <c r="C540" s="66">
        <v>20.55</v>
      </c>
      <c r="D540" s="66">
        <v>12.62</v>
      </c>
      <c r="E540" s="66">
        <v>27.25</v>
      </c>
      <c r="F540" s="66">
        <v>6.83</v>
      </c>
      <c r="G540" s="65">
        <v>133.45000000000002</v>
      </c>
      <c r="H540" s="54">
        <v>4.8</v>
      </c>
      <c r="I540" s="35"/>
    </row>
    <row r="541" spans="1:9" x14ac:dyDescent="0.2">
      <c r="A541" s="43" t="s">
        <v>66</v>
      </c>
      <c r="B541" s="66">
        <v>63.149999999999984</v>
      </c>
      <c r="C541" s="66">
        <v>19.54</v>
      </c>
      <c r="D541" s="66">
        <v>12.62</v>
      </c>
      <c r="E541" s="66">
        <v>27.25</v>
      </c>
      <c r="F541" s="66">
        <v>6.83</v>
      </c>
      <c r="G541" s="65">
        <v>129.38999999999999</v>
      </c>
      <c r="H541" s="54">
        <v>4.8</v>
      </c>
      <c r="I541" s="35"/>
    </row>
    <row r="542" spans="1:9" x14ac:dyDescent="0.2">
      <c r="A542" s="43" t="s">
        <v>67</v>
      </c>
      <c r="B542" s="66">
        <v>58.929999999999986</v>
      </c>
      <c r="C542" s="66">
        <v>18.13</v>
      </c>
      <c r="D542" s="66">
        <v>12.62</v>
      </c>
      <c r="E542" s="66">
        <v>27.25</v>
      </c>
      <c r="F542" s="66">
        <v>6.83</v>
      </c>
      <c r="G542" s="65">
        <v>123.75999999999999</v>
      </c>
      <c r="H542" s="54">
        <v>4.8</v>
      </c>
      <c r="I542" s="35"/>
    </row>
    <row r="543" spans="1:9" x14ac:dyDescent="0.2">
      <c r="A543" s="43" t="s">
        <v>68</v>
      </c>
      <c r="B543" s="66">
        <v>54.41999999999998</v>
      </c>
      <c r="C543" s="66">
        <v>16.62</v>
      </c>
      <c r="D543" s="66">
        <v>12.62</v>
      </c>
      <c r="E543" s="66">
        <v>27.25</v>
      </c>
      <c r="F543" s="66">
        <v>6.83</v>
      </c>
      <c r="G543" s="65">
        <v>117.73999999999998</v>
      </c>
      <c r="H543" s="54">
        <v>4.8</v>
      </c>
      <c r="I543" s="35"/>
    </row>
    <row r="544" spans="1:9" x14ac:dyDescent="0.2">
      <c r="A544" s="43" t="s">
        <v>69</v>
      </c>
      <c r="B544" s="66">
        <v>49.34999999999998</v>
      </c>
      <c r="C544" s="66">
        <v>14.91</v>
      </c>
      <c r="D544" s="66">
        <v>12.62</v>
      </c>
      <c r="E544" s="66">
        <v>27.25</v>
      </c>
      <c r="F544" s="66">
        <v>6.83</v>
      </c>
      <c r="G544" s="65">
        <v>110.95999999999998</v>
      </c>
      <c r="H544" s="54">
        <v>4.8</v>
      </c>
      <c r="I544" s="35"/>
    </row>
    <row r="545" spans="1:9" x14ac:dyDescent="0.2">
      <c r="A545" s="43" t="s">
        <v>70</v>
      </c>
      <c r="B545" s="66">
        <v>54.559999999999981</v>
      </c>
      <c r="C545" s="66">
        <v>16.649999999999999</v>
      </c>
      <c r="D545" s="66">
        <v>12.62</v>
      </c>
      <c r="E545" s="66">
        <v>27.25</v>
      </c>
      <c r="F545" s="66">
        <v>6.83</v>
      </c>
      <c r="G545" s="65">
        <v>117.90999999999998</v>
      </c>
      <c r="H545" s="54">
        <v>4.8</v>
      </c>
      <c r="I545" s="35"/>
    </row>
    <row r="546" spans="1:9" x14ac:dyDescent="0.2">
      <c r="A546" s="43" t="s">
        <v>71</v>
      </c>
      <c r="B546" s="66">
        <v>48.819999999999986</v>
      </c>
      <c r="C546" s="66">
        <v>14.73</v>
      </c>
      <c r="D546" s="66">
        <v>12.62</v>
      </c>
      <c r="E546" s="66">
        <v>27.25</v>
      </c>
      <c r="F546" s="66">
        <v>6.83</v>
      </c>
      <c r="G546" s="65">
        <v>110.24999999999999</v>
      </c>
      <c r="H546" s="54">
        <v>4.8</v>
      </c>
      <c r="I546" s="35"/>
    </row>
    <row r="547" spans="1:9" x14ac:dyDescent="0.2">
      <c r="A547" s="43" t="s">
        <v>72</v>
      </c>
      <c r="B547" s="66">
        <v>41.95999999999998</v>
      </c>
      <c r="C547" s="66">
        <v>12.44</v>
      </c>
      <c r="D547" s="66">
        <v>12.62</v>
      </c>
      <c r="E547" s="66">
        <v>27.25</v>
      </c>
      <c r="F547" s="66">
        <v>6.83</v>
      </c>
      <c r="G547" s="65">
        <v>101.09999999999998</v>
      </c>
      <c r="H547" s="54">
        <v>4.8</v>
      </c>
      <c r="I547" s="35"/>
    </row>
    <row r="548" spans="1:9" x14ac:dyDescent="0.2">
      <c r="A548" s="43" t="s">
        <v>73</v>
      </c>
      <c r="B548" s="66">
        <v>38.229999999999983</v>
      </c>
      <c r="C548" s="66">
        <v>11.19</v>
      </c>
      <c r="D548" s="66">
        <v>12.62</v>
      </c>
      <c r="E548" s="66">
        <v>27.25</v>
      </c>
      <c r="F548" s="66">
        <v>6.83</v>
      </c>
      <c r="G548" s="65">
        <v>96.119999999999976</v>
      </c>
      <c r="H548" s="54">
        <v>4.8</v>
      </c>
      <c r="I548" s="35"/>
    </row>
    <row r="549" spans="1:9" x14ac:dyDescent="0.2">
      <c r="A549" s="43" t="s">
        <v>74</v>
      </c>
      <c r="B549" s="66">
        <v>53.019999999999982</v>
      </c>
      <c r="C549" s="66">
        <v>16.14</v>
      </c>
      <c r="D549" s="66">
        <v>12.62</v>
      </c>
      <c r="E549" s="66">
        <v>27.25</v>
      </c>
      <c r="F549" s="66">
        <v>6.83</v>
      </c>
      <c r="G549" s="65">
        <v>115.85999999999999</v>
      </c>
      <c r="H549" s="54">
        <v>4.8</v>
      </c>
      <c r="I549" s="35"/>
    </row>
    <row r="550" spans="1:9" x14ac:dyDescent="0.2">
      <c r="A550" s="43" t="s">
        <v>75</v>
      </c>
      <c r="B550" s="66">
        <v>45.109999999999985</v>
      </c>
      <c r="C550" s="66">
        <v>13.5</v>
      </c>
      <c r="D550" s="66">
        <v>12.62</v>
      </c>
      <c r="E550" s="66">
        <v>27.25</v>
      </c>
      <c r="F550" s="66">
        <v>6.83</v>
      </c>
      <c r="G550" s="65">
        <v>105.30999999999999</v>
      </c>
      <c r="H550" s="54">
        <v>4.8</v>
      </c>
      <c r="I550" s="35"/>
    </row>
    <row r="551" spans="1:9" x14ac:dyDescent="0.2">
      <c r="A551" s="43" t="s">
        <v>76</v>
      </c>
      <c r="B551" s="66">
        <v>40.609999999999985</v>
      </c>
      <c r="C551" s="66">
        <v>11.99</v>
      </c>
      <c r="D551" s="66">
        <v>12.62</v>
      </c>
      <c r="E551" s="66">
        <v>27.25</v>
      </c>
      <c r="F551" s="66">
        <v>6.83</v>
      </c>
      <c r="G551" s="65">
        <v>99.299999999999983</v>
      </c>
      <c r="H551" s="54">
        <v>4.8</v>
      </c>
      <c r="I551" s="35"/>
    </row>
    <row r="552" spans="1:9" x14ac:dyDescent="0.2">
      <c r="A552" s="43" t="s">
        <v>77</v>
      </c>
      <c r="B552" s="66">
        <v>33.869999999999983</v>
      </c>
      <c r="C552" s="66">
        <v>9.74</v>
      </c>
      <c r="D552" s="66">
        <v>12.62</v>
      </c>
      <c r="E552" s="66">
        <v>27.25</v>
      </c>
      <c r="F552" s="66">
        <v>6.83</v>
      </c>
      <c r="G552" s="65">
        <v>90.309999999999988</v>
      </c>
      <c r="H552" s="54">
        <v>4.8</v>
      </c>
      <c r="I552" s="35"/>
    </row>
    <row r="553" spans="1:9" x14ac:dyDescent="0.2">
      <c r="A553" s="43" t="s">
        <v>78</v>
      </c>
      <c r="B553" s="66">
        <v>59.41999999999998</v>
      </c>
      <c r="C553" s="66">
        <v>18.29</v>
      </c>
      <c r="D553" s="66">
        <v>12.62</v>
      </c>
      <c r="E553" s="66">
        <v>27.25</v>
      </c>
      <c r="F553" s="66">
        <v>6.83</v>
      </c>
      <c r="G553" s="65">
        <v>124.40999999999998</v>
      </c>
      <c r="H553" s="54">
        <v>4.8</v>
      </c>
      <c r="I553" s="35"/>
    </row>
    <row r="554" spans="1:9" x14ac:dyDescent="0.2">
      <c r="A554" s="43" t="s">
        <v>79</v>
      </c>
      <c r="B554" s="66">
        <v>54.519999999999982</v>
      </c>
      <c r="C554" s="66">
        <v>16.64</v>
      </c>
      <c r="D554" s="66">
        <v>12.62</v>
      </c>
      <c r="E554" s="66">
        <v>27.25</v>
      </c>
      <c r="F554" s="66">
        <v>6.83</v>
      </c>
      <c r="G554" s="65">
        <v>117.85999999999999</v>
      </c>
      <c r="H554" s="54">
        <v>4.8</v>
      </c>
      <c r="I554" s="35"/>
    </row>
    <row r="555" spans="1:9" x14ac:dyDescent="0.2">
      <c r="A555" s="43" t="s">
        <v>80</v>
      </c>
      <c r="B555" s="66">
        <v>55.70999999999998</v>
      </c>
      <c r="C555" s="66">
        <v>17.04</v>
      </c>
      <c r="D555" s="66">
        <v>12.62</v>
      </c>
      <c r="E555" s="66">
        <v>27.25</v>
      </c>
      <c r="F555" s="66">
        <v>6.83</v>
      </c>
      <c r="G555" s="65">
        <v>119.44999999999997</v>
      </c>
      <c r="H555" s="54">
        <v>4.8</v>
      </c>
      <c r="I555" s="35"/>
    </row>
    <row r="556" spans="1:9" x14ac:dyDescent="0.2">
      <c r="A556" s="43" t="s">
        <v>53</v>
      </c>
      <c r="B556" s="66">
        <v>50.649999999999984</v>
      </c>
      <c r="C556" s="66">
        <v>15.35</v>
      </c>
      <c r="D556" s="66">
        <v>12.62</v>
      </c>
      <c r="E556" s="66">
        <v>27.25</v>
      </c>
      <c r="F556" s="66">
        <v>6.83</v>
      </c>
      <c r="G556" s="65">
        <v>112.69999999999999</v>
      </c>
      <c r="H556" s="54">
        <v>4.8</v>
      </c>
      <c r="I556" s="35"/>
    </row>
    <row r="557" spans="1:9" x14ac:dyDescent="0.2">
      <c r="A557" s="43" t="s">
        <v>81</v>
      </c>
      <c r="B557" s="66">
        <v>48.499999999999986</v>
      </c>
      <c r="C557" s="66">
        <v>14.63</v>
      </c>
      <c r="D557" s="66">
        <v>12.62</v>
      </c>
      <c r="E557" s="66">
        <v>27.25</v>
      </c>
      <c r="F557" s="66">
        <v>6.83</v>
      </c>
      <c r="G557" s="65">
        <v>109.82999999999998</v>
      </c>
      <c r="H557" s="54">
        <v>4.8</v>
      </c>
      <c r="I557" s="35"/>
    </row>
    <row r="558" spans="1:9" x14ac:dyDescent="0.2">
      <c r="A558" s="43" t="s">
        <v>82</v>
      </c>
      <c r="B558" s="66">
        <v>45.269999999999982</v>
      </c>
      <c r="C558" s="66">
        <v>13.55</v>
      </c>
      <c r="D558" s="66">
        <v>12.62</v>
      </c>
      <c r="E558" s="66">
        <v>27.25</v>
      </c>
      <c r="F558" s="66">
        <v>6.83</v>
      </c>
      <c r="G558" s="65">
        <v>105.51999999999998</v>
      </c>
      <c r="H558" s="54">
        <v>4.8</v>
      </c>
      <c r="I558" s="35"/>
    </row>
    <row r="559" spans="1:9" x14ac:dyDescent="0.2">
      <c r="A559" s="43" t="s">
        <v>83</v>
      </c>
      <c r="B559" s="66">
        <v>43.27999999999998</v>
      </c>
      <c r="C559" s="66">
        <v>12.88</v>
      </c>
      <c r="D559" s="66">
        <v>12.62</v>
      </c>
      <c r="E559" s="66">
        <v>27.25</v>
      </c>
      <c r="F559" s="66">
        <v>6.83</v>
      </c>
      <c r="G559" s="65">
        <v>102.85999999999999</v>
      </c>
      <c r="H559" s="54">
        <v>4.8</v>
      </c>
      <c r="I559" s="35"/>
    </row>
    <row r="560" spans="1:9" x14ac:dyDescent="0.2">
      <c r="A560" s="43" t="s">
        <v>84</v>
      </c>
      <c r="B560" s="66">
        <v>39.719999999999985</v>
      </c>
      <c r="C560" s="66">
        <v>11.69</v>
      </c>
      <c r="D560" s="66">
        <v>12.62</v>
      </c>
      <c r="E560" s="66">
        <v>27.25</v>
      </c>
      <c r="F560" s="66">
        <v>6.83</v>
      </c>
      <c r="G560" s="65">
        <v>98.109999999999985</v>
      </c>
      <c r="H560" s="54">
        <v>4.8</v>
      </c>
      <c r="I560" s="35"/>
    </row>
    <row r="561" spans="1:9" x14ac:dyDescent="0.2">
      <c r="A561" s="43" t="s">
        <v>85</v>
      </c>
      <c r="B561" s="66">
        <v>35.369999999999983</v>
      </c>
      <c r="C561" s="66">
        <v>10.23</v>
      </c>
      <c r="D561" s="66">
        <v>12.62</v>
      </c>
      <c r="E561" s="66">
        <v>27.25</v>
      </c>
      <c r="F561" s="66">
        <v>6.83</v>
      </c>
      <c r="G561" s="65">
        <v>92.299999999999969</v>
      </c>
      <c r="H561" s="54">
        <v>4.8</v>
      </c>
      <c r="I561" s="35"/>
    </row>
    <row r="562" spans="1:9" x14ac:dyDescent="0.2">
      <c r="A562" s="43" t="s">
        <v>86</v>
      </c>
      <c r="B562" s="66">
        <v>31.659999999999982</v>
      </c>
      <c r="C562" s="66">
        <v>9</v>
      </c>
      <c r="D562" s="66">
        <v>12.62</v>
      </c>
      <c r="E562" s="66">
        <v>27.25</v>
      </c>
      <c r="F562" s="66">
        <v>6.83</v>
      </c>
      <c r="G562" s="65">
        <v>87.359999999999971</v>
      </c>
      <c r="H562" s="54">
        <v>4.8</v>
      </c>
      <c r="I562" s="35"/>
    </row>
    <row r="563" spans="1:9" x14ac:dyDescent="0.2">
      <c r="A563" s="45" t="s">
        <v>87</v>
      </c>
      <c r="B563" s="66">
        <v>31.659999999999982</v>
      </c>
      <c r="C563" s="66">
        <v>9</v>
      </c>
      <c r="D563" s="66">
        <v>12.62</v>
      </c>
      <c r="E563" s="66">
        <v>27.25</v>
      </c>
      <c r="F563" s="66">
        <v>6.83</v>
      </c>
      <c r="G563" s="65">
        <v>87.359999999999971</v>
      </c>
      <c r="H563" s="54">
        <v>4.8</v>
      </c>
      <c r="I563" s="35"/>
    </row>
    <row r="564" spans="1:9" x14ac:dyDescent="0.2">
      <c r="A564" s="45" t="s">
        <v>88</v>
      </c>
      <c r="B564" s="66">
        <v>31.659999999999982</v>
      </c>
      <c r="C564" s="66">
        <v>9</v>
      </c>
      <c r="D564" s="66">
        <v>12.62</v>
      </c>
      <c r="E564" s="66">
        <v>27.25</v>
      </c>
      <c r="F564" s="66">
        <v>6.83</v>
      </c>
      <c r="G564" s="65">
        <v>87.359999999999971</v>
      </c>
      <c r="H564" s="54">
        <v>4.8</v>
      </c>
      <c r="I564" s="35"/>
    </row>
    <row r="565" spans="1:9" x14ac:dyDescent="0.2">
      <c r="A565" s="55"/>
      <c r="B565" s="56"/>
      <c r="C565" s="33"/>
      <c r="D565" s="33"/>
      <c r="E565" s="33"/>
      <c r="F565" s="33"/>
      <c r="G565" s="57"/>
      <c r="H565" s="54"/>
      <c r="I565" s="33"/>
    </row>
    <row r="566" spans="1:9" x14ac:dyDescent="0.2">
      <c r="A566" s="58" t="s">
        <v>119</v>
      </c>
      <c r="B566" s="64">
        <v>96.81</v>
      </c>
      <c r="C566" s="64">
        <v>31.81</v>
      </c>
      <c r="D566" s="49"/>
      <c r="E566" s="49"/>
      <c r="F566" s="49"/>
      <c r="G566" s="50">
        <v>128.62</v>
      </c>
      <c r="H566" s="54">
        <v>0</v>
      </c>
      <c r="I566" s="33"/>
    </row>
    <row r="567" spans="1:9" x14ac:dyDescent="0.2">
      <c r="A567" s="51" t="s">
        <v>120</v>
      </c>
      <c r="B567" s="64">
        <v>38.72</v>
      </c>
      <c r="C567" s="64">
        <v>12.73</v>
      </c>
      <c r="D567" s="49"/>
      <c r="E567" s="49"/>
      <c r="F567" s="49"/>
      <c r="G567" s="50">
        <v>51.45</v>
      </c>
      <c r="H567" s="54">
        <v>0</v>
      </c>
      <c r="I567" s="33"/>
    </row>
    <row r="568" spans="1:9" x14ac:dyDescent="0.2">
      <c r="A568" s="59" t="s">
        <v>121</v>
      </c>
      <c r="B568" s="64">
        <v>58.09</v>
      </c>
      <c r="C568" s="64">
        <v>19.079999999999998</v>
      </c>
      <c r="D568" s="49"/>
      <c r="E568" s="49"/>
      <c r="F568" s="49"/>
      <c r="G568" s="50">
        <v>77.17</v>
      </c>
      <c r="H568" s="54">
        <v>0</v>
      </c>
      <c r="I568" s="33"/>
    </row>
    <row r="570" spans="1:9" ht="15.75" x14ac:dyDescent="0.25">
      <c r="A570" s="41" t="s">
        <v>146</v>
      </c>
      <c r="B570" s="42"/>
      <c r="C570" s="42"/>
      <c r="D570" s="42"/>
      <c r="E570" s="42"/>
      <c r="F570" s="42"/>
      <c r="G570" s="42"/>
      <c r="H570" s="52"/>
      <c r="I570" s="33"/>
    </row>
    <row r="571" spans="1:9" ht="76.5" x14ac:dyDescent="0.2">
      <c r="A571" s="37" t="s">
        <v>92</v>
      </c>
      <c r="B571" s="61" t="s">
        <v>114</v>
      </c>
      <c r="C571" s="61" t="s">
        <v>115</v>
      </c>
      <c r="D571" s="62" t="s">
        <v>116</v>
      </c>
      <c r="E571" s="61" t="s">
        <v>117</v>
      </c>
      <c r="F571" s="61" t="s">
        <v>118</v>
      </c>
      <c r="G571" s="62" t="s">
        <v>15</v>
      </c>
      <c r="H571" s="53" t="s">
        <v>147</v>
      </c>
      <c r="I571" s="33"/>
    </row>
    <row r="572" spans="1:9" x14ac:dyDescent="0.2">
      <c r="A572" s="43" t="s">
        <v>54</v>
      </c>
      <c r="B572" s="66">
        <v>115.07000000000008</v>
      </c>
      <c r="C572" s="66">
        <v>36.79</v>
      </c>
      <c r="D572" s="66">
        <v>12.62</v>
      </c>
      <c r="E572" s="66">
        <v>27.25</v>
      </c>
      <c r="F572" s="66">
        <v>6.83</v>
      </c>
      <c r="G572" s="65">
        <v>198.56000000000009</v>
      </c>
      <c r="H572" s="54">
        <v>5.2</v>
      </c>
      <c r="I572" s="35"/>
    </row>
    <row r="573" spans="1:9" x14ac:dyDescent="0.2">
      <c r="A573" s="43" t="s">
        <v>55</v>
      </c>
      <c r="B573" s="66">
        <v>98.170000000000073</v>
      </c>
      <c r="C573" s="66">
        <v>31.12</v>
      </c>
      <c r="D573" s="66">
        <v>12.62</v>
      </c>
      <c r="E573" s="66">
        <v>27.25</v>
      </c>
      <c r="F573" s="66">
        <v>6.83</v>
      </c>
      <c r="G573" s="65">
        <v>175.99000000000009</v>
      </c>
      <c r="H573" s="54">
        <v>5.2</v>
      </c>
      <c r="I573" s="35"/>
    </row>
    <row r="574" spans="1:9" x14ac:dyDescent="0.2">
      <c r="A574" s="43" t="s">
        <v>56</v>
      </c>
      <c r="B574" s="66">
        <v>90.380000000000081</v>
      </c>
      <c r="C574" s="66">
        <v>28.52</v>
      </c>
      <c r="D574" s="66">
        <v>12.62</v>
      </c>
      <c r="E574" s="66">
        <v>27.25</v>
      </c>
      <c r="F574" s="66">
        <v>6.83</v>
      </c>
      <c r="G574" s="65">
        <v>165.60000000000008</v>
      </c>
      <c r="H574" s="54">
        <v>5.2</v>
      </c>
      <c r="I574" s="35"/>
    </row>
    <row r="575" spans="1:9" x14ac:dyDescent="0.2">
      <c r="A575" s="43" t="s">
        <v>57</v>
      </c>
      <c r="B575" s="66">
        <v>75.900000000000077</v>
      </c>
      <c r="C575" s="66">
        <v>23.67</v>
      </c>
      <c r="D575" s="66">
        <v>12.62</v>
      </c>
      <c r="E575" s="66">
        <v>27.25</v>
      </c>
      <c r="F575" s="66">
        <v>6.83</v>
      </c>
      <c r="G575" s="65">
        <v>146.2700000000001</v>
      </c>
      <c r="H575" s="54">
        <v>5.2</v>
      </c>
      <c r="I575" s="35"/>
    </row>
    <row r="576" spans="1:9" x14ac:dyDescent="0.2">
      <c r="A576" s="43" t="s">
        <v>58</v>
      </c>
      <c r="B576" s="66">
        <v>143.22000000000008</v>
      </c>
      <c r="C576" s="66">
        <v>46.21</v>
      </c>
      <c r="D576" s="66">
        <v>12.62</v>
      </c>
      <c r="E576" s="66">
        <v>27.25</v>
      </c>
      <c r="F576" s="66">
        <v>6.83</v>
      </c>
      <c r="G576" s="65">
        <v>236.13000000000011</v>
      </c>
      <c r="H576" s="54">
        <v>5.2</v>
      </c>
      <c r="I576" s="35"/>
    </row>
    <row r="577" spans="1:9" x14ac:dyDescent="0.2">
      <c r="A577" s="43" t="s">
        <v>59</v>
      </c>
      <c r="B577" s="66">
        <v>117.10000000000008</v>
      </c>
      <c r="C577" s="66">
        <v>37.47</v>
      </c>
      <c r="D577" s="66">
        <v>12.62</v>
      </c>
      <c r="E577" s="66">
        <v>27.25</v>
      </c>
      <c r="F577" s="66">
        <v>6.83</v>
      </c>
      <c r="G577" s="65">
        <v>201.2700000000001</v>
      </c>
      <c r="H577" s="54">
        <v>5.2</v>
      </c>
      <c r="I577" s="35"/>
    </row>
    <row r="578" spans="1:9" x14ac:dyDescent="0.2">
      <c r="A578" s="43" t="s">
        <v>60</v>
      </c>
      <c r="B578" s="66">
        <v>97.760000000000076</v>
      </c>
      <c r="C578" s="66">
        <v>30.99</v>
      </c>
      <c r="D578" s="66">
        <v>12.62</v>
      </c>
      <c r="E578" s="66">
        <v>27.25</v>
      </c>
      <c r="F578" s="66">
        <v>6.83</v>
      </c>
      <c r="G578" s="65">
        <v>175.4500000000001</v>
      </c>
      <c r="H578" s="54">
        <v>5.2</v>
      </c>
      <c r="I578" s="35"/>
    </row>
    <row r="579" spans="1:9" x14ac:dyDescent="0.2">
      <c r="A579" s="43" t="s">
        <v>61</v>
      </c>
      <c r="B579" s="66">
        <v>94.780000000000072</v>
      </c>
      <c r="C579" s="66">
        <v>29.99</v>
      </c>
      <c r="D579" s="66">
        <v>12.62</v>
      </c>
      <c r="E579" s="66">
        <v>27.25</v>
      </c>
      <c r="F579" s="66">
        <v>6.83</v>
      </c>
      <c r="G579" s="65">
        <v>171.47000000000008</v>
      </c>
      <c r="H579" s="54">
        <v>5.2</v>
      </c>
      <c r="I579" s="35"/>
    </row>
    <row r="580" spans="1:9" x14ac:dyDescent="0.2">
      <c r="A580" s="43" t="s">
        <v>62</v>
      </c>
      <c r="B580" s="66">
        <v>87.980000000000075</v>
      </c>
      <c r="C580" s="66">
        <v>27.71</v>
      </c>
      <c r="D580" s="66">
        <v>12.62</v>
      </c>
      <c r="E580" s="66">
        <v>27.25</v>
      </c>
      <c r="F580" s="66">
        <v>6.83</v>
      </c>
      <c r="G580" s="65">
        <v>162.3900000000001</v>
      </c>
      <c r="H580" s="54">
        <v>5.2</v>
      </c>
      <c r="I580" s="35"/>
    </row>
    <row r="581" spans="1:9" x14ac:dyDescent="0.2">
      <c r="A581" s="43" t="s">
        <v>63</v>
      </c>
      <c r="B581" s="66">
        <v>87.710000000000079</v>
      </c>
      <c r="C581" s="66">
        <v>27.62</v>
      </c>
      <c r="D581" s="66">
        <v>12.62</v>
      </c>
      <c r="E581" s="66">
        <v>27.25</v>
      </c>
      <c r="F581" s="66">
        <v>6.83</v>
      </c>
      <c r="G581" s="65">
        <v>162.03000000000011</v>
      </c>
      <c r="H581" s="54">
        <v>5.2</v>
      </c>
      <c r="I581" s="35"/>
    </row>
    <row r="582" spans="1:9" x14ac:dyDescent="0.2">
      <c r="A582" s="43" t="s">
        <v>64</v>
      </c>
      <c r="B582" s="66">
        <v>71.960000000000079</v>
      </c>
      <c r="C582" s="66">
        <v>22.36</v>
      </c>
      <c r="D582" s="66">
        <v>12.62</v>
      </c>
      <c r="E582" s="66">
        <v>27.25</v>
      </c>
      <c r="F582" s="66">
        <v>6.83</v>
      </c>
      <c r="G582" s="65">
        <v>141.0200000000001</v>
      </c>
      <c r="H582" s="54">
        <v>5.2</v>
      </c>
      <c r="I582" s="35"/>
    </row>
    <row r="583" spans="1:9" x14ac:dyDescent="0.2">
      <c r="A583" s="43" t="s">
        <v>65</v>
      </c>
      <c r="B583" s="66">
        <v>66.600000000000023</v>
      </c>
      <c r="C583" s="66">
        <v>20.55</v>
      </c>
      <c r="D583" s="66">
        <v>12.62</v>
      </c>
      <c r="E583" s="66">
        <v>27.25</v>
      </c>
      <c r="F583" s="66">
        <v>6.83</v>
      </c>
      <c r="G583" s="65">
        <v>133.85000000000002</v>
      </c>
      <c r="H583" s="54">
        <v>5.2</v>
      </c>
      <c r="I583" s="35"/>
    </row>
    <row r="584" spans="1:9" x14ac:dyDescent="0.2">
      <c r="A584" s="43" t="s">
        <v>66</v>
      </c>
      <c r="B584" s="66">
        <v>63.549999999999983</v>
      </c>
      <c r="C584" s="66">
        <v>19.54</v>
      </c>
      <c r="D584" s="66">
        <v>12.62</v>
      </c>
      <c r="E584" s="66">
        <v>27.25</v>
      </c>
      <c r="F584" s="66">
        <v>6.83</v>
      </c>
      <c r="G584" s="65">
        <v>129.79</v>
      </c>
      <c r="H584" s="54">
        <v>5.2</v>
      </c>
      <c r="I584" s="35"/>
    </row>
    <row r="585" spans="1:9" x14ac:dyDescent="0.2">
      <c r="A585" s="43" t="s">
        <v>67</v>
      </c>
      <c r="B585" s="66">
        <v>59.329999999999984</v>
      </c>
      <c r="C585" s="66">
        <v>18.13</v>
      </c>
      <c r="D585" s="66">
        <v>12.62</v>
      </c>
      <c r="E585" s="66">
        <v>27.25</v>
      </c>
      <c r="F585" s="66">
        <v>6.83</v>
      </c>
      <c r="G585" s="65">
        <v>124.15999999999998</v>
      </c>
      <c r="H585" s="54">
        <v>5.2</v>
      </c>
      <c r="I585" s="35"/>
    </row>
    <row r="586" spans="1:9" x14ac:dyDescent="0.2">
      <c r="A586" s="43" t="s">
        <v>68</v>
      </c>
      <c r="B586" s="66">
        <v>54.819999999999979</v>
      </c>
      <c r="C586" s="66">
        <v>16.62</v>
      </c>
      <c r="D586" s="66">
        <v>12.62</v>
      </c>
      <c r="E586" s="66">
        <v>27.25</v>
      </c>
      <c r="F586" s="66">
        <v>6.83</v>
      </c>
      <c r="G586" s="65">
        <v>118.13999999999999</v>
      </c>
      <c r="H586" s="54">
        <v>5.2</v>
      </c>
      <c r="I586" s="35"/>
    </row>
    <row r="587" spans="1:9" x14ac:dyDescent="0.2">
      <c r="A587" s="43" t="s">
        <v>69</v>
      </c>
      <c r="B587" s="66">
        <v>49.749999999999979</v>
      </c>
      <c r="C587" s="66">
        <v>14.91</v>
      </c>
      <c r="D587" s="66">
        <v>12.62</v>
      </c>
      <c r="E587" s="66">
        <v>27.25</v>
      </c>
      <c r="F587" s="66">
        <v>6.83</v>
      </c>
      <c r="G587" s="65">
        <v>111.35999999999999</v>
      </c>
      <c r="H587" s="54">
        <v>5.2</v>
      </c>
      <c r="I587" s="35"/>
    </row>
    <row r="588" spans="1:9" x14ac:dyDescent="0.2">
      <c r="A588" s="43" t="s">
        <v>70</v>
      </c>
      <c r="B588" s="66">
        <v>54.95999999999998</v>
      </c>
      <c r="C588" s="66">
        <v>16.649999999999999</v>
      </c>
      <c r="D588" s="66">
        <v>12.62</v>
      </c>
      <c r="E588" s="66">
        <v>27.25</v>
      </c>
      <c r="F588" s="66">
        <v>6.83</v>
      </c>
      <c r="G588" s="65">
        <v>118.30999999999999</v>
      </c>
      <c r="H588" s="54">
        <v>5.2</v>
      </c>
      <c r="I588" s="35"/>
    </row>
    <row r="589" spans="1:9" x14ac:dyDescent="0.2">
      <c r="A589" s="43" t="s">
        <v>71</v>
      </c>
      <c r="B589" s="66">
        <v>49.219999999999985</v>
      </c>
      <c r="C589" s="66">
        <v>14.73</v>
      </c>
      <c r="D589" s="66">
        <v>12.62</v>
      </c>
      <c r="E589" s="66">
        <v>27.25</v>
      </c>
      <c r="F589" s="66">
        <v>6.83</v>
      </c>
      <c r="G589" s="65">
        <v>110.64999999999999</v>
      </c>
      <c r="H589" s="54">
        <v>5.2</v>
      </c>
      <c r="I589" s="35"/>
    </row>
    <row r="590" spans="1:9" x14ac:dyDescent="0.2">
      <c r="A590" s="43" t="s">
        <v>72</v>
      </c>
      <c r="B590" s="66">
        <v>42.359999999999978</v>
      </c>
      <c r="C590" s="66">
        <v>12.44</v>
      </c>
      <c r="D590" s="66">
        <v>12.62</v>
      </c>
      <c r="E590" s="66">
        <v>27.25</v>
      </c>
      <c r="F590" s="66">
        <v>6.83</v>
      </c>
      <c r="G590" s="65">
        <v>101.49999999999997</v>
      </c>
      <c r="H590" s="54">
        <v>5.2</v>
      </c>
      <c r="I590" s="35"/>
    </row>
    <row r="591" spans="1:9" x14ac:dyDescent="0.2">
      <c r="A591" s="43" t="s">
        <v>73</v>
      </c>
      <c r="B591" s="66">
        <v>38.629999999999981</v>
      </c>
      <c r="C591" s="66">
        <v>11.19</v>
      </c>
      <c r="D591" s="66">
        <v>12.62</v>
      </c>
      <c r="E591" s="66">
        <v>27.25</v>
      </c>
      <c r="F591" s="66">
        <v>6.83</v>
      </c>
      <c r="G591" s="65">
        <v>96.519999999999968</v>
      </c>
      <c r="H591" s="54">
        <v>5.2</v>
      </c>
      <c r="I591" s="35"/>
    </row>
    <row r="592" spans="1:9" x14ac:dyDescent="0.2">
      <c r="A592" s="43" t="s">
        <v>74</v>
      </c>
      <c r="B592" s="66">
        <v>53.41999999999998</v>
      </c>
      <c r="C592" s="66">
        <v>16.14</v>
      </c>
      <c r="D592" s="66">
        <v>12.62</v>
      </c>
      <c r="E592" s="66">
        <v>27.25</v>
      </c>
      <c r="F592" s="66">
        <v>6.83</v>
      </c>
      <c r="G592" s="65">
        <v>116.25999999999998</v>
      </c>
      <c r="H592" s="54">
        <v>5.2</v>
      </c>
      <c r="I592" s="35"/>
    </row>
    <row r="593" spans="1:9" x14ac:dyDescent="0.2">
      <c r="A593" s="43" t="s">
        <v>75</v>
      </c>
      <c r="B593" s="66">
        <v>45.509999999999984</v>
      </c>
      <c r="C593" s="66">
        <v>13.5</v>
      </c>
      <c r="D593" s="66">
        <v>12.62</v>
      </c>
      <c r="E593" s="66">
        <v>27.25</v>
      </c>
      <c r="F593" s="66">
        <v>6.83</v>
      </c>
      <c r="G593" s="65">
        <v>105.70999999999998</v>
      </c>
      <c r="H593" s="54">
        <v>5.2</v>
      </c>
      <c r="I593" s="35"/>
    </row>
    <row r="594" spans="1:9" x14ac:dyDescent="0.2">
      <c r="A594" s="43" t="s">
        <v>76</v>
      </c>
      <c r="B594" s="66">
        <v>41.009999999999984</v>
      </c>
      <c r="C594" s="66">
        <v>11.99</v>
      </c>
      <c r="D594" s="66">
        <v>12.62</v>
      </c>
      <c r="E594" s="66">
        <v>27.25</v>
      </c>
      <c r="F594" s="66">
        <v>6.83</v>
      </c>
      <c r="G594" s="65">
        <v>99.699999999999989</v>
      </c>
      <c r="H594" s="54">
        <v>5.2</v>
      </c>
      <c r="I594" s="35"/>
    </row>
    <row r="595" spans="1:9" x14ac:dyDescent="0.2">
      <c r="A595" s="43" t="s">
        <v>77</v>
      </c>
      <c r="B595" s="66">
        <v>34.269999999999982</v>
      </c>
      <c r="C595" s="66">
        <v>9.74</v>
      </c>
      <c r="D595" s="66">
        <v>12.62</v>
      </c>
      <c r="E595" s="66">
        <v>27.25</v>
      </c>
      <c r="F595" s="66">
        <v>6.83</v>
      </c>
      <c r="G595" s="65">
        <v>90.70999999999998</v>
      </c>
      <c r="H595" s="54">
        <v>5.2</v>
      </c>
      <c r="I595" s="35"/>
    </row>
    <row r="596" spans="1:9" x14ac:dyDescent="0.2">
      <c r="A596" s="43" t="s">
        <v>78</v>
      </c>
      <c r="B596" s="66">
        <v>59.819999999999979</v>
      </c>
      <c r="C596" s="66">
        <v>18.29</v>
      </c>
      <c r="D596" s="66">
        <v>12.62</v>
      </c>
      <c r="E596" s="66">
        <v>27.25</v>
      </c>
      <c r="F596" s="66">
        <v>6.83</v>
      </c>
      <c r="G596" s="65">
        <v>124.80999999999999</v>
      </c>
      <c r="H596" s="54">
        <v>5.2</v>
      </c>
      <c r="I596" s="35"/>
    </row>
    <row r="597" spans="1:9" x14ac:dyDescent="0.2">
      <c r="A597" s="43" t="s">
        <v>79</v>
      </c>
      <c r="B597" s="66">
        <v>54.91999999999998</v>
      </c>
      <c r="C597" s="66">
        <v>16.64</v>
      </c>
      <c r="D597" s="66">
        <v>12.62</v>
      </c>
      <c r="E597" s="66">
        <v>27.25</v>
      </c>
      <c r="F597" s="66">
        <v>6.83</v>
      </c>
      <c r="G597" s="65">
        <v>118.25999999999998</v>
      </c>
      <c r="H597" s="54">
        <v>5.2</v>
      </c>
      <c r="I597" s="35"/>
    </row>
    <row r="598" spans="1:9" x14ac:dyDescent="0.2">
      <c r="A598" s="43" t="s">
        <v>80</v>
      </c>
      <c r="B598" s="66">
        <v>56.109999999999978</v>
      </c>
      <c r="C598" s="66">
        <v>17.04</v>
      </c>
      <c r="D598" s="66">
        <v>12.62</v>
      </c>
      <c r="E598" s="66">
        <v>27.25</v>
      </c>
      <c r="F598" s="66">
        <v>6.83</v>
      </c>
      <c r="G598" s="65">
        <v>119.84999999999998</v>
      </c>
      <c r="H598" s="54">
        <v>5.2</v>
      </c>
      <c r="I598" s="35"/>
    </row>
    <row r="599" spans="1:9" x14ac:dyDescent="0.2">
      <c r="A599" s="43" t="s">
        <v>53</v>
      </c>
      <c r="B599" s="66">
        <v>51.049999999999983</v>
      </c>
      <c r="C599" s="66">
        <v>15.35</v>
      </c>
      <c r="D599" s="66">
        <v>12.62</v>
      </c>
      <c r="E599" s="66">
        <v>27.25</v>
      </c>
      <c r="F599" s="66">
        <v>6.83</v>
      </c>
      <c r="G599" s="65">
        <v>113.09999999999998</v>
      </c>
      <c r="H599" s="54">
        <v>5.2</v>
      </c>
      <c r="I599" s="35"/>
    </row>
    <row r="600" spans="1:9" x14ac:dyDescent="0.2">
      <c r="A600" s="43" t="s">
        <v>81</v>
      </c>
      <c r="B600" s="66">
        <v>48.899999999999984</v>
      </c>
      <c r="C600" s="66">
        <v>14.63</v>
      </c>
      <c r="D600" s="66">
        <v>12.62</v>
      </c>
      <c r="E600" s="66">
        <v>27.25</v>
      </c>
      <c r="F600" s="66">
        <v>6.83</v>
      </c>
      <c r="G600" s="65">
        <v>110.22999999999999</v>
      </c>
      <c r="H600" s="54">
        <v>5.2</v>
      </c>
      <c r="I600" s="35"/>
    </row>
    <row r="601" spans="1:9" x14ac:dyDescent="0.2">
      <c r="A601" s="43" t="s">
        <v>82</v>
      </c>
      <c r="B601" s="66">
        <v>45.66999999999998</v>
      </c>
      <c r="C601" s="66">
        <v>13.55</v>
      </c>
      <c r="D601" s="66">
        <v>12.62</v>
      </c>
      <c r="E601" s="66">
        <v>27.25</v>
      </c>
      <c r="F601" s="66">
        <v>6.83</v>
      </c>
      <c r="G601" s="65">
        <v>105.91999999999999</v>
      </c>
      <c r="H601" s="54">
        <v>5.2</v>
      </c>
      <c r="I601" s="35"/>
    </row>
    <row r="602" spans="1:9" x14ac:dyDescent="0.2">
      <c r="A602" s="43" t="s">
        <v>83</v>
      </c>
      <c r="B602" s="66">
        <v>43.679999999999978</v>
      </c>
      <c r="C602" s="66">
        <v>12.88</v>
      </c>
      <c r="D602" s="66">
        <v>12.62</v>
      </c>
      <c r="E602" s="66">
        <v>27.25</v>
      </c>
      <c r="F602" s="66">
        <v>6.83</v>
      </c>
      <c r="G602" s="65">
        <v>103.25999999999998</v>
      </c>
      <c r="H602" s="54">
        <v>5.2</v>
      </c>
      <c r="I602" s="35"/>
    </row>
    <row r="603" spans="1:9" x14ac:dyDescent="0.2">
      <c r="A603" s="43" t="s">
        <v>84</v>
      </c>
      <c r="B603" s="66">
        <v>40.119999999999983</v>
      </c>
      <c r="C603" s="66">
        <v>11.69</v>
      </c>
      <c r="D603" s="66">
        <v>12.62</v>
      </c>
      <c r="E603" s="66">
        <v>27.25</v>
      </c>
      <c r="F603" s="66">
        <v>6.83</v>
      </c>
      <c r="G603" s="65">
        <v>98.509999999999977</v>
      </c>
      <c r="H603" s="54">
        <v>5.2</v>
      </c>
      <c r="I603" s="35"/>
    </row>
    <row r="604" spans="1:9" x14ac:dyDescent="0.2">
      <c r="A604" s="43" t="s">
        <v>85</v>
      </c>
      <c r="B604" s="66">
        <v>35.769999999999982</v>
      </c>
      <c r="C604" s="66">
        <v>10.23</v>
      </c>
      <c r="D604" s="66">
        <v>12.62</v>
      </c>
      <c r="E604" s="66">
        <v>27.25</v>
      </c>
      <c r="F604" s="66">
        <v>6.83</v>
      </c>
      <c r="G604" s="65">
        <v>92.699999999999974</v>
      </c>
      <c r="H604" s="54">
        <v>5.2</v>
      </c>
      <c r="I604" s="35"/>
    </row>
    <row r="605" spans="1:9" x14ac:dyDescent="0.2">
      <c r="A605" s="43" t="s">
        <v>86</v>
      </c>
      <c r="B605" s="66">
        <v>32.059999999999981</v>
      </c>
      <c r="C605" s="66">
        <v>9</v>
      </c>
      <c r="D605" s="66">
        <v>12.62</v>
      </c>
      <c r="E605" s="66">
        <v>27.25</v>
      </c>
      <c r="F605" s="66">
        <v>6.83</v>
      </c>
      <c r="G605" s="65">
        <v>87.759999999999977</v>
      </c>
      <c r="H605" s="54">
        <v>5.2</v>
      </c>
      <c r="I605" s="35"/>
    </row>
    <row r="606" spans="1:9" x14ac:dyDescent="0.2">
      <c r="A606" s="45" t="s">
        <v>87</v>
      </c>
      <c r="B606" s="66">
        <v>32.059999999999981</v>
      </c>
      <c r="C606" s="66">
        <v>9</v>
      </c>
      <c r="D606" s="66">
        <v>12.62</v>
      </c>
      <c r="E606" s="66">
        <v>27.25</v>
      </c>
      <c r="F606" s="66">
        <v>6.83</v>
      </c>
      <c r="G606" s="65">
        <v>87.759999999999977</v>
      </c>
      <c r="H606" s="54">
        <v>5.2</v>
      </c>
      <c r="I606" s="35"/>
    </row>
    <row r="607" spans="1:9" x14ac:dyDescent="0.2">
      <c r="A607" s="45" t="s">
        <v>88</v>
      </c>
      <c r="B607" s="66">
        <v>32.059999999999981</v>
      </c>
      <c r="C607" s="66">
        <v>9</v>
      </c>
      <c r="D607" s="66">
        <v>12.62</v>
      </c>
      <c r="E607" s="66">
        <v>27.25</v>
      </c>
      <c r="F607" s="66">
        <v>6.83</v>
      </c>
      <c r="G607" s="65">
        <v>87.759999999999977</v>
      </c>
      <c r="H607" s="54">
        <v>5.2</v>
      </c>
      <c r="I607" s="35"/>
    </row>
    <row r="608" spans="1:9" x14ac:dyDescent="0.2">
      <c r="A608" s="55"/>
      <c r="B608" s="56"/>
      <c r="C608" s="33"/>
      <c r="D608" s="33"/>
      <c r="E608" s="33"/>
      <c r="F608" s="33"/>
      <c r="G608" s="57"/>
      <c r="H608" s="54"/>
      <c r="I608" s="33"/>
    </row>
    <row r="609" spans="1:9" x14ac:dyDescent="0.2">
      <c r="A609" s="58" t="s">
        <v>119</v>
      </c>
      <c r="B609" s="64">
        <v>96.81</v>
      </c>
      <c r="C609" s="64">
        <v>31.81</v>
      </c>
      <c r="D609" s="49"/>
      <c r="E609" s="49"/>
      <c r="F609" s="49"/>
      <c r="G609" s="50">
        <v>128.62</v>
      </c>
      <c r="H609" s="54">
        <v>0</v>
      </c>
      <c r="I609" s="33"/>
    </row>
    <row r="610" spans="1:9" x14ac:dyDescent="0.2">
      <c r="A610" s="51" t="s">
        <v>120</v>
      </c>
      <c r="B610" s="64">
        <v>38.72</v>
      </c>
      <c r="C610" s="64">
        <v>12.73</v>
      </c>
      <c r="D610" s="49"/>
      <c r="E610" s="49"/>
      <c r="F610" s="49"/>
      <c r="G610" s="50">
        <v>51.45</v>
      </c>
      <c r="H610" s="54">
        <v>0</v>
      </c>
      <c r="I610" s="33"/>
    </row>
    <row r="611" spans="1:9" x14ac:dyDescent="0.2">
      <c r="A611" s="59" t="s">
        <v>121</v>
      </c>
      <c r="B611" s="64">
        <v>58.09</v>
      </c>
      <c r="C611" s="64">
        <v>19.079999999999998</v>
      </c>
      <c r="D611" s="49"/>
      <c r="E611" s="49"/>
      <c r="F611" s="49"/>
      <c r="G611" s="50">
        <v>77.17</v>
      </c>
      <c r="H611" s="54">
        <v>0</v>
      </c>
      <c r="I611" s="33"/>
    </row>
    <row r="613" spans="1:9" ht="15.75" x14ac:dyDescent="0.25">
      <c r="A613" s="41" t="s">
        <v>148</v>
      </c>
      <c r="B613" s="42"/>
      <c r="C613" s="42"/>
      <c r="D613" s="42"/>
      <c r="E613" s="42"/>
      <c r="F613" s="42"/>
      <c r="G613" s="42"/>
      <c r="H613" s="52"/>
      <c r="I613" s="33"/>
    </row>
    <row r="614" spans="1:9" ht="76.5" x14ac:dyDescent="0.2">
      <c r="A614" s="37" t="s">
        <v>92</v>
      </c>
      <c r="B614" s="61" t="s">
        <v>114</v>
      </c>
      <c r="C614" s="61" t="s">
        <v>115</v>
      </c>
      <c r="D614" s="62" t="s">
        <v>116</v>
      </c>
      <c r="E614" s="61" t="s">
        <v>117</v>
      </c>
      <c r="F614" s="61" t="s">
        <v>118</v>
      </c>
      <c r="G614" s="62" t="s">
        <v>15</v>
      </c>
      <c r="H614" s="53" t="s">
        <v>149</v>
      </c>
      <c r="I614" s="33"/>
    </row>
    <row r="615" spans="1:9" x14ac:dyDescent="0.2">
      <c r="A615" s="43" t="s">
        <v>54</v>
      </c>
      <c r="B615" s="66">
        <v>115.47000000000008</v>
      </c>
      <c r="C615" s="66">
        <v>36.79</v>
      </c>
      <c r="D615" s="66">
        <v>12.62</v>
      </c>
      <c r="E615" s="66">
        <v>27.25</v>
      </c>
      <c r="F615" s="66">
        <v>6.83</v>
      </c>
      <c r="G615" s="65">
        <v>198.96000000000009</v>
      </c>
      <c r="H615" s="54">
        <v>5.6000000000000005</v>
      </c>
      <c r="I615" s="35"/>
    </row>
    <row r="616" spans="1:9" x14ac:dyDescent="0.2">
      <c r="A616" s="43" t="s">
        <v>55</v>
      </c>
      <c r="B616" s="66">
        <v>98.570000000000078</v>
      </c>
      <c r="C616" s="66">
        <v>31.12</v>
      </c>
      <c r="D616" s="66">
        <v>12.62</v>
      </c>
      <c r="E616" s="66">
        <v>27.25</v>
      </c>
      <c r="F616" s="66">
        <v>6.83</v>
      </c>
      <c r="G616" s="65">
        <v>176.3900000000001</v>
      </c>
      <c r="H616" s="54">
        <v>5.6000000000000005</v>
      </c>
      <c r="I616" s="35"/>
    </row>
    <row r="617" spans="1:9" x14ac:dyDescent="0.2">
      <c r="A617" s="43" t="s">
        <v>56</v>
      </c>
      <c r="B617" s="66">
        <v>90.780000000000086</v>
      </c>
      <c r="C617" s="66">
        <v>28.52</v>
      </c>
      <c r="D617" s="66">
        <v>12.62</v>
      </c>
      <c r="E617" s="66">
        <v>27.25</v>
      </c>
      <c r="F617" s="66">
        <v>6.83</v>
      </c>
      <c r="G617" s="65">
        <v>166.00000000000009</v>
      </c>
      <c r="H617" s="54">
        <v>5.6000000000000005</v>
      </c>
      <c r="I617" s="35"/>
    </row>
    <row r="618" spans="1:9" x14ac:dyDescent="0.2">
      <c r="A618" s="43" t="s">
        <v>57</v>
      </c>
      <c r="B618" s="66">
        <v>76.300000000000082</v>
      </c>
      <c r="C618" s="66">
        <v>23.67</v>
      </c>
      <c r="D618" s="66">
        <v>12.62</v>
      </c>
      <c r="E618" s="66">
        <v>27.25</v>
      </c>
      <c r="F618" s="66">
        <v>6.83</v>
      </c>
      <c r="G618" s="65">
        <v>146.6700000000001</v>
      </c>
      <c r="H618" s="54">
        <v>5.6000000000000005</v>
      </c>
      <c r="I618" s="35"/>
    </row>
    <row r="619" spans="1:9" x14ac:dyDescent="0.2">
      <c r="A619" s="43" t="s">
        <v>58</v>
      </c>
      <c r="B619" s="66">
        <v>143.62000000000009</v>
      </c>
      <c r="C619" s="66">
        <v>46.21</v>
      </c>
      <c r="D619" s="66">
        <v>12.62</v>
      </c>
      <c r="E619" s="66">
        <v>27.25</v>
      </c>
      <c r="F619" s="66">
        <v>6.83</v>
      </c>
      <c r="G619" s="65">
        <v>236.53000000000011</v>
      </c>
      <c r="H619" s="54">
        <v>5.6000000000000005</v>
      </c>
      <c r="I619" s="35"/>
    </row>
    <row r="620" spans="1:9" x14ac:dyDescent="0.2">
      <c r="A620" s="43" t="s">
        <v>59</v>
      </c>
      <c r="B620" s="66">
        <v>117.50000000000009</v>
      </c>
      <c r="C620" s="66">
        <v>37.47</v>
      </c>
      <c r="D620" s="66">
        <v>12.62</v>
      </c>
      <c r="E620" s="66">
        <v>27.25</v>
      </c>
      <c r="F620" s="66">
        <v>6.83</v>
      </c>
      <c r="G620" s="65">
        <v>201.6700000000001</v>
      </c>
      <c r="H620" s="54">
        <v>5.6000000000000005</v>
      </c>
      <c r="I620" s="35"/>
    </row>
    <row r="621" spans="1:9" x14ac:dyDescent="0.2">
      <c r="A621" s="43" t="s">
        <v>60</v>
      </c>
      <c r="B621" s="66">
        <v>98.160000000000082</v>
      </c>
      <c r="C621" s="66">
        <v>30.99</v>
      </c>
      <c r="D621" s="66">
        <v>12.62</v>
      </c>
      <c r="E621" s="66">
        <v>27.25</v>
      </c>
      <c r="F621" s="66">
        <v>6.83</v>
      </c>
      <c r="G621" s="65">
        <v>175.85000000000011</v>
      </c>
      <c r="H621" s="54">
        <v>5.6000000000000005</v>
      </c>
      <c r="I621" s="35"/>
    </row>
    <row r="622" spans="1:9" x14ac:dyDescent="0.2">
      <c r="A622" s="43" t="s">
        <v>61</v>
      </c>
      <c r="B622" s="66">
        <v>95.180000000000078</v>
      </c>
      <c r="C622" s="66">
        <v>29.99</v>
      </c>
      <c r="D622" s="66">
        <v>12.62</v>
      </c>
      <c r="E622" s="66">
        <v>27.25</v>
      </c>
      <c r="F622" s="66">
        <v>6.83</v>
      </c>
      <c r="G622" s="65">
        <v>171.87000000000009</v>
      </c>
      <c r="H622" s="54">
        <v>5.6000000000000005</v>
      </c>
      <c r="I622" s="35"/>
    </row>
    <row r="623" spans="1:9" x14ac:dyDescent="0.2">
      <c r="A623" s="43" t="s">
        <v>62</v>
      </c>
      <c r="B623" s="66">
        <v>88.380000000000081</v>
      </c>
      <c r="C623" s="66">
        <v>27.71</v>
      </c>
      <c r="D623" s="66">
        <v>12.62</v>
      </c>
      <c r="E623" s="66">
        <v>27.25</v>
      </c>
      <c r="F623" s="66">
        <v>6.83</v>
      </c>
      <c r="G623" s="65">
        <v>162.79000000000011</v>
      </c>
      <c r="H623" s="54">
        <v>5.6000000000000005</v>
      </c>
      <c r="I623" s="35"/>
    </row>
    <row r="624" spans="1:9" x14ac:dyDescent="0.2">
      <c r="A624" s="43" t="s">
        <v>63</v>
      </c>
      <c r="B624" s="66">
        <v>88.110000000000085</v>
      </c>
      <c r="C624" s="66">
        <v>27.62</v>
      </c>
      <c r="D624" s="66">
        <v>12.62</v>
      </c>
      <c r="E624" s="66">
        <v>27.25</v>
      </c>
      <c r="F624" s="66">
        <v>6.83</v>
      </c>
      <c r="G624" s="65">
        <v>162.43000000000009</v>
      </c>
      <c r="H624" s="54">
        <v>5.6000000000000005</v>
      </c>
      <c r="I624" s="35"/>
    </row>
    <row r="625" spans="1:9" x14ac:dyDescent="0.2">
      <c r="A625" s="43" t="s">
        <v>64</v>
      </c>
      <c r="B625" s="66">
        <v>72.360000000000085</v>
      </c>
      <c r="C625" s="66">
        <v>22.36</v>
      </c>
      <c r="D625" s="66">
        <v>12.62</v>
      </c>
      <c r="E625" s="66">
        <v>27.25</v>
      </c>
      <c r="F625" s="66">
        <v>6.83</v>
      </c>
      <c r="G625" s="65">
        <v>141.4200000000001</v>
      </c>
      <c r="H625" s="54">
        <v>5.6000000000000005</v>
      </c>
      <c r="I625" s="35"/>
    </row>
    <row r="626" spans="1:9" x14ac:dyDescent="0.2">
      <c r="A626" s="43" t="s">
        <v>65</v>
      </c>
      <c r="B626" s="66">
        <v>67.000000000000028</v>
      </c>
      <c r="C626" s="66">
        <v>20.55</v>
      </c>
      <c r="D626" s="66">
        <v>12.62</v>
      </c>
      <c r="E626" s="66">
        <v>27.25</v>
      </c>
      <c r="F626" s="66">
        <v>6.83</v>
      </c>
      <c r="G626" s="65">
        <v>134.25000000000003</v>
      </c>
      <c r="H626" s="54">
        <v>5.6000000000000005</v>
      </c>
      <c r="I626" s="35"/>
    </row>
    <row r="627" spans="1:9" x14ac:dyDescent="0.2">
      <c r="A627" s="43" t="s">
        <v>66</v>
      </c>
      <c r="B627" s="66">
        <v>63.949999999999982</v>
      </c>
      <c r="C627" s="66">
        <v>19.54</v>
      </c>
      <c r="D627" s="66">
        <v>12.62</v>
      </c>
      <c r="E627" s="66">
        <v>27.25</v>
      </c>
      <c r="F627" s="66">
        <v>6.83</v>
      </c>
      <c r="G627" s="65">
        <v>130.19</v>
      </c>
      <c r="H627" s="54">
        <v>5.6000000000000005</v>
      </c>
      <c r="I627" s="35"/>
    </row>
    <row r="628" spans="1:9" x14ac:dyDescent="0.2">
      <c r="A628" s="43" t="s">
        <v>67</v>
      </c>
      <c r="B628" s="66">
        <v>59.729999999999983</v>
      </c>
      <c r="C628" s="66">
        <v>18.13</v>
      </c>
      <c r="D628" s="66">
        <v>12.62</v>
      </c>
      <c r="E628" s="66">
        <v>27.25</v>
      </c>
      <c r="F628" s="66">
        <v>6.83</v>
      </c>
      <c r="G628" s="65">
        <v>124.55999999999999</v>
      </c>
      <c r="H628" s="54">
        <v>5.6000000000000005</v>
      </c>
      <c r="I628" s="35"/>
    </row>
    <row r="629" spans="1:9" x14ac:dyDescent="0.2">
      <c r="A629" s="43" t="s">
        <v>68</v>
      </c>
      <c r="B629" s="66">
        <v>55.219999999999978</v>
      </c>
      <c r="C629" s="66">
        <v>16.62</v>
      </c>
      <c r="D629" s="66">
        <v>12.62</v>
      </c>
      <c r="E629" s="66">
        <v>27.25</v>
      </c>
      <c r="F629" s="66">
        <v>6.83</v>
      </c>
      <c r="G629" s="65">
        <v>118.53999999999998</v>
      </c>
      <c r="H629" s="54">
        <v>5.6000000000000005</v>
      </c>
      <c r="I629" s="35"/>
    </row>
    <row r="630" spans="1:9" x14ac:dyDescent="0.2">
      <c r="A630" s="43" t="s">
        <v>69</v>
      </c>
      <c r="B630" s="66">
        <v>50.149999999999977</v>
      </c>
      <c r="C630" s="66">
        <v>14.91</v>
      </c>
      <c r="D630" s="66">
        <v>12.62</v>
      </c>
      <c r="E630" s="66">
        <v>27.25</v>
      </c>
      <c r="F630" s="66">
        <v>6.83</v>
      </c>
      <c r="G630" s="65">
        <v>111.75999999999998</v>
      </c>
      <c r="H630" s="54">
        <v>5.6000000000000005</v>
      </c>
      <c r="I630" s="35"/>
    </row>
    <row r="631" spans="1:9" x14ac:dyDescent="0.2">
      <c r="A631" s="43" t="s">
        <v>70</v>
      </c>
      <c r="B631" s="66">
        <v>55.359999999999978</v>
      </c>
      <c r="C631" s="66">
        <v>16.649999999999999</v>
      </c>
      <c r="D631" s="66">
        <v>12.62</v>
      </c>
      <c r="E631" s="66">
        <v>27.25</v>
      </c>
      <c r="F631" s="66">
        <v>6.83</v>
      </c>
      <c r="G631" s="65">
        <v>118.70999999999998</v>
      </c>
      <c r="H631" s="54">
        <v>5.6000000000000005</v>
      </c>
      <c r="I631" s="35"/>
    </row>
    <row r="632" spans="1:9" x14ac:dyDescent="0.2">
      <c r="A632" s="43" t="s">
        <v>71</v>
      </c>
      <c r="B632" s="66">
        <v>49.619999999999983</v>
      </c>
      <c r="C632" s="66">
        <v>14.73</v>
      </c>
      <c r="D632" s="66">
        <v>12.62</v>
      </c>
      <c r="E632" s="66">
        <v>27.25</v>
      </c>
      <c r="F632" s="66">
        <v>6.83</v>
      </c>
      <c r="G632" s="65">
        <v>111.04999999999998</v>
      </c>
      <c r="H632" s="54">
        <v>5.6000000000000005</v>
      </c>
      <c r="I632" s="35"/>
    </row>
    <row r="633" spans="1:9" x14ac:dyDescent="0.2">
      <c r="A633" s="43" t="s">
        <v>72</v>
      </c>
      <c r="B633" s="66">
        <v>42.759999999999977</v>
      </c>
      <c r="C633" s="66">
        <v>12.44</v>
      </c>
      <c r="D633" s="66">
        <v>12.62</v>
      </c>
      <c r="E633" s="66">
        <v>27.25</v>
      </c>
      <c r="F633" s="66">
        <v>6.83</v>
      </c>
      <c r="G633" s="65">
        <v>101.89999999999998</v>
      </c>
      <c r="H633" s="54">
        <v>5.6000000000000005</v>
      </c>
      <c r="I633" s="35"/>
    </row>
    <row r="634" spans="1:9" x14ac:dyDescent="0.2">
      <c r="A634" s="43" t="s">
        <v>73</v>
      </c>
      <c r="B634" s="66">
        <v>39.02999999999998</v>
      </c>
      <c r="C634" s="66">
        <v>11.19</v>
      </c>
      <c r="D634" s="66">
        <v>12.62</v>
      </c>
      <c r="E634" s="66">
        <v>27.25</v>
      </c>
      <c r="F634" s="66">
        <v>6.83</v>
      </c>
      <c r="G634" s="65">
        <v>96.919999999999973</v>
      </c>
      <c r="H634" s="54">
        <v>5.6000000000000005</v>
      </c>
      <c r="I634" s="35"/>
    </row>
    <row r="635" spans="1:9" x14ac:dyDescent="0.2">
      <c r="A635" s="43" t="s">
        <v>74</v>
      </c>
      <c r="B635" s="66">
        <v>53.819999999999979</v>
      </c>
      <c r="C635" s="66">
        <v>16.14</v>
      </c>
      <c r="D635" s="66">
        <v>12.62</v>
      </c>
      <c r="E635" s="66">
        <v>27.25</v>
      </c>
      <c r="F635" s="66">
        <v>6.83</v>
      </c>
      <c r="G635" s="65">
        <v>116.65999999999998</v>
      </c>
      <c r="H635" s="54">
        <v>5.6000000000000005</v>
      </c>
      <c r="I635" s="35"/>
    </row>
    <row r="636" spans="1:9" x14ac:dyDescent="0.2">
      <c r="A636" s="43" t="s">
        <v>75</v>
      </c>
      <c r="B636" s="66">
        <v>45.909999999999982</v>
      </c>
      <c r="C636" s="66">
        <v>13.5</v>
      </c>
      <c r="D636" s="66">
        <v>12.62</v>
      </c>
      <c r="E636" s="66">
        <v>27.25</v>
      </c>
      <c r="F636" s="66">
        <v>6.83</v>
      </c>
      <c r="G636" s="65">
        <v>106.10999999999999</v>
      </c>
      <c r="H636" s="54">
        <v>5.6000000000000005</v>
      </c>
      <c r="I636" s="35"/>
    </row>
    <row r="637" spans="1:9" x14ac:dyDescent="0.2">
      <c r="A637" s="43" t="s">
        <v>76</v>
      </c>
      <c r="B637" s="66">
        <v>41.409999999999982</v>
      </c>
      <c r="C637" s="66">
        <v>11.99</v>
      </c>
      <c r="D637" s="66">
        <v>12.62</v>
      </c>
      <c r="E637" s="66">
        <v>27.25</v>
      </c>
      <c r="F637" s="66">
        <v>6.83</v>
      </c>
      <c r="G637" s="65">
        <v>100.09999999999998</v>
      </c>
      <c r="H637" s="54">
        <v>5.6000000000000005</v>
      </c>
      <c r="I637" s="35"/>
    </row>
    <row r="638" spans="1:9" x14ac:dyDescent="0.2">
      <c r="A638" s="43" t="s">
        <v>77</v>
      </c>
      <c r="B638" s="66">
        <v>34.66999999999998</v>
      </c>
      <c r="C638" s="66">
        <v>9.74</v>
      </c>
      <c r="D638" s="66">
        <v>12.62</v>
      </c>
      <c r="E638" s="66">
        <v>27.25</v>
      </c>
      <c r="F638" s="66">
        <v>6.83</v>
      </c>
      <c r="G638" s="65">
        <v>91.109999999999971</v>
      </c>
      <c r="H638" s="54">
        <v>5.6000000000000005</v>
      </c>
      <c r="I638" s="35"/>
    </row>
    <row r="639" spans="1:9" x14ac:dyDescent="0.2">
      <c r="A639" s="43" t="s">
        <v>78</v>
      </c>
      <c r="B639" s="66">
        <v>60.219999999999978</v>
      </c>
      <c r="C639" s="66">
        <v>18.29</v>
      </c>
      <c r="D639" s="66">
        <v>12.62</v>
      </c>
      <c r="E639" s="66">
        <v>27.25</v>
      </c>
      <c r="F639" s="66">
        <v>6.83</v>
      </c>
      <c r="G639" s="65">
        <v>125.20999999999998</v>
      </c>
      <c r="H639" s="54">
        <v>5.6000000000000005</v>
      </c>
      <c r="I639" s="35"/>
    </row>
    <row r="640" spans="1:9" x14ac:dyDescent="0.2">
      <c r="A640" s="43" t="s">
        <v>79</v>
      </c>
      <c r="B640" s="66">
        <v>55.319999999999979</v>
      </c>
      <c r="C640" s="66">
        <v>16.64</v>
      </c>
      <c r="D640" s="66">
        <v>12.62</v>
      </c>
      <c r="E640" s="66">
        <v>27.25</v>
      </c>
      <c r="F640" s="66">
        <v>6.83</v>
      </c>
      <c r="G640" s="65">
        <v>118.65999999999998</v>
      </c>
      <c r="H640" s="54">
        <v>5.6000000000000005</v>
      </c>
      <c r="I640" s="35"/>
    </row>
    <row r="641" spans="1:9" x14ac:dyDescent="0.2">
      <c r="A641" s="43" t="s">
        <v>80</v>
      </c>
      <c r="B641" s="66">
        <v>56.509999999999977</v>
      </c>
      <c r="C641" s="66">
        <v>17.04</v>
      </c>
      <c r="D641" s="66">
        <v>12.62</v>
      </c>
      <c r="E641" s="66">
        <v>27.25</v>
      </c>
      <c r="F641" s="66">
        <v>6.83</v>
      </c>
      <c r="G641" s="65">
        <v>120.24999999999999</v>
      </c>
      <c r="H641" s="54">
        <v>5.6000000000000005</v>
      </c>
      <c r="I641" s="35"/>
    </row>
    <row r="642" spans="1:9" x14ac:dyDescent="0.2">
      <c r="A642" s="43" t="s">
        <v>53</v>
      </c>
      <c r="B642" s="66">
        <v>51.449999999999982</v>
      </c>
      <c r="C642" s="66">
        <v>15.35</v>
      </c>
      <c r="D642" s="66">
        <v>12.62</v>
      </c>
      <c r="E642" s="66">
        <v>27.25</v>
      </c>
      <c r="F642" s="66">
        <v>6.83</v>
      </c>
      <c r="G642" s="65">
        <v>113.49999999999999</v>
      </c>
      <c r="H642" s="54">
        <v>5.6000000000000005</v>
      </c>
      <c r="I642" s="35"/>
    </row>
    <row r="643" spans="1:9" x14ac:dyDescent="0.2">
      <c r="A643" s="43" t="s">
        <v>81</v>
      </c>
      <c r="B643" s="66">
        <v>49.299999999999983</v>
      </c>
      <c r="C643" s="66">
        <v>14.63</v>
      </c>
      <c r="D643" s="66">
        <v>12.62</v>
      </c>
      <c r="E643" s="66">
        <v>27.25</v>
      </c>
      <c r="F643" s="66">
        <v>6.83</v>
      </c>
      <c r="G643" s="65">
        <v>110.62999999999998</v>
      </c>
      <c r="H643" s="54">
        <v>5.6000000000000005</v>
      </c>
      <c r="I643" s="35"/>
    </row>
    <row r="644" spans="1:9" x14ac:dyDescent="0.2">
      <c r="A644" s="43" t="s">
        <v>82</v>
      </c>
      <c r="B644" s="66">
        <v>46.069999999999979</v>
      </c>
      <c r="C644" s="66">
        <v>13.55</v>
      </c>
      <c r="D644" s="66">
        <v>12.62</v>
      </c>
      <c r="E644" s="66">
        <v>27.25</v>
      </c>
      <c r="F644" s="66">
        <v>6.83</v>
      </c>
      <c r="G644" s="65">
        <v>106.31999999999998</v>
      </c>
      <c r="H644" s="54">
        <v>5.6000000000000005</v>
      </c>
      <c r="I644" s="35"/>
    </row>
    <row r="645" spans="1:9" x14ac:dyDescent="0.2">
      <c r="A645" s="43" t="s">
        <v>83</v>
      </c>
      <c r="B645" s="66">
        <v>44.079999999999977</v>
      </c>
      <c r="C645" s="66">
        <v>12.88</v>
      </c>
      <c r="D645" s="66">
        <v>12.62</v>
      </c>
      <c r="E645" s="66">
        <v>27.25</v>
      </c>
      <c r="F645" s="66">
        <v>6.83</v>
      </c>
      <c r="G645" s="65">
        <v>103.65999999999998</v>
      </c>
      <c r="H645" s="54">
        <v>5.6000000000000005</v>
      </c>
      <c r="I645" s="35"/>
    </row>
    <row r="646" spans="1:9" x14ac:dyDescent="0.2">
      <c r="A646" s="43" t="s">
        <v>84</v>
      </c>
      <c r="B646" s="66">
        <v>40.519999999999982</v>
      </c>
      <c r="C646" s="66">
        <v>11.69</v>
      </c>
      <c r="D646" s="66">
        <v>12.62</v>
      </c>
      <c r="E646" s="66">
        <v>27.25</v>
      </c>
      <c r="F646" s="66">
        <v>6.83</v>
      </c>
      <c r="G646" s="65">
        <v>98.909999999999982</v>
      </c>
      <c r="H646" s="54">
        <v>5.6000000000000005</v>
      </c>
      <c r="I646" s="35"/>
    </row>
    <row r="647" spans="1:9" x14ac:dyDescent="0.2">
      <c r="A647" s="43" t="s">
        <v>85</v>
      </c>
      <c r="B647" s="66">
        <v>36.16999999999998</v>
      </c>
      <c r="C647" s="66">
        <v>10.23</v>
      </c>
      <c r="D647" s="66">
        <v>12.62</v>
      </c>
      <c r="E647" s="66">
        <v>27.25</v>
      </c>
      <c r="F647" s="66">
        <v>6.83</v>
      </c>
      <c r="G647" s="65">
        <v>93.09999999999998</v>
      </c>
      <c r="H647" s="54">
        <v>5.6000000000000005</v>
      </c>
      <c r="I647" s="35"/>
    </row>
    <row r="648" spans="1:9" x14ac:dyDescent="0.2">
      <c r="A648" s="43" t="s">
        <v>86</v>
      </c>
      <c r="B648" s="66">
        <v>32.45999999999998</v>
      </c>
      <c r="C648" s="66">
        <v>9</v>
      </c>
      <c r="D648" s="66">
        <v>12.62</v>
      </c>
      <c r="E648" s="66">
        <v>27.25</v>
      </c>
      <c r="F648" s="66">
        <v>6.83</v>
      </c>
      <c r="G648" s="65">
        <v>88.159999999999982</v>
      </c>
      <c r="H648" s="54">
        <v>5.6000000000000005</v>
      </c>
      <c r="I648" s="35"/>
    </row>
    <row r="649" spans="1:9" x14ac:dyDescent="0.2">
      <c r="A649" s="45" t="s">
        <v>87</v>
      </c>
      <c r="B649" s="66">
        <v>32.45999999999998</v>
      </c>
      <c r="C649" s="66">
        <v>9</v>
      </c>
      <c r="D649" s="66">
        <v>12.62</v>
      </c>
      <c r="E649" s="66">
        <v>27.25</v>
      </c>
      <c r="F649" s="66">
        <v>6.83</v>
      </c>
      <c r="G649" s="65">
        <v>88.159999999999982</v>
      </c>
      <c r="H649" s="54">
        <v>5.6000000000000005</v>
      </c>
      <c r="I649" s="35"/>
    </row>
    <row r="650" spans="1:9" x14ac:dyDescent="0.2">
      <c r="A650" s="45" t="s">
        <v>88</v>
      </c>
      <c r="B650" s="66">
        <v>32.45999999999998</v>
      </c>
      <c r="C650" s="66">
        <v>9</v>
      </c>
      <c r="D650" s="66">
        <v>12.62</v>
      </c>
      <c r="E650" s="66">
        <v>27.25</v>
      </c>
      <c r="F650" s="66">
        <v>6.83</v>
      </c>
      <c r="G650" s="65">
        <v>88.159999999999982</v>
      </c>
      <c r="H650" s="54">
        <v>5.6000000000000005</v>
      </c>
      <c r="I650" s="35"/>
    </row>
    <row r="651" spans="1:9" x14ac:dyDescent="0.2">
      <c r="A651" s="55"/>
      <c r="B651" s="56"/>
      <c r="C651" s="33"/>
      <c r="D651" s="33"/>
      <c r="E651" s="33"/>
      <c r="F651" s="33"/>
      <c r="G651" s="57"/>
      <c r="H651" s="54"/>
      <c r="I651" s="33"/>
    </row>
    <row r="652" spans="1:9" x14ac:dyDescent="0.2">
      <c r="A652" s="58" t="s">
        <v>119</v>
      </c>
      <c r="B652" s="64">
        <v>96.81</v>
      </c>
      <c r="C652" s="64">
        <v>31.81</v>
      </c>
      <c r="D652" s="49"/>
      <c r="E652" s="49"/>
      <c r="F652" s="49"/>
      <c r="G652" s="50">
        <v>128.62</v>
      </c>
      <c r="H652" s="54">
        <v>0</v>
      </c>
      <c r="I652" s="33"/>
    </row>
    <row r="653" spans="1:9" x14ac:dyDescent="0.2">
      <c r="A653" s="51" t="s">
        <v>120</v>
      </c>
      <c r="B653" s="64">
        <v>38.72</v>
      </c>
      <c r="C653" s="64">
        <v>12.73</v>
      </c>
      <c r="D653" s="49"/>
      <c r="E653" s="49"/>
      <c r="F653" s="49"/>
      <c r="G653" s="50">
        <v>51.45</v>
      </c>
      <c r="H653" s="54">
        <v>0</v>
      </c>
      <c r="I653" s="33"/>
    </row>
    <row r="654" spans="1:9" x14ac:dyDescent="0.2">
      <c r="A654" s="59" t="s">
        <v>121</v>
      </c>
      <c r="B654" s="64">
        <v>58.09</v>
      </c>
      <c r="C654" s="64">
        <v>19.079999999999998</v>
      </c>
      <c r="D654" s="49"/>
      <c r="E654" s="49"/>
      <c r="F654" s="49"/>
      <c r="G654" s="50">
        <v>77.17</v>
      </c>
      <c r="H654" s="54">
        <v>0</v>
      </c>
      <c r="I654" s="33"/>
    </row>
    <row r="656" spans="1:9" ht="15.75" x14ac:dyDescent="0.25">
      <c r="A656" s="41" t="s">
        <v>150</v>
      </c>
      <c r="B656" s="42"/>
      <c r="C656" s="42"/>
      <c r="D656" s="42"/>
      <c r="E656" s="42"/>
      <c r="F656" s="42"/>
      <c r="G656" s="42"/>
      <c r="H656" s="52"/>
      <c r="I656" s="33"/>
    </row>
    <row r="657" spans="1:9" ht="76.5" x14ac:dyDescent="0.2">
      <c r="A657" s="37" t="s">
        <v>92</v>
      </c>
      <c r="B657" s="61" t="s">
        <v>114</v>
      </c>
      <c r="C657" s="61" t="s">
        <v>115</v>
      </c>
      <c r="D657" s="62" t="s">
        <v>116</v>
      </c>
      <c r="E657" s="61" t="s">
        <v>117</v>
      </c>
      <c r="F657" s="61" t="s">
        <v>118</v>
      </c>
      <c r="G657" s="62" t="s">
        <v>15</v>
      </c>
      <c r="H657" s="53" t="s">
        <v>151</v>
      </c>
      <c r="I657" s="33"/>
    </row>
    <row r="658" spans="1:9" x14ac:dyDescent="0.2">
      <c r="A658" s="43" t="s">
        <v>54</v>
      </c>
      <c r="B658" s="66">
        <v>115.87000000000009</v>
      </c>
      <c r="C658" s="66">
        <v>36.79</v>
      </c>
      <c r="D658" s="66">
        <v>12.62</v>
      </c>
      <c r="E658" s="66">
        <v>27.25</v>
      </c>
      <c r="F658" s="66">
        <v>6.83</v>
      </c>
      <c r="G658" s="65">
        <v>199.3600000000001</v>
      </c>
      <c r="H658" s="54">
        <v>6.0000000000000009</v>
      </c>
      <c r="I658" s="35"/>
    </row>
    <row r="659" spans="1:9" x14ac:dyDescent="0.2">
      <c r="A659" s="43" t="s">
        <v>55</v>
      </c>
      <c r="B659" s="66">
        <v>98.970000000000084</v>
      </c>
      <c r="C659" s="66">
        <v>31.12</v>
      </c>
      <c r="D659" s="66">
        <v>12.62</v>
      </c>
      <c r="E659" s="66">
        <v>27.25</v>
      </c>
      <c r="F659" s="66">
        <v>6.83</v>
      </c>
      <c r="G659" s="65">
        <v>176.79000000000011</v>
      </c>
      <c r="H659" s="54">
        <v>6.0000000000000009</v>
      </c>
      <c r="I659" s="35"/>
    </row>
    <row r="660" spans="1:9" x14ac:dyDescent="0.2">
      <c r="A660" s="43" t="s">
        <v>56</v>
      </c>
      <c r="B660" s="66">
        <v>91.180000000000092</v>
      </c>
      <c r="C660" s="66">
        <v>28.52</v>
      </c>
      <c r="D660" s="66">
        <v>12.62</v>
      </c>
      <c r="E660" s="66">
        <v>27.25</v>
      </c>
      <c r="F660" s="66">
        <v>6.83</v>
      </c>
      <c r="G660" s="65">
        <v>166.40000000000009</v>
      </c>
      <c r="H660" s="54">
        <v>6.0000000000000009</v>
      </c>
      <c r="I660" s="35"/>
    </row>
    <row r="661" spans="1:9" x14ac:dyDescent="0.2">
      <c r="A661" s="43" t="s">
        <v>57</v>
      </c>
      <c r="B661" s="66">
        <v>76.700000000000088</v>
      </c>
      <c r="C661" s="66">
        <v>23.67</v>
      </c>
      <c r="D661" s="66">
        <v>12.62</v>
      </c>
      <c r="E661" s="66">
        <v>27.25</v>
      </c>
      <c r="F661" s="66">
        <v>6.83</v>
      </c>
      <c r="G661" s="65">
        <v>147.07000000000011</v>
      </c>
      <c r="H661" s="54">
        <v>6.0000000000000009</v>
      </c>
      <c r="I661" s="35"/>
    </row>
    <row r="662" spans="1:9" x14ac:dyDescent="0.2">
      <c r="A662" s="43" t="s">
        <v>58</v>
      </c>
      <c r="B662" s="66">
        <v>144.0200000000001</v>
      </c>
      <c r="C662" s="66">
        <v>46.21</v>
      </c>
      <c r="D662" s="66">
        <v>12.62</v>
      </c>
      <c r="E662" s="66">
        <v>27.25</v>
      </c>
      <c r="F662" s="66">
        <v>6.83</v>
      </c>
      <c r="G662" s="65">
        <v>236.93000000000012</v>
      </c>
      <c r="H662" s="54">
        <v>6.0000000000000009</v>
      </c>
      <c r="I662" s="35"/>
    </row>
    <row r="663" spans="1:9" x14ac:dyDescent="0.2">
      <c r="A663" s="43" t="s">
        <v>59</v>
      </c>
      <c r="B663" s="66">
        <v>117.90000000000009</v>
      </c>
      <c r="C663" s="66">
        <v>37.47</v>
      </c>
      <c r="D663" s="66">
        <v>12.62</v>
      </c>
      <c r="E663" s="66">
        <v>27.25</v>
      </c>
      <c r="F663" s="66">
        <v>6.83</v>
      </c>
      <c r="G663" s="65">
        <v>202.07000000000011</v>
      </c>
      <c r="H663" s="54">
        <v>6.0000000000000009</v>
      </c>
      <c r="I663" s="35"/>
    </row>
    <row r="664" spans="1:9" x14ac:dyDescent="0.2">
      <c r="A664" s="43" t="s">
        <v>60</v>
      </c>
      <c r="B664" s="66">
        <v>98.560000000000088</v>
      </c>
      <c r="C664" s="66">
        <v>30.99</v>
      </c>
      <c r="D664" s="66">
        <v>12.62</v>
      </c>
      <c r="E664" s="66">
        <v>27.25</v>
      </c>
      <c r="F664" s="66">
        <v>6.83</v>
      </c>
      <c r="G664" s="65">
        <v>176.25000000000011</v>
      </c>
      <c r="H664" s="54">
        <v>6.0000000000000009</v>
      </c>
      <c r="I664" s="35"/>
    </row>
    <row r="665" spans="1:9" x14ac:dyDescent="0.2">
      <c r="A665" s="43" t="s">
        <v>61</v>
      </c>
      <c r="B665" s="66">
        <v>95.580000000000084</v>
      </c>
      <c r="C665" s="66">
        <v>29.99</v>
      </c>
      <c r="D665" s="66">
        <v>12.62</v>
      </c>
      <c r="E665" s="66">
        <v>27.25</v>
      </c>
      <c r="F665" s="66">
        <v>6.83</v>
      </c>
      <c r="G665" s="65">
        <v>172.2700000000001</v>
      </c>
      <c r="H665" s="54">
        <v>6.0000000000000009</v>
      </c>
      <c r="I665" s="35"/>
    </row>
    <row r="666" spans="1:9" x14ac:dyDescent="0.2">
      <c r="A666" s="43" t="s">
        <v>62</v>
      </c>
      <c r="B666" s="66">
        <v>88.780000000000086</v>
      </c>
      <c r="C666" s="66">
        <v>27.71</v>
      </c>
      <c r="D666" s="66">
        <v>12.62</v>
      </c>
      <c r="E666" s="66">
        <v>27.25</v>
      </c>
      <c r="F666" s="66">
        <v>6.83</v>
      </c>
      <c r="G666" s="65">
        <v>163.19000000000011</v>
      </c>
      <c r="H666" s="54">
        <v>6.0000000000000009</v>
      </c>
      <c r="I666" s="35"/>
    </row>
    <row r="667" spans="1:9" x14ac:dyDescent="0.2">
      <c r="A667" s="43" t="s">
        <v>63</v>
      </c>
      <c r="B667" s="66">
        <v>88.51000000000009</v>
      </c>
      <c r="C667" s="66">
        <v>27.62</v>
      </c>
      <c r="D667" s="66">
        <v>12.62</v>
      </c>
      <c r="E667" s="66">
        <v>27.25</v>
      </c>
      <c r="F667" s="66">
        <v>6.83</v>
      </c>
      <c r="G667" s="65">
        <v>162.8300000000001</v>
      </c>
      <c r="H667" s="54">
        <v>6.0000000000000009</v>
      </c>
      <c r="I667" s="35"/>
    </row>
    <row r="668" spans="1:9" x14ac:dyDescent="0.2">
      <c r="A668" s="43" t="s">
        <v>64</v>
      </c>
      <c r="B668" s="66">
        <v>72.76000000000009</v>
      </c>
      <c r="C668" s="66">
        <v>22.36</v>
      </c>
      <c r="D668" s="66">
        <v>12.62</v>
      </c>
      <c r="E668" s="66">
        <v>27.25</v>
      </c>
      <c r="F668" s="66">
        <v>6.83</v>
      </c>
      <c r="G668" s="65">
        <v>141.82000000000011</v>
      </c>
      <c r="H668" s="54">
        <v>6.0000000000000009</v>
      </c>
      <c r="I668" s="35"/>
    </row>
    <row r="669" spans="1:9" x14ac:dyDescent="0.2">
      <c r="A669" s="43" t="s">
        <v>65</v>
      </c>
      <c r="B669" s="66">
        <v>67.400000000000034</v>
      </c>
      <c r="C669" s="66">
        <v>20.55</v>
      </c>
      <c r="D669" s="66">
        <v>12.62</v>
      </c>
      <c r="E669" s="66">
        <v>27.25</v>
      </c>
      <c r="F669" s="66">
        <v>6.83</v>
      </c>
      <c r="G669" s="65">
        <v>134.65000000000003</v>
      </c>
      <c r="H669" s="54">
        <v>6.0000000000000009</v>
      </c>
      <c r="I669" s="35"/>
    </row>
    <row r="670" spans="1:9" x14ac:dyDescent="0.2">
      <c r="A670" s="43" t="s">
        <v>66</v>
      </c>
      <c r="B670" s="66">
        <v>64.34999999999998</v>
      </c>
      <c r="C670" s="66">
        <v>19.54</v>
      </c>
      <c r="D670" s="66">
        <v>12.62</v>
      </c>
      <c r="E670" s="66">
        <v>27.25</v>
      </c>
      <c r="F670" s="66">
        <v>6.83</v>
      </c>
      <c r="G670" s="65">
        <v>130.59</v>
      </c>
      <c r="H670" s="54">
        <v>6.0000000000000009</v>
      </c>
      <c r="I670" s="35"/>
    </row>
    <row r="671" spans="1:9" x14ac:dyDescent="0.2">
      <c r="A671" s="43" t="s">
        <v>67</v>
      </c>
      <c r="B671" s="66">
        <v>60.129999999999981</v>
      </c>
      <c r="C671" s="66">
        <v>18.13</v>
      </c>
      <c r="D671" s="66">
        <v>12.62</v>
      </c>
      <c r="E671" s="66">
        <v>27.25</v>
      </c>
      <c r="F671" s="66">
        <v>6.83</v>
      </c>
      <c r="G671" s="65">
        <v>124.95999999999998</v>
      </c>
      <c r="H671" s="54">
        <v>6.0000000000000009</v>
      </c>
      <c r="I671" s="35"/>
    </row>
    <row r="672" spans="1:9" x14ac:dyDescent="0.2">
      <c r="A672" s="43" t="s">
        <v>68</v>
      </c>
      <c r="B672" s="66">
        <v>55.619999999999976</v>
      </c>
      <c r="C672" s="66">
        <v>16.62</v>
      </c>
      <c r="D672" s="66">
        <v>12.62</v>
      </c>
      <c r="E672" s="66">
        <v>27.25</v>
      </c>
      <c r="F672" s="66">
        <v>6.83</v>
      </c>
      <c r="G672" s="65">
        <v>118.93999999999998</v>
      </c>
      <c r="H672" s="54">
        <v>6.0000000000000009</v>
      </c>
      <c r="I672" s="35"/>
    </row>
    <row r="673" spans="1:9" x14ac:dyDescent="0.2">
      <c r="A673" s="43" t="s">
        <v>69</v>
      </c>
      <c r="B673" s="66">
        <v>50.549999999999976</v>
      </c>
      <c r="C673" s="66">
        <v>14.91</v>
      </c>
      <c r="D673" s="66">
        <v>12.62</v>
      </c>
      <c r="E673" s="66">
        <v>27.25</v>
      </c>
      <c r="F673" s="66">
        <v>6.83</v>
      </c>
      <c r="G673" s="65">
        <v>112.15999999999998</v>
      </c>
      <c r="H673" s="54">
        <v>6.0000000000000009</v>
      </c>
      <c r="I673" s="35"/>
    </row>
    <row r="674" spans="1:9" x14ac:dyDescent="0.2">
      <c r="A674" s="43" t="s">
        <v>70</v>
      </c>
      <c r="B674" s="66">
        <v>55.759999999999977</v>
      </c>
      <c r="C674" s="66">
        <v>16.649999999999999</v>
      </c>
      <c r="D674" s="66">
        <v>12.62</v>
      </c>
      <c r="E674" s="66">
        <v>27.25</v>
      </c>
      <c r="F674" s="66">
        <v>6.83</v>
      </c>
      <c r="G674" s="65">
        <v>119.10999999999997</v>
      </c>
      <c r="H674" s="54">
        <v>6.0000000000000009</v>
      </c>
      <c r="I674" s="35"/>
    </row>
    <row r="675" spans="1:9" x14ac:dyDescent="0.2">
      <c r="A675" s="43" t="s">
        <v>71</v>
      </c>
      <c r="B675" s="66">
        <v>50.019999999999982</v>
      </c>
      <c r="C675" s="66">
        <v>14.73</v>
      </c>
      <c r="D675" s="66">
        <v>12.62</v>
      </c>
      <c r="E675" s="66">
        <v>27.25</v>
      </c>
      <c r="F675" s="66">
        <v>6.83</v>
      </c>
      <c r="G675" s="65">
        <v>111.44999999999999</v>
      </c>
      <c r="H675" s="54">
        <v>6.0000000000000009</v>
      </c>
      <c r="I675" s="35"/>
    </row>
    <row r="676" spans="1:9" x14ac:dyDescent="0.2">
      <c r="A676" s="43" t="s">
        <v>72</v>
      </c>
      <c r="B676" s="66">
        <v>43.159999999999975</v>
      </c>
      <c r="C676" s="66">
        <v>12.44</v>
      </c>
      <c r="D676" s="66">
        <v>12.62</v>
      </c>
      <c r="E676" s="66">
        <v>27.25</v>
      </c>
      <c r="F676" s="66">
        <v>6.83</v>
      </c>
      <c r="G676" s="65">
        <v>102.29999999999997</v>
      </c>
      <c r="H676" s="54">
        <v>6.0000000000000009</v>
      </c>
      <c r="I676" s="35"/>
    </row>
    <row r="677" spans="1:9" x14ac:dyDescent="0.2">
      <c r="A677" s="43" t="s">
        <v>73</v>
      </c>
      <c r="B677" s="66">
        <v>39.429999999999978</v>
      </c>
      <c r="C677" s="66">
        <v>11.19</v>
      </c>
      <c r="D677" s="66">
        <v>12.62</v>
      </c>
      <c r="E677" s="66">
        <v>27.25</v>
      </c>
      <c r="F677" s="66">
        <v>6.83</v>
      </c>
      <c r="G677" s="65">
        <v>97.319999999999979</v>
      </c>
      <c r="H677" s="54">
        <v>6.0000000000000009</v>
      </c>
      <c r="I677" s="35"/>
    </row>
    <row r="678" spans="1:9" x14ac:dyDescent="0.2">
      <c r="A678" s="43" t="s">
        <v>74</v>
      </c>
      <c r="B678" s="66">
        <v>54.219999999999978</v>
      </c>
      <c r="C678" s="66">
        <v>16.14</v>
      </c>
      <c r="D678" s="66">
        <v>12.62</v>
      </c>
      <c r="E678" s="66">
        <v>27.25</v>
      </c>
      <c r="F678" s="66">
        <v>6.83</v>
      </c>
      <c r="G678" s="65">
        <v>117.05999999999999</v>
      </c>
      <c r="H678" s="54">
        <v>6.0000000000000009</v>
      </c>
      <c r="I678" s="35"/>
    </row>
    <row r="679" spans="1:9" x14ac:dyDescent="0.2">
      <c r="A679" s="43" t="s">
        <v>75</v>
      </c>
      <c r="B679" s="66">
        <v>46.309999999999981</v>
      </c>
      <c r="C679" s="66">
        <v>13.5</v>
      </c>
      <c r="D679" s="66">
        <v>12.62</v>
      </c>
      <c r="E679" s="66">
        <v>27.25</v>
      </c>
      <c r="F679" s="66">
        <v>6.83</v>
      </c>
      <c r="G679" s="65">
        <v>106.50999999999998</v>
      </c>
      <c r="H679" s="54">
        <v>6.0000000000000009</v>
      </c>
      <c r="I679" s="35"/>
    </row>
    <row r="680" spans="1:9" x14ac:dyDescent="0.2">
      <c r="A680" s="43" t="s">
        <v>76</v>
      </c>
      <c r="B680" s="66">
        <v>41.809999999999981</v>
      </c>
      <c r="C680" s="66">
        <v>11.99</v>
      </c>
      <c r="D680" s="66">
        <v>12.62</v>
      </c>
      <c r="E680" s="66">
        <v>27.25</v>
      </c>
      <c r="F680" s="66">
        <v>6.83</v>
      </c>
      <c r="G680" s="65">
        <v>100.49999999999999</v>
      </c>
      <c r="H680" s="54">
        <v>6.0000000000000009</v>
      </c>
      <c r="I680" s="35"/>
    </row>
    <row r="681" spans="1:9" x14ac:dyDescent="0.2">
      <c r="A681" s="43" t="s">
        <v>77</v>
      </c>
      <c r="B681" s="66">
        <v>35.069999999999979</v>
      </c>
      <c r="C681" s="66">
        <v>9.74</v>
      </c>
      <c r="D681" s="66">
        <v>12.62</v>
      </c>
      <c r="E681" s="66">
        <v>27.25</v>
      </c>
      <c r="F681" s="66">
        <v>6.83</v>
      </c>
      <c r="G681" s="65">
        <v>91.509999999999977</v>
      </c>
      <c r="H681" s="54">
        <v>6.0000000000000009</v>
      </c>
      <c r="I681" s="35"/>
    </row>
    <row r="682" spans="1:9" x14ac:dyDescent="0.2">
      <c r="A682" s="43" t="s">
        <v>78</v>
      </c>
      <c r="B682" s="66">
        <v>60.619999999999976</v>
      </c>
      <c r="C682" s="66">
        <v>18.29</v>
      </c>
      <c r="D682" s="66">
        <v>12.62</v>
      </c>
      <c r="E682" s="66">
        <v>27.25</v>
      </c>
      <c r="F682" s="66">
        <v>6.83</v>
      </c>
      <c r="G682" s="65">
        <v>125.60999999999997</v>
      </c>
      <c r="H682" s="54">
        <v>6.0000000000000009</v>
      </c>
      <c r="I682" s="35"/>
    </row>
    <row r="683" spans="1:9" x14ac:dyDescent="0.2">
      <c r="A683" s="43" t="s">
        <v>79</v>
      </c>
      <c r="B683" s="66">
        <v>55.719999999999978</v>
      </c>
      <c r="C683" s="66">
        <v>16.64</v>
      </c>
      <c r="D683" s="66">
        <v>12.62</v>
      </c>
      <c r="E683" s="66">
        <v>27.25</v>
      </c>
      <c r="F683" s="66">
        <v>6.83</v>
      </c>
      <c r="G683" s="65">
        <v>119.05999999999999</v>
      </c>
      <c r="H683" s="54">
        <v>6.0000000000000009</v>
      </c>
      <c r="I683" s="35"/>
    </row>
    <row r="684" spans="1:9" x14ac:dyDescent="0.2">
      <c r="A684" s="43" t="s">
        <v>80</v>
      </c>
      <c r="B684" s="66">
        <v>56.909999999999975</v>
      </c>
      <c r="C684" s="66">
        <v>17.04</v>
      </c>
      <c r="D684" s="66">
        <v>12.62</v>
      </c>
      <c r="E684" s="66">
        <v>27.25</v>
      </c>
      <c r="F684" s="66">
        <v>6.83</v>
      </c>
      <c r="G684" s="65">
        <v>120.64999999999998</v>
      </c>
      <c r="H684" s="54">
        <v>6.0000000000000009</v>
      </c>
      <c r="I684" s="35"/>
    </row>
    <row r="685" spans="1:9" x14ac:dyDescent="0.2">
      <c r="A685" s="43" t="s">
        <v>53</v>
      </c>
      <c r="B685" s="66">
        <v>51.84999999999998</v>
      </c>
      <c r="C685" s="66">
        <v>15.35</v>
      </c>
      <c r="D685" s="66">
        <v>12.62</v>
      </c>
      <c r="E685" s="66">
        <v>27.25</v>
      </c>
      <c r="F685" s="66">
        <v>6.83</v>
      </c>
      <c r="G685" s="65">
        <v>113.89999999999998</v>
      </c>
      <c r="H685" s="54">
        <v>6.0000000000000009</v>
      </c>
      <c r="I685" s="35"/>
    </row>
    <row r="686" spans="1:9" x14ac:dyDescent="0.2">
      <c r="A686" s="43" t="s">
        <v>81</v>
      </c>
      <c r="B686" s="66">
        <v>49.699999999999982</v>
      </c>
      <c r="C686" s="66">
        <v>14.63</v>
      </c>
      <c r="D686" s="66">
        <v>12.62</v>
      </c>
      <c r="E686" s="66">
        <v>27.25</v>
      </c>
      <c r="F686" s="66">
        <v>6.83</v>
      </c>
      <c r="G686" s="65">
        <v>111.02999999999999</v>
      </c>
      <c r="H686" s="54">
        <v>6.0000000000000009</v>
      </c>
      <c r="I686" s="35"/>
    </row>
    <row r="687" spans="1:9" x14ac:dyDescent="0.2">
      <c r="A687" s="43" t="s">
        <v>82</v>
      </c>
      <c r="B687" s="66">
        <v>46.469999999999978</v>
      </c>
      <c r="C687" s="66">
        <v>13.55</v>
      </c>
      <c r="D687" s="66">
        <v>12.62</v>
      </c>
      <c r="E687" s="66">
        <v>27.25</v>
      </c>
      <c r="F687" s="66">
        <v>6.83</v>
      </c>
      <c r="G687" s="65">
        <v>106.71999999999998</v>
      </c>
      <c r="H687" s="54">
        <v>6.0000000000000009</v>
      </c>
      <c r="I687" s="35"/>
    </row>
    <row r="688" spans="1:9" x14ac:dyDescent="0.2">
      <c r="A688" s="43" t="s">
        <v>83</v>
      </c>
      <c r="B688" s="66">
        <v>44.479999999999976</v>
      </c>
      <c r="C688" s="66">
        <v>12.88</v>
      </c>
      <c r="D688" s="66">
        <v>12.62</v>
      </c>
      <c r="E688" s="66">
        <v>27.25</v>
      </c>
      <c r="F688" s="66">
        <v>6.83</v>
      </c>
      <c r="G688" s="65">
        <v>104.05999999999997</v>
      </c>
      <c r="H688" s="54">
        <v>6.0000000000000009</v>
      </c>
      <c r="I688" s="35"/>
    </row>
    <row r="689" spans="1:9" x14ac:dyDescent="0.2">
      <c r="A689" s="43" t="s">
        <v>84</v>
      </c>
      <c r="B689" s="66">
        <v>40.91999999999998</v>
      </c>
      <c r="C689" s="66">
        <v>11.69</v>
      </c>
      <c r="D689" s="66">
        <v>12.62</v>
      </c>
      <c r="E689" s="66">
        <v>27.25</v>
      </c>
      <c r="F689" s="66">
        <v>6.83</v>
      </c>
      <c r="G689" s="65">
        <v>99.309999999999974</v>
      </c>
      <c r="H689" s="54">
        <v>6.0000000000000009</v>
      </c>
      <c r="I689" s="35"/>
    </row>
    <row r="690" spans="1:9" x14ac:dyDescent="0.2">
      <c r="A690" s="43" t="s">
        <v>85</v>
      </c>
      <c r="B690" s="66">
        <v>36.569999999999979</v>
      </c>
      <c r="C690" s="66">
        <v>10.23</v>
      </c>
      <c r="D690" s="66">
        <v>12.62</v>
      </c>
      <c r="E690" s="66">
        <v>27.25</v>
      </c>
      <c r="F690" s="66">
        <v>6.83</v>
      </c>
      <c r="G690" s="65">
        <v>93.499999999999986</v>
      </c>
      <c r="H690" s="54">
        <v>6.0000000000000009</v>
      </c>
      <c r="I690" s="35"/>
    </row>
    <row r="691" spans="1:9" x14ac:dyDescent="0.2">
      <c r="A691" s="43" t="s">
        <v>86</v>
      </c>
      <c r="B691" s="66">
        <v>32.859999999999978</v>
      </c>
      <c r="C691" s="66">
        <v>9</v>
      </c>
      <c r="D691" s="66">
        <v>12.62</v>
      </c>
      <c r="E691" s="66">
        <v>27.25</v>
      </c>
      <c r="F691" s="66">
        <v>6.83</v>
      </c>
      <c r="G691" s="65">
        <v>88.559999999999974</v>
      </c>
      <c r="H691" s="54">
        <v>6.0000000000000009</v>
      </c>
      <c r="I691" s="35"/>
    </row>
    <row r="692" spans="1:9" x14ac:dyDescent="0.2">
      <c r="A692" s="45" t="s">
        <v>87</v>
      </c>
      <c r="B692" s="66">
        <v>32.859999999999978</v>
      </c>
      <c r="C692" s="66">
        <v>9</v>
      </c>
      <c r="D692" s="66">
        <v>12.62</v>
      </c>
      <c r="E692" s="66">
        <v>27.25</v>
      </c>
      <c r="F692" s="66">
        <v>6.83</v>
      </c>
      <c r="G692" s="65">
        <v>88.559999999999974</v>
      </c>
      <c r="H692" s="54">
        <v>6.0000000000000009</v>
      </c>
      <c r="I692" s="35"/>
    </row>
    <row r="693" spans="1:9" x14ac:dyDescent="0.2">
      <c r="A693" s="45" t="s">
        <v>88</v>
      </c>
      <c r="B693" s="66">
        <v>32.859999999999978</v>
      </c>
      <c r="C693" s="66">
        <v>9</v>
      </c>
      <c r="D693" s="66">
        <v>12.62</v>
      </c>
      <c r="E693" s="66">
        <v>27.25</v>
      </c>
      <c r="F693" s="66">
        <v>6.83</v>
      </c>
      <c r="G693" s="65">
        <v>88.559999999999974</v>
      </c>
      <c r="H693" s="54">
        <v>6.0000000000000009</v>
      </c>
      <c r="I693" s="35"/>
    </row>
    <row r="694" spans="1:9" x14ac:dyDescent="0.2">
      <c r="A694" s="55"/>
      <c r="B694" s="56"/>
      <c r="C694" s="33"/>
      <c r="D694" s="33"/>
      <c r="E694" s="33"/>
      <c r="F694" s="33"/>
      <c r="G694" s="57"/>
      <c r="H694" s="54"/>
      <c r="I694" s="33"/>
    </row>
    <row r="695" spans="1:9" x14ac:dyDescent="0.2">
      <c r="A695" s="58" t="s">
        <v>119</v>
      </c>
      <c r="B695" s="64">
        <v>96.81</v>
      </c>
      <c r="C695" s="64">
        <v>31.81</v>
      </c>
      <c r="D695" s="49"/>
      <c r="E695" s="49"/>
      <c r="F695" s="49"/>
      <c r="G695" s="50">
        <v>128.62</v>
      </c>
      <c r="H695" s="54">
        <v>0</v>
      </c>
      <c r="I695" s="33"/>
    </row>
    <row r="696" spans="1:9" x14ac:dyDescent="0.2">
      <c r="A696" s="51" t="s">
        <v>120</v>
      </c>
      <c r="B696" s="64">
        <v>38.72</v>
      </c>
      <c r="C696" s="64">
        <v>12.73</v>
      </c>
      <c r="D696" s="49"/>
      <c r="E696" s="49"/>
      <c r="F696" s="49"/>
      <c r="G696" s="50">
        <v>51.45</v>
      </c>
      <c r="H696" s="54">
        <v>0</v>
      </c>
      <c r="I696" s="33"/>
    </row>
    <row r="697" spans="1:9" x14ac:dyDescent="0.2">
      <c r="A697" s="59" t="s">
        <v>121</v>
      </c>
      <c r="B697" s="64">
        <v>58.09</v>
      </c>
      <c r="C697" s="64">
        <v>19.079999999999998</v>
      </c>
      <c r="D697" s="49"/>
      <c r="E697" s="49"/>
      <c r="F697" s="49"/>
      <c r="G697" s="50">
        <v>77.17</v>
      </c>
      <c r="H697" s="54">
        <v>0</v>
      </c>
      <c r="I697" s="33"/>
    </row>
    <row r="699" spans="1:9" ht="15.75" x14ac:dyDescent="0.25">
      <c r="A699" s="41" t="s">
        <v>152</v>
      </c>
      <c r="B699" s="42"/>
      <c r="C699" s="42"/>
      <c r="D699" s="42"/>
      <c r="E699" s="42"/>
      <c r="F699" s="42"/>
      <c r="G699" s="42"/>
      <c r="H699" s="52"/>
      <c r="I699" s="33"/>
    </row>
    <row r="700" spans="1:9" ht="76.5" x14ac:dyDescent="0.2">
      <c r="A700" s="37" t="s">
        <v>92</v>
      </c>
      <c r="B700" s="61" t="s">
        <v>114</v>
      </c>
      <c r="C700" s="61" t="s">
        <v>115</v>
      </c>
      <c r="D700" s="62" t="s">
        <v>116</v>
      </c>
      <c r="E700" s="61" t="s">
        <v>117</v>
      </c>
      <c r="F700" s="61" t="s">
        <v>118</v>
      </c>
      <c r="G700" s="62" t="s">
        <v>15</v>
      </c>
      <c r="H700" s="53" t="s">
        <v>153</v>
      </c>
      <c r="I700" s="33"/>
    </row>
    <row r="701" spans="1:9" x14ac:dyDescent="0.2">
      <c r="A701" s="43" t="s">
        <v>54</v>
      </c>
      <c r="B701" s="66">
        <v>116.2700000000001</v>
      </c>
      <c r="C701" s="66">
        <v>36.79</v>
      </c>
      <c r="D701" s="66">
        <v>12.62</v>
      </c>
      <c r="E701" s="66">
        <v>27.25</v>
      </c>
      <c r="F701" s="66">
        <v>6.83</v>
      </c>
      <c r="G701" s="65">
        <v>199.7600000000001</v>
      </c>
      <c r="H701" s="54">
        <v>6.4000000000000012</v>
      </c>
      <c r="I701" s="35"/>
    </row>
    <row r="702" spans="1:9" x14ac:dyDescent="0.2">
      <c r="A702" s="43" t="s">
        <v>55</v>
      </c>
      <c r="B702" s="66">
        <v>99.37000000000009</v>
      </c>
      <c r="C702" s="66">
        <v>31.12</v>
      </c>
      <c r="D702" s="66">
        <v>12.62</v>
      </c>
      <c r="E702" s="66">
        <v>27.25</v>
      </c>
      <c r="F702" s="66">
        <v>6.83</v>
      </c>
      <c r="G702" s="65">
        <v>177.19000000000011</v>
      </c>
      <c r="H702" s="54">
        <v>6.4000000000000012</v>
      </c>
      <c r="I702" s="35"/>
    </row>
    <row r="703" spans="1:9" x14ac:dyDescent="0.2">
      <c r="A703" s="43" t="s">
        <v>56</v>
      </c>
      <c r="B703" s="66">
        <v>91.580000000000098</v>
      </c>
      <c r="C703" s="66">
        <v>28.52</v>
      </c>
      <c r="D703" s="66">
        <v>12.62</v>
      </c>
      <c r="E703" s="66">
        <v>27.25</v>
      </c>
      <c r="F703" s="66">
        <v>6.83</v>
      </c>
      <c r="G703" s="65">
        <v>166.8000000000001</v>
      </c>
      <c r="H703" s="54">
        <v>6.4000000000000012</v>
      </c>
      <c r="I703" s="35"/>
    </row>
    <row r="704" spans="1:9" x14ac:dyDescent="0.2">
      <c r="A704" s="43" t="s">
        <v>57</v>
      </c>
      <c r="B704" s="66">
        <v>77.100000000000094</v>
      </c>
      <c r="C704" s="66">
        <v>23.67</v>
      </c>
      <c r="D704" s="66">
        <v>12.62</v>
      </c>
      <c r="E704" s="66">
        <v>27.25</v>
      </c>
      <c r="F704" s="66">
        <v>6.83</v>
      </c>
      <c r="G704" s="65">
        <v>147.47000000000011</v>
      </c>
      <c r="H704" s="54">
        <v>6.4000000000000012</v>
      </c>
      <c r="I704" s="35"/>
    </row>
    <row r="705" spans="1:9" x14ac:dyDescent="0.2">
      <c r="A705" s="43" t="s">
        <v>58</v>
      </c>
      <c r="B705" s="66">
        <v>144.4200000000001</v>
      </c>
      <c r="C705" s="66">
        <v>46.21</v>
      </c>
      <c r="D705" s="66">
        <v>12.62</v>
      </c>
      <c r="E705" s="66">
        <v>27.25</v>
      </c>
      <c r="F705" s="66">
        <v>6.83</v>
      </c>
      <c r="G705" s="65">
        <v>237.33000000000013</v>
      </c>
      <c r="H705" s="54">
        <v>6.4000000000000012</v>
      </c>
      <c r="I705" s="35"/>
    </row>
    <row r="706" spans="1:9" x14ac:dyDescent="0.2">
      <c r="A706" s="43" t="s">
        <v>59</v>
      </c>
      <c r="B706" s="66">
        <v>118.3000000000001</v>
      </c>
      <c r="C706" s="66">
        <v>37.47</v>
      </c>
      <c r="D706" s="66">
        <v>12.62</v>
      </c>
      <c r="E706" s="66">
        <v>27.25</v>
      </c>
      <c r="F706" s="66">
        <v>6.83</v>
      </c>
      <c r="G706" s="65">
        <v>202.47000000000011</v>
      </c>
      <c r="H706" s="54">
        <v>6.4000000000000012</v>
      </c>
      <c r="I706" s="35"/>
    </row>
    <row r="707" spans="1:9" x14ac:dyDescent="0.2">
      <c r="A707" s="43" t="s">
        <v>60</v>
      </c>
      <c r="B707" s="66">
        <v>98.960000000000093</v>
      </c>
      <c r="C707" s="66">
        <v>30.99</v>
      </c>
      <c r="D707" s="66">
        <v>12.62</v>
      </c>
      <c r="E707" s="66">
        <v>27.25</v>
      </c>
      <c r="F707" s="66">
        <v>6.83</v>
      </c>
      <c r="G707" s="65">
        <v>176.65000000000012</v>
      </c>
      <c r="H707" s="54">
        <v>6.4000000000000012</v>
      </c>
      <c r="I707" s="35"/>
    </row>
    <row r="708" spans="1:9" x14ac:dyDescent="0.2">
      <c r="A708" s="43" t="s">
        <v>61</v>
      </c>
      <c r="B708" s="66">
        <v>95.980000000000089</v>
      </c>
      <c r="C708" s="66">
        <v>29.99</v>
      </c>
      <c r="D708" s="66">
        <v>12.62</v>
      </c>
      <c r="E708" s="66">
        <v>27.25</v>
      </c>
      <c r="F708" s="66">
        <v>6.83</v>
      </c>
      <c r="G708" s="65">
        <v>172.6700000000001</v>
      </c>
      <c r="H708" s="54">
        <v>6.4000000000000012</v>
      </c>
      <c r="I708" s="35"/>
    </row>
    <row r="709" spans="1:9" x14ac:dyDescent="0.2">
      <c r="A709" s="43" t="s">
        <v>62</v>
      </c>
      <c r="B709" s="66">
        <v>89.180000000000092</v>
      </c>
      <c r="C709" s="66">
        <v>27.71</v>
      </c>
      <c r="D709" s="66">
        <v>12.62</v>
      </c>
      <c r="E709" s="66">
        <v>27.25</v>
      </c>
      <c r="F709" s="66">
        <v>6.83</v>
      </c>
      <c r="G709" s="65">
        <v>163.59000000000012</v>
      </c>
      <c r="H709" s="54">
        <v>6.4000000000000012</v>
      </c>
      <c r="I709" s="35"/>
    </row>
    <row r="710" spans="1:9" x14ac:dyDescent="0.2">
      <c r="A710" s="43" t="s">
        <v>63</v>
      </c>
      <c r="B710" s="66">
        <v>88.910000000000096</v>
      </c>
      <c r="C710" s="66">
        <v>27.62</v>
      </c>
      <c r="D710" s="66">
        <v>12.62</v>
      </c>
      <c r="E710" s="66">
        <v>27.25</v>
      </c>
      <c r="F710" s="66">
        <v>6.83</v>
      </c>
      <c r="G710" s="65">
        <v>163.2300000000001</v>
      </c>
      <c r="H710" s="54">
        <v>6.4000000000000012</v>
      </c>
      <c r="I710" s="35"/>
    </row>
    <row r="711" spans="1:9" x14ac:dyDescent="0.2">
      <c r="A711" s="43" t="s">
        <v>64</v>
      </c>
      <c r="B711" s="66">
        <v>73.160000000000096</v>
      </c>
      <c r="C711" s="66">
        <v>22.36</v>
      </c>
      <c r="D711" s="66">
        <v>12.62</v>
      </c>
      <c r="E711" s="66">
        <v>27.25</v>
      </c>
      <c r="F711" s="66">
        <v>6.83</v>
      </c>
      <c r="G711" s="65">
        <v>142.22000000000011</v>
      </c>
      <c r="H711" s="54">
        <v>6.4000000000000012</v>
      </c>
      <c r="I711" s="35"/>
    </row>
    <row r="712" spans="1:9" x14ac:dyDescent="0.2">
      <c r="A712" s="43" t="s">
        <v>65</v>
      </c>
      <c r="B712" s="66">
        <v>67.80000000000004</v>
      </c>
      <c r="C712" s="66">
        <v>20.55</v>
      </c>
      <c r="D712" s="66">
        <v>12.62</v>
      </c>
      <c r="E712" s="66">
        <v>27.25</v>
      </c>
      <c r="F712" s="66">
        <v>6.83</v>
      </c>
      <c r="G712" s="65">
        <v>135.05000000000004</v>
      </c>
      <c r="H712" s="54">
        <v>6.4000000000000012</v>
      </c>
      <c r="I712" s="35"/>
    </row>
    <row r="713" spans="1:9" x14ac:dyDescent="0.2">
      <c r="A713" s="43" t="s">
        <v>66</v>
      </c>
      <c r="B713" s="66">
        <v>64.749999999999986</v>
      </c>
      <c r="C713" s="66">
        <v>19.54</v>
      </c>
      <c r="D713" s="66">
        <v>12.62</v>
      </c>
      <c r="E713" s="66">
        <v>27.25</v>
      </c>
      <c r="F713" s="66">
        <v>6.83</v>
      </c>
      <c r="G713" s="65">
        <v>130.99</v>
      </c>
      <c r="H713" s="54">
        <v>6.4000000000000012</v>
      </c>
      <c r="I713" s="35"/>
    </row>
    <row r="714" spans="1:9" x14ac:dyDescent="0.2">
      <c r="A714" s="43" t="s">
        <v>67</v>
      </c>
      <c r="B714" s="66">
        <v>60.52999999999998</v>
      </c>
      <c r="C714" s="66">
        <v>18.13</v>
      </c>
      <c r="D714" s="66">
        <v>12.62</v>
      </c>
      <c r="E714" s="66">
        <v>27.25</v>
      </c>
      <c r="F714" s="66">
        <v>6.83</v>
      </c>
      <c r="G714" s="65">
        <v>125.35999999999999</v>
      </c>
      <c r="H714" s="54">
        <v>6.4000000000000012</v>
      </c>
      <c r="I714" s="35"/>
    </row>
    <row r="715" spans="1:9" x14ac:dyDescent="0.2">
      <c r="A715" s="43" t="s">
        <v>68</v>
      </c>
      <c r="B715" s="66">
        <v>56.019999999999975</v>
      </c>
      <c r="C715" s="66">
        <v>16.62</v>
      </c>
      <c r="D715" s="66">
        <v>12.62</v>
      </c>
      <c r="E715" s="66">
        <v>27.25</v>
      </c>
      <c r="F715" s="66">
        <v>6.83</v>
      </c>
      <c r="G715" s="65">
        <v>119.33999999999997</v>
      </c>
      <c r="H715" s="54">
        <v>6.4000000000000012</v>
      </c>
      <c r="I715" s="35"/>
    </row>
    <row r="716" spans="1:9" x14ac:dyDescent="0.2">
      <c r="A716" s="43" t="s">
        <v>69</v>
      </c>
      <c r="B716" s="66">
        <v>50.949999999999974</v>
      </c>
      <c r="C716" s="66">
        <v>14.91</v>
      </c>
      <c r="D716" s="66">
        <v>12.62</v>
      </c>
      <c r="E716" s="66">
        <v>27.25</v>
      </c>
      <c r="F716" s="66">
        <v>6.83</v>
      </c>
      <c r="G716" s="65">
        <v>112.55999999999997</v>
      </c>
      <c r="H716" s="54">
        <v>6.4000000000000012</v>
      </c>
      <c r="I716" s="35"/>
    </row>
    <row r="717" spans="1:9" x14ac:dyDescent="0.2">
      <c r="A717" s="43" t="s">
        <v>70</v>
      </c>
      <c r="B717" s="66">
        <v>56.159999999999975</v>
      </c>
      <c r="C717" s="66">
        <v>16.649999999999999</v>
      </c>
      <c r="D717" s="66">
        <v>12.62</v>
      </c>
      <c r="E717" s="66">
        <v>27.25</v>
      </c>
      <c r="F717" s="66">
        <v>6.83</v>
      </c>
      <c r="G717" s="65">
        <v>119.50999999999998</v>
      </c>
      <c r="H717" s="54">
        <v>6.4000000000000012</v>
      </c>
      <c r="I717" s="35"/>
    </row>
    <row r="718" spans="1:9" x14ac:dyDescent="0.2">
      <c r="A718" s="43" t="s">
        <v>71</v>
      </c>
      <c r="B718" s="66">
        <v>50.41999999999998</v>
      </c>
      <c r="C718" s="66">
        <v>14.73</v>
      </c>
      <c r="D718" s="66">
        <v>12.62</v>
      </c>
      <c r="E718" s="66">
        <v>27.25</v>
      </c>
      <c r="F718" s="66">
        <v>6.83</v>
      </c>
      <c r="G718" s="65">
        <v>111.84999999999998</v>
      </c>
      <c r="H718" s="54">
        <v>6.4000000000000012</v>
      </c>
      <c r="I718" s="35"/>
    </row>
    <row r="719" spans="1:9" x14ac:dyDescent="0.2">
      <c r="A719" s="43" t="s">
        <v>72</v>
      </c>
      <c r="B719" s="66">
        <v>43.559999999999974</v>
      </c>
      <c r="C719" s="66">
        <v>12.44</v>
      </c>
      <c r="D719" s="66">
        <v>12.62</v>
      </c>
      <c r="E719" s="66">
        <v>27.25</v>
      </c>
      <c r="F719" s="66">
        <v>6.83</v>
      </c>
      <c r="G719" s="65">
        <v>102.69999999999997</v>
      </c>
      <c r="H719" s="54">
        <v>6.4000000000000012</v>
      </c>
      <c r="I719" s="35"/>
    </row>
    <row r="720" spans="1:9" x14ac:dyDescent="0.2">
      <c r="A720" s="43" t="s">
        <v>73</v>
      </c>
      <c r="B720" s="66">
        <v>39.829999999999977</v>
      </c>
      <c r="C720" s="66">
        <v>11.19</v>
      </c>
      <c r="D720" s="66">
        <v>12.62</v>
      </c>
      <c r="E720" s="66">
        <v>27.25</v>
      </c>
      <c r="F720" s="66">
        <v>6.83</v>
      </c>
      <c r="G720" s="65">
        <v>97.71999999999997</v>
      </c>
      <c r="H720" s="54">
        <v>6.4000000000000012</v>
      </c>
      <c r="I720" s="35"/>
    </row>
    <row r="721" spans="1:9" x14ac:dyDescent="0.2">
      <c r="A721" s="43" t="s">
        <v>74</v>
      </c>
      <c r="B721" s="66">
        <v>54.619999999999976</v>
      </c>
      <c r="C721" s="66">
        <v>16.14</v>
      </c>
      <c r="D721" s="66">
        <v>12.62</v>
      </c>
      <c r="E721" s="66">
        <v>27.25</v>
      </c>
      <c r="F721" s="66">
        <v>6.83</v>
      </c>
      <c r="G721" s="65">
        <v>117.45999999999998</v>
      </c>
      <c r="H721" s="54">
        <v>6.4000000000000012</v>
      </c>
      <c r="I721" s="35"/>
    </row>
    <row r="722" spans="1:9" x14ac:dyDescent="0.2">
      <c r="A722" s="43" t="s">
        <v>75</v>
      </c>
      <c r="B722" s="66">
        <v>46.70999999999998</v>
      </c>
      <c r="C722" s="66">
        <v>13.5</v>
      </c>
      <c r="D722" s="66">
        <v>12.62</v>
      </c>
      <c r="E722" s="66">
        <v>27.25</v>
      </c>
      <c r="F722" s="66">
        <v>6.83</v>
      </c>
      <c r="G722" s="65">
        <v>106.90999999999998</v>
      </c>
      <c r="H722" s="54">
        <v>6.4000000000000012</v>
      </c>
      <c r="I722" s="35"/>
    </row>
    <row r="723" spans="1:9" x14ac:dyDescent="0.2">
      <c r="A723" s="43" t="s">
        <v>76</v>
      </c>
      <c r="B723" s="66">
        <v>42.20999999999998</v>
      </c>
      <c r="C723" s="66">
        <v>11.99</v>
      </c>
      <c r="D723" s="66">
        <v>12.62</v>
      </c>
      <c r="E723" s="66">
        <v>27.25</v>
      </c>
      <c r="F723" s="66">
        <v>6.83</v>
      </c>
      <c r="G723" s="65">
        <v>100.89999999999998</v>
      </c>
      <c r="H723" s="54">
        <v>6.4000000000000012</v>
      </c>
      <c r="I723" s="35"/>
    </row>
    <row r="724" spans="1:9" x14ac:dyDescent="0.2">
      <c r="A724" s="43" t="s">
        <v>77</v>
      </c>
      <c r="B724" s="66">
        <v>35.469999999999978</v>
      </c>
      <c r="C724" s="66">
        <v>9.74</v>
      </c>
      <c r="D724" s="66">
        <v>12.62</v>
      </c>
      <c r="E724" s="66">
        <v>27.25</v>
      </c>
      <c r="F724" s="66">
        <v>6.83</v>
      </c>
      <c r="G724" s="65">
        <v>91.909999999999982</v>
      </c>
      <c r="H724" s="54">
        <v>6.4000000000000012</v>
      </c>
      <c r="I724" s="35"/>
    </row>
    <row r="725" spans="1:9" x14ac:dyDescent="0.2">
      <c r="A725" s="43" t="s">
        <v>78</v>
      </c>
      <c r="B725" s="66">
        <v>61.019999999999975</v>
      </c>
      <c r="C725" s="66">
        <v>18.29</v>
      </c>
      <c r="D725" s="66">
        <v>12.62</v>
      </c>
      <c r="E725" s="66">
        <v>27.25</v>
      </c>
      <c r="F725" s="66">
        <v>6.83</v>
      </c>
      <c r="G725" s="65">
        <v>126.00999999999998</v>
      </c>
      <c r="H725" s="54">
        <v>6.4000000000000012</v>
      </c>
      <c r="I725" s="35"/>
    </row>
    <row r="726" spans="1:9" x14ac:dyDescent="0.2">
      <c r="A726" s="43" t="s">
        <v>79</v>
      </c>
      <c r="B726" s="66">
        <v>56.119999999999976</v>
      </c>
      <c r="C726" s="66">
        <v>16.64</v>
      </c>
      <c r="D726" s="66">
        <v>12.62</v>
      </c>
      <c r="E726" s="66">
        <v>27.25</v>
      </c>
      <c r="F726" s="66">
        <v>6.83</v>
      </c>
      <c r="G726" s="65">
        <v>119.45999999999998</v>
      </c>
      <c r="H726" s="54">
        <v>6.4000000000000012</v>
      </c>
      <c r="I726" s="35"/>
    </row>
    <row r="727" spans="1:9" x14ac:dyDescent="0.2">
      <c r="A727" s="43" t="s">
        <v>80</v>
      </c>
      <c r="B727" s="66">
        <v>57.309999999999974</v>
      </c>
      <c r="C727" s="66">
        <v>17.04</v>
      </c>
      <c r="D727" s="66">
        <v>12.62</v>
      </c>
      <c r="E727" s="66">
        <v>27.25</v>
      </c>
      <c r="F727" s="66">
        <v>6.83</v>
      </c>
      <c r="G727" s="65">
        <v>121.04999999999997</v>
      </c>
      <c r="H727" s="54">
        <v>6.4000000000000012</v>
      </c>
      <c r="I727" s="35"/>
    </row>
    <row r="728" spans="1:9" x14ac:dyDescent="0.2">
      <c r="A728" s="43" t="s">
        <v>53</v>
      </c>
      <c r="B728" s="66">
        <v>52.249999999999979</v>
      </c>
      <c r="C728" s="66">
        <v>15.35</v>
      </c>
      <c r="D728" s="66">
        <v>12.62</v>
      </c>
      <c r="E728" s="66">
        <v>27.25</v>
      </c>
      <c r="F728" s="66">
        <v>6.83</v>
      </c>
      <c r="G728" s="65">
        <v>114.29999999999998</v>
      </c>
      <c r="H728" s="54">
        <v>6.4000000000000012</v>
      </c>
      <c r="I728" s="35"/>
    </row>
    <row r="729" spans="1:9" x14ac:dyDescent="0.2">
      <c r="A729" s="43" t="s">
        <v>81</v>
      </c>
      <c r="B729" s="66">
        <v>50.09999999999998</v>
      </c>
      <c r="C729" s="66">
        <v>14.63</v>
      </c>
      <c r="D729" s="66">
        <v>12.62</v>
      </c>
      <c r="E729" s="66">
        <v>27.25</v>
      </c>
      <c r="F729" s="66">
        <v>6.83</v>
      </c>
      <c r="G729" s="65">
        <v>111.42999999999998</v>
      </c>
      <c r="H729" s="54">
        <v>6.4000000000000012</v>
      </c>
      <c r="I729" s="35"/>
    </row>
    <row r="730" spans="1:9" x14ac:dyDescent="0.2">
      <c r="A730" s="43" t="s">
        <v>82</v>
      </c>
      <c r="B730" s="66">
        <v>46.869999999999976</v>
      </c>
      <c r="C730" s="66">
        <v>13.55</v>
      </c>
      <c r="D730" s="66">
        <v>12.62</v>
      </c>
      <c r="E730" s="66">
        <v>27.25</v>
      </c>
      <c r="F730" s="66">
        <v>6.83</v>
      </c>
      <c r="G730" s="65">
        <v>107.11999999999998</v>
      </c>
      <c r="H730" s="54">
        <v>6.4000000000000012</v>
      </c>
      <c r="I730" s="35"/>
    </row>
    <row r="731" spans="1:9" x14ac:dyDescent="0.2">
      <c r="A731" s="43" t="s">
        <v>83</v>
      </c>
      <c r="B731" s="66">
        <v>44.879999999999974</v>
      </c>
      <c r="C731" s="66">
        <v>12.88</v>
      </c>
      <c r="D731" s="66">
        <v>12.62</v>
      </c>
      <c r="E731" s="66">
        <v>27.25</v>
      </c>
      <c r="F731" s="66">
        <v>6.83</v>
      </c>
      <c r="G731" s="65">
        <v>104.45999999999998</v>
      </c>
      <c r="H731" s="54">
        <v>6.4000000000000012</v>
      </c>
      <c r="I731" s="35"/>
    </row>
    <row r="732" spans="1:9" x14ac:dyDescent="0.2">
      <c r="A732" s="43" t="s">
        <v>84</v>
      </c>
      <c r="B732" s="66">
        <v>41.319999999999979</v>
      </c>
      <c r="C732" s="66">
        <v>11.69</v>
      </c>
      <c r="D732" s="66">
        <v>12.62</v>
      </c>
      <c r="E732" s="66">
        <v>27.25</v>
      </c>
      <c r="F732" s="66">
        <v>6.83</v>
      </c>
      <c r="G732" s="65">
        <v>99.70999999999998</v>
      </c>
      <c r="H732" s="54">
        <v>6.4000000000000012</v>
      </c>
      <c r="I732" s="35"/>
    </row>
    <row r="733" spans="1:9" x14ac:dyDescent="0.2">
      <c r="A733" s="43" t="s">
        <v>85</v>
      </c>
      <c r="B733" s="66">
        <v>36.969999999999978</v>
      </c>
      <c r="C733" s="66">
        <v>10.23</v>
      </c>
      <c r="D733" s="66">
        <v>12.62</v>
      </c>
      <c r="E733" s="66">
        <v>27.25</v>
      </c>
      <c r="F733" s="66">
        <v>6.83</v>
      </c>
      <c r="G733" s="65">
        <v>93.899999999999963</v>
      </c>
      <c r="H733" s="54">
        <v>6.4000000000000012</v>
      </c>
      <c r="I733" s="35"/>
    </row>
    <row r="734" spans="1:9" x14ac:dyDescent="0.2">
      <c r="A734" s="43" t="s">
        <v>86</v>
      </c>
      <c r="B734" s="66">
        <v>33.259999999999977</v>
      </c>
      <c r="C734" s="66">
        <v>9</v>
      </c>
      <c r="D734" s="66">
        <v>12.62</v>
      </c>
      <c r="E734" s="66">
        <v>27.25</v>
      </c>
      <c r="F734" s="66">
        <v>6.83</v>
      </c>
      <c r="G734" s="65">
        <v>88.959999999999965</v>
      </c>
      <c r="H734" s="54">
        <v>6.4000000000000012</v>
      </c>
      <c r="I734" s="35"/>
    </row>
    <row r="735" spans="1:9" x14ac:dyDescent="0.2">
      <c r="A735" s="45" t="s">
        <v>87</v>
      </c>
      <c r="B735" s="66">
        <v>33.259999999999977</v>
      </c>
      <c r="C735" s="66">
        <v>9</v>
      </c>
      <c r="D735" s="66">
        <v>12.62</v>
      </c>
      <c r="E735" s="66">
        <v>27.25</v>
      </c>
      <c r="F735" s="66">
        <v>6.83</v>
      </c>
      <c r="G735" s="65">
        <v>88.959999999999965</v>
      </c>
      <c r="H735" s="54">
        <v>6.4000000000000012</v>
      </c>
      <c r="I735" s="35"/>
    </row>
    <row r="736" spans="1:9" x14ac:dyDescent="0.2">
      <c r="A736" s="45" t="s">
        <v>88</v>
      </c>
      <c r="B736" s="66">
        <v>33.259999999999977</v>
      </c>
      <c r="C736" s="66">
        <v>9</v>
      </c>
      <c r="D736" s="66">
        <v>12.62</v>
      </c>
      <c r="E736" s="66">
        <v>27.25</v>
      </c>
      <c r="F736" s="66">
        <v>6.83</v>
      </c>
      <c r="G736" s="65">
        <v>88.959999999999965</v>
      </c>
      <c r="H736" s="54">
        <v>6.4000000000000012</v>
      </c>
      <c r="I736" s="35"/>
    </row>
    <row r="737" spans="1:9" x14ac:dyDescent="0.2">
      <c r="A737" s="55"/>
      <c r="B737" s="56"/>
      <c r="C737" s="33"/>
      <c r="D737" s="33"/>
      <c r="E737" s="33"/>
      <c r="F737" s="33"/>
      <c r="G737" s="57"/>
      <c r="H737" s="54"/>
      <c r="I737" s="33"/>
    </row>
    <row r="738" spans="1:9" x14ac:dyDescent="0.2">
      <c r="A738" s="58" t="s">
        <v>119</v>
      </c>
      <c r="B738" s="64">
        <v>96.81</v>
      </c>
      <c r="C738" s="64">
        <v>31.81</v>
      </c>
      <c r="D738" s="49"/>
      <c r="E738" s="49"/>
      <c r="F738" s="49"/>
      <c r="G738" s="50">
        <v>128.62</v>
      </c>
      <c r="H738" s="54">
        <v>0</v>
      </c>
      <c r="I738" s="33"/>
    </row>
    <row r="739" spans="1:9" x14ac:dyDescent="0.2">
      <c r="A739" s="51" t="s">
        <v>120</v>
      </c>
      <c r="B739" s="64">
        <v>38.72</v>
      </c>
      <c r="C739" s="64">
        <v>12.73</v>
      </c>
      <c r="D739" s="49"/>
      <c r="E739" s="49"/>
      <c r="F739" s="49"/>
      <c r="G739" s="50">
        <v>51.45</v>
      </c>
      <c r="H739" s="54">
        <v>0</v>
      </c>
      <c r="I739" s="33"/>
    </row>
    <row r="740" spans="1:9" x14ac:dyDescent="0.2">
      <c r="A740" s="59" t="s">
        <v>121</v>
      </c>
      <c r="B740" s="64">
        <v>58.09</v>
      </c>
      <c r="C740" s="64">
        <v>19.079999999999998</v>
      </c>
      <c r="D740" s="49"/>
      <c r="E740" s="49"/>
      <c r="F740" s="49"/>
      <c r="G740" s="50">
        <v>77.17</v>
      </c>
      <c r="H740" s="54">
        <v>0</v>
      </c>
      <c r="I740" s="33"/>
    </row>
    <row r="742" spans="1:9" ht="15.75" x14ac:dyDescent="0.25">
      <c r="A742" s="41" t="s">
        <v>154</v>
      </c>
      <c r="B742" s="42"/>
      <c r="C742" s="42"/>
      <c r="D742" s="42"/>
      <c r="E742" s="42"/>
      <c r="F742" s="42"/>
      <c r="G742" s="42"/>
      <c r="H742" s="52"/>
      <c r="I742" s="33"/>
    </row>
    <row r="743" spans="1:9" ht="76.5" x14ac:dyDescent="0.2">
      <c r="A743" s="37" t="s">
        <v>92</v>
      </c>
      <c r="B743" s="61" t="s">
        <v>114</v>
      </c>
      <c r="C743" s="61" t="s">
        <v>115</v>
      </c>
      <c r="D743" s="62" t="s">
        <v>116</v>
      </c>
      <c r="E743" s="61" t="s">
        <v>117</v>
      </c>
      <c r="F743" s="61" t="s">
        <v>118</v>
      </c>
      <c r="G743" s="62" t="s">
        <v>15</v>
      </c>
      <c r="H743" s="53" t="s">
        <v>155</v>
      </c>
      <c r="I743" s="33"/>
    </row>
    <row r="744" spans="1:9" x14ac:dyDescent="0.2">
      <c r="A744" s="43" t="s">
        <v>54</v>
      </c>
      <c r="B744" s="66">
        <v>116.6700000000001</v>
      </c>
      <c r="C744" s="66">
        <v>36.79</v>
      </c>
      <c r="D744" s="66">
        <v>12.62</v>
      </c>
      <c r="E744" s="66">
        <v>27.25</v>
      </c>
      <c r="F744" s="66">
        <v>6.83</v>
      </c>
      <c r="G744" s="65">
        <v>200.16000000000011</v>
      </c>
      <c r="H744" s="54">
        <v>6.8000000000000016</v>
      </c>
      <c r="I744" s="35"/>
    </row>
    <row r="745" spans="1:9" x14ac:dyDescent="0.2">
      <c r="A745" s="43" t="s">
        <v>55</v>
      </c>
      <c r="B745" s="66">
        <v>99.770000000000095</v>
      </c>
      <c r="C745" s="66">
        <v>31.12</v>
      </c>
      <c r="D745" s="66">
        <v>12.62</v>
      </c>
      <c r="E745" s="66">
        <v>27.25</v>
      </c>
      <c r="F745" s="66">
        <v>6.83</v>
      </c>
      <c r="G745" s="65">
        <v>177.59000000000012</v>
      </c>
      <c r="H745" s="54">
        <v>6.8000000000000016</v>
      </c>
      <c r="I745" s="35"/>
    </row>
    <row r="746" spans="1:9" x14ac:dyDescent="0.2">
      <c r="A746" s="43" t="s">
        <v>56</v>
      </c>
      <c r="B746" s="66">
        <v>91.980000000000103</v>
      </c>
      <c r="C746" s="66">
        <v>28.52</v>
      </c>
      <c r="D746" s="66">
        <v>12.62</v>
      </c>
      <c r="E746" s="66">
        <v>27.25</v>
      </c>
      <c r="F746" s="66">
        <v>6.83</v>
      </c>
      <c r="G746" s="65">
        <v>167.2000000000001</v>
      </c>
      <c r="H746" s="54">
        <v>6.8000000000000016</v>
      </c>
      <c r="I746" s="35"/>
    </row>
    <row r="747" spans="1:9" x14ac:dyDescent="0.2">
      <c r="A747" s="43" t="s">
        <v>57</v>
      </c>
      <c r="B747" s="66">
        <v>77.500000000000099</v>
      </c>
      <c r="C747" s="66">
        <v>23.67</v>
      </c>
      <c r="D747" s="66">
        <v>12.62</v>
      </c>
      <c r="E747" s="66">
        <v>27.25</v>
      </c>
      <c r="F747" s="66">
        <v>6.83</v>
      </c>
      <c r="G747" s="65">
        <v>147.87000000000012</v>
      </c>
      <c r="H747" s="54">
        <v>6.8000000000000016</v>
      </c>
      <c r="I747" s="35"/>
    </row>
    <row r="748" spans="1:9" x14ac:dyDescent="0.2">
      <c r="A748" s="43" t="s">
        <v>58</v>
      </c>
      <c r="B748" s="66">
        <v>144.82000000000011</v>
      </c>
      <c r="C748" s="66">
        <v>46.21</v>
      </c>
      <c r="D748" s="66">
        <v>12.62</v>
      </c>
      <c r="E748" s="66">
        <v>27.25</v>
      </c>
      <c r="F748" s="66">
        <v>6.83</v>
      </c>
      <c r="G748" s="65">
        <v>237.73000000000013</v>
      </c>
      <c r="H748" s="54">
        <v>6.8000000000000016</v>
      </c>
      <c r="I748" s="35"/>
    </row>
    <row r="749" spans="1:9" x14ac:dyDescent="0.2">
      <c r="A749" s="43" t="s">
        <v>59</v>
      </c>
      <c r="B749" s="66">
        <v>118.7000000000001</v>
      </c>
      <c r="C749" s="66">
        <v>37.47</v>
      </c>
      <c r="D749" s="66">
        <v>12.62</v>
      </c>
      <c r="E749" s="66">
        <v>27.25</v>
      </c>
      <c r="F749" s="66">
        <v>6.83</v>
      </c>
      <c r="G749" s="65">
        <v>202.87000000000012</v>
      </c>
      <c r="H749" s="54">
        <v>6.8000000000000016</v>
      </c>
      <c r="I749" s="35"/>
    </row>
    <row r="750" spans="1:9" x14ac:dyDescent="0.2">
      <c r="A750" s="43" t="s">
        <v>60</v>
      </c>
      <c r="B750" s="66">
        <v>99.360000000000099</v>
      </c>
      <c r="C750" s="66">
        <v>30.99</v>
      </c>
      <c r="D750" s="66">
        <v>12.62</v>
      </c>
      <c r="E750" s="66">
        <v>27.25</v>
      </c>
      <c r="F750" s="66">
        <v>6.83</v>
      </c>
      <c r="G750" s="65">
        <v>177.05000000000013</v>
      </c>
      <c r="H750" s="54">
        <v>6.8000000000000016</v>
      </c>
      <c r="I750" s="35"/>
    </row>
    <row r="751" spans="1:9" x14ac:dyDescent="0.2">
      <c r="A751" s="43" t="s">
        <v>61</v>
      </c>
      <c r="B751" s="66">
        <v>96.380000000000095</v>
      </c>
      <c r="C751" s="66">
        <v>29.99</v>
      </c>
      <c r="D751" s="66">
        <v>12.62</v>
      </c>
      <c r="E751" s="66">
        <v>27.25</v>
      </c>
      <c r="F751" s="66">
        <v>6.83</v>
      </c>
      <c r="G751" s="65">
        <v>173.07000000000011</v>
      </c>
      <c r="H751" s="54">
        <v>6.8000000000000016</v>
      </c>
      <c r="I751" s="35"/>
    </row>
    <row r="752" spans="1:9" x14ac:dyDescent="0.2">
      <c r="A752" s="43" t="s">
        <v>62</v>
      </c>
      <c r="B752" s="66">
        <v>89.580000000000098</v>
      </c>
      <c r="C752" s="66">
        <v>27.71</v>
      </c>
      <c r="D752" s="66">
        <v>12.62</v>
      </c>
      <c r="E752" s="66">
        <v>27.25</v>
      </c>
      <c r="F752" s="66">
        <v>6.83</v>
      </c>
      <c r="G752" s="65">
        <v>163.99000000000012</v>
      </c>
      <c r="H752" s="54">
        <v>6.8000000000000016</v>
      </c>
      <c r="I752" s="35"/>
    </row>
    <row r="753" spans="1:9" x14ac:dyDescent="0.2">
      <c r="A753" s="43" t="s">
        <v>63</v>
      </c>
      <c r="B753" s="66">
        <v>89.310000000000102</v>
      </c>
      <c r="C753" s="66">
        <v>27.62</v>
      </c>
      <c r="D753" s="66">
        <v>12.62</v>
      </c>
      <c r="E753" s="66">
        <v>27.25</v>
      </c>
      <c r="F753" s="66">
        <v>6.83</v>
      </c>
      <c r="G753" s="65">
        <v>163.63000000000011</v>
      </c>
      <c r="H753" s="54">
        <v>6.8000000000000016</v>
      </c>
      <c r="I753" s="35"/>
    </row>
    <row r="754" spans="1:9" x14ac:dyDescent="0.2">
      <c r="A754" s="43" t="s">
        <v>64</v>
      </c>
      <c r="B754" s="66">
        <v>73.560000000000102</v>
      </c>
      <c r="C754" s="66">
        <v>22.36</v>
      </c>
      <c r="D754" s="66">
        <v>12.62</v>
      </c>
      <c r="E754" s="66">
        <v>27.25</v>
      </c>
      <c r="F754" s="66">
        <v>6.83</v>
      </c>
      <c r="G754" s="65">
        <v>142.62000000000012</v>
      </c>
      <c r="H754" s="54">
        <v>6.8000000000000016</v>
      </c>
      <c r="I754" s="35"/>
    </row>
    <row r="755" spans="1:9" x14ac:dyDescent="0.2">
      <c r="A755" s="43" t="s">
        <v>65</v>
      </c>
      <c r="B755" s="66">
        <v>68.200000000000045</v>
      </c>
      <c r="C755" s="66">
        <v>20.55</v>
      </c>
      <c r="D755" s="66">
        <v>12.62</v>
      </c>
      <c r="E755" s="66">
        <v>27.25</v>
      </c>
      <c r="F755" s="66">
        <v>6.83</v>
      </c>
      <c r="G755" s="65">
        <v>135.45000000000007</v>
      </c>
      <c r="H755" s="54">
        <v>6.8000000000000016</v>
      </c>
      <c r="I755" s="35"/>
    </row>
    <row r="756" spans="1:9" x14ac:dyDescent="0.2">
      <c r="A756" s="43" t="s">
        <v>66</v>
      </c>
      <c r="B756" s="66">
        <v>65.149999999999991</v>
      </c>
      <c r="C756" s="66">
        <v>19.54</v>
      </c>
      <c r="D756" s="66">
        <v>12.62</v>
      </c>
      <c r="E756" s="66">
        <v>27.25</v>
      </c>
      <c r="F756" s="66">
        <v>6.83</v>
      </c>
      <c r="G756" s="65">
        <v>131.39000000000001</v>
      </c>
      <c r="H756" s="54">
        <v>6.8000000000000016</v>
      </c>
      <c r="I756" s="35"/>
    </row>
    <row r="757" spans="1:9" x14ac:dyDescent="0.2">
      <c r="A757" s="43" t="s">
        <v>67</v>
      </c>
      <c r="B757" s="66">
        <v>60.929999999999978</v>
      </c>
      <c r="C757" s="66">
        <v>18.13</v>
      </c>
      <c r="D757" s="66">
        <v>12.62</v>
      </c>
      <c r="E757" s="66">
        <v>27.25</v>
      </c>
      <c r="F757" s="66">
        <v>6.83</v>
      </c>
      <c r="G757" s="65">
        <v>125.75999999999998</v>
      </c>
      <c r="H757" s="54">
        <v>6.8000000000000016</v>
      </c>
      <c r="I757" s="35"/>
    </row>
    <row r="758" spans="1:9" x14ac:dyDescent="0.2">
      <c r="A758" s="43" t="s">
        <v>68</v>
      </c>
      <c r="B758" s="66">
        <v>56.419999999999973</v>
      </c>
      <c r="C758" s="66">
        <v>16.62</v>
      </c>
      <c r="D758" s="66">
        <v>12.62</v>
      </c>
      <c r="E758" s="66">
        <v>27.25</v>
      </c>
      <c r="F758" s="66">
        <v>6.83</v>
      </c>
      <c r="G758" s="65">
        <v>119.73999999999998</v>
      </c>
      <c r="H758" s="54">
        <v>6.8000000000000016</v>
      </c>
      <c r="I758" s="35"/>
    </row>
    <row r="759" spans="1:9" x14ac:dyDescent="0.2">
      <c r="A759" s="43" t="s">
        <v>69</v>
      </c>
      <c r="B759" s="66">
        <v>51.349999999999973</v>
      </c>
      <c r="C759" s="66">
        <v>14.91</v>
      </c>
      <c r="D759" s="66">
        <v>12.62</v>
      </c>
      <c r="E759" s="66">
        <v>27.25</v>
      </c>
      <c r="F759" s="66">
        <v>6.83</v>
      </c>
      <c r="G759" s="65">
        <v>112.95999999999998</v>
      </c>
      <c r="H759" s="54">
        <v>6.8000000000000016</v>
      </c>
      <c r="I759" s="35"/>
    </row>
    <row r="760" spans="1:9" x14ac:dyDescent="0.2">
      <c r="A760" s="43" t="s">
        <v>70</v>
      </c>
      <c r="B760" s="66">
        <v>56.559999999999974</v>
      </c>
      <c r="C760" s="66">
        <v>16.649999999999999</v>
      </c>
      <c r="D760" s="66">
        <v>12.62</v>
      </c>
      <c r="E760" s="66">
        <v>27.25</v>
      </c>
      <c r="F760" s="66">
        <v>6.83</v>
      </c>
      <c r="G760" s="65">
        <v>119.90999999999998</v>
      </c>
      <c r="H760" s="54">
        <v>6.8000000000000016</v>
      </c>
      <c r="I760" s="35"/>
    </row>
    <row r="761" spans="1:9" x14ac:dyDescent="0.2">
      <c r="A761" s="43" t="s">
        <v>71</v>
      </c>
      <c r="B761" s="66">
        <v>50.819999999999979</v>
      </c>
      <c r="C761" s="66">
        <v>14.73</v>
      </c>
      <c r="D761" s="66">
        <v>12.62</v>
      </c>
      <c r="E761" s="66">
        <v>27.25</v>
      </c>
      <c r="F761" s="66">
        <v>6.83</v>
      </c>
      <c r="G761" s="65">
        <v>112.24999999999999</v>
      </c>
      <c r="H761" s="54">
        <v>6.8000000000000016</v>
      </c>
      <c r="I761" s="35"/>
    </row>
    <row r="762" spans="1:9" x14ac:dyDescent="0.2">
      <c r="A762" s="43" t="s">
        <v>72</v>
      </c>
      <c r="B762" s="66">
        <v>43.959999999999972</v>
      </c>
      <c r="C762" s="66">
        <v>12.44</v>
      </c>
      <c r="D762" s="66">
        <v>12.62</v>
      </c>
      <c r="E762" s="66">
        <v>27.25</v>
      </c>
      <c r="F762" s="66">
        <v>6.83</v>
      </c>
      <c r="G762" s="65">
        <v>103.09999999999997</v>
      </c>
      <c r="H762" s="54">
        <v>6.8000000000000016</v>
      </c>
      <c r="I762" s="35"/>
    </row>
    <row r="763" spans="1:9" x14ac:dyDescent="0.2">
      <c r="A763" s="43" t="s">
        <v>73</v>
      </c>
      <c r="B763" s="66">
        <v>40.229999999999976</v>
      </c>
      <c r="C763" s="66">
        <v>11.19</v>
      </c>
      <c r="D763" s="66">
        <v>12.62</v>
      </c>
      <c r="E763" s="66">
        <v>27.25</v>
      </c>
      <c r="F763" s="66">
        <v>6.83</v>
      </c>
      <c r="G763" s="65">
        <v>98.119999999999976</v>
      </c>
      <c r="H763" s="54">
        <v>6.8000000000000016</v>
      </c>
      <c r="I763" s="35"/>
    </row>
    <row r="764" spans="1:9" x14ac:dyDescent="0.2">
      <c r="A764" s="43" t="s">
        <v>74</v>
      </c>
      <c r="B764" s="66">
        <v>55.019999999999975</v>
      </c>
      <c r="C764" s="66">
        <v>16.14</v>
      </c>
      <c r="D764" s="66">
        <v>12.62</v>
      </c>
      <c r="E764" s="66">
        <v>27.25</v>
      </c>
      <c r="F764" s="66">
        <v>6.83</v>
      </c>
      <c r="G764" s="65">
        <v>117.85999999999997</v>
      </c>
      <c r="H764" s="54">
        <v>6.8000000000000016</v>
      </c>
      <c r="I764" s="35"/>
    </row>
    <row r="765" spans="1:9" x14ac:dyDescent="0.2">
      <c r="A765" s="43" t="s">
        <v>75</v>
      </c>
      <c r="B765" s="66">
        <v>47.109999999999978</v>
      </c>
      <c r="C765" s="66">
        <v>13.5</v>
      </c>
      <c r="D765" s="66">
        <v>12.62</v>
      </c>
      <c r="E765" s="66">
        <v>27.25</v>
      </c>
      <c r="F765" s="66">
        <v>6.83</v>
      </c>
      <c r="G765" s="65">
        <v>107.30999999999997</v>
      </c>
      <c r="H765" s="54">
        <v>6.8000000000000016</v>
      </c>
      <c r="I765" s="35"/>
    </row>
    <row r="766" spans="1:9" x14ac:dyDescent="0.2">
      <c r="A766" s="43" t="s">
        <v>76</v>
      </c>
      <c r="B766" s="66">
        <v>42.609999999999978</v>
      </c>
      <c r="C766" s="66">
        <v>11.99</v>
      </c>
      <c r="D766" s="66">
        <v>12.62</v>
      </c>
      <c r="E766" s="66">
        <v>27.25</v>
      </c>
      <c r="F766" s="66">
        <v>6.83</v>
      </c>
      <c r="G766" s="65">
        <v>101.29999999999998</v>
      </c>
      <c r="H766" s="54">
        <v>6.8000000000000016</v>
      </c>
      <c r="I766" s="35"/>
    </row>
    <row r="767" spans="1:9" x14ac:dyDescent="0.2">
      <c r="A767" s="43" t="s">
        <v>77</v>
      </c>
      <c r="B767" s="66">
        <v>35.869999999999976</v>
      </c>
      <c r="C767" s="66">
        <v>9.74</v>
      </c>
      <c r="D767" s="66">
        <v>12.62</v>
      </c>
      <c r="E767" s="66">
        <v>27.25</v>
      </c>
      <c r="F767" s="66">
        <v>6.83</v>
      </c>
      <c r="G767" s="65">
        <v>92.309999999999974</v>
      </c>
      <c r="H767" s="54">
        <v>6.8000000000000016</v>
      </c>
      <c r="I767" s="35"/>
    </row>
    <row r="768" spans="1:9" x14ac:dyDescent="0.2">
      <c r="A768" s="43" t="s">
        <v>78</v>
      </c>
      <c r="B768" s="66">
        <v>61.419999999999973</v>
      </c>
      <c r="C768" s="66">
        <v>18.29</v>
      </c>
      <c r="D768" s="66">
        <v>12.62</v>
      </c>
      <c r="E768" s="66">
        <v>27.25</v>
      </c>
      <c r="F768" s="66">
        <v>6.83</v>
      </c>
      <c r="G768" s="65">
        <v>126.40999999999998</v>
      </c>
      <c r="H768" s="54">
        <v>6.8000000000000016</v>
      </c>
      <c r="I768" s="35"/>
    </row>
    <row r="769" spans="1:9" x14ac:dyDescent="0.2">
      <c r="A769" s="43" t="s">
        <v>79</v>
      </c>
      <c r="B769" s="66">
        <v>56.519999999999975</v>
      </c>
      <c r="C769" s="66">
        <v>16.64</v>
      </c>
      <c r="D769" s="66">
        <v>12.62</v>
      </c>
      <c r="E769" s="66">
        <v>27.25</v>
      </c>
      <c r="F769" s="66">
        <v>6.83</v>
      </c>
      <c r="G769" s="65">
        <v>119.85999999999997</v>
      </c>
      <c r="H769" s="54">
        <v>6.8000000000000016</v>
      </c>
      <c r="I769" s="35"/>
    </row>
    <row r="770" spans="1:9" x14ac:dyDescent="0.2">
      <c r="A770" s="43" t="s">
        <v>80</v>
      </c>
      <c r="B770" s="66">
        <v>57.709999999999972</v>
      </c>
      <c r="C770" s="66">
        <v>17.04</v>
      </c>
      <c r="D770" s="66">
        <v>12.62</v>
      </c>
      <c r="E770" s="66">
        <v>27.25</v>
      </c>
      <c r="F770" s="66">
        <v>6.83</v>
      </c>
      <c r="G770" s="65">
        <v>121.44999999999997</v>
      </c>
      <c r="H770" s="54">
        <v>6.8000000000000016</v>
      </c>
      <c r="I770" s="35"/>
    </row>
    <row r="771" spans="1:9" x14ac:dyDescent="0.2">
      <c r="A771" s="43" t="s">
        <v>53</v>
      </c>
      <c r="B771" s="66">
        <v>52.649999999999977</v>
      </c>
      <c r="C771" s="66">
        <v>15.35</v>
      </c>
      <c r="D771" s="66">
        <v>12.62</v>
      </c>
      <c r="E771" s="66">
        <v>27.25</v>
      </c>
      <c r="F771" s="66">
        <v>6.83</v>
      </c>
      <c r="G771" s="65">
        <v>114.69999999999997</v>
      </c>
      <c r="H771" s="54">
        <v>6.8000000000000016</v>
      </c>
      <c r="I771" s="35"/>
    </row>
    <row r="772" spans="1:9" x14ac:dyDescent="0.2">
      <c r="A772" s="43" t="s">
        <v>81</v>
      </c>
      <c r="B772" s="66">
        <v>50.499999999999979</v>
      </c>
      <c r="C772" s="66">
        <v>14.63</v>
      </c>
      <c r="D772" s="66">
        <v>12.62</v>
      </c>
      <c r="E772" s="66">
        <v>27.25</v>
      </c>
      <c r="F772" s="66">
        <v>6.83</v>
      </c>
      <c r="G772" s="65">
        <v>111.82999999999998</v>
      </c>
      <c r="H772" s="54">
        <v>6.8000000000000016</v>
      </c>
      <c r="I772" s="35"/>
    </row>
    <row r="773" spans="1:9" x14ac:dyDescent="0.2">
      <c r="A773" s="43" t="s">
        <v>82</v>
      </c>
      <c r="B773" s="66">
        <v>47.269999999999975</v>
      </c>
      <c r="C773" s="66">
        <v>13.55</v>
      </c>
      <c r="D773" s="66">
        <v>12.62</v>
      </c>
      <c r="E773" s="66">
        <v>27.25</v>
      </c>
      <c r="F773" s="66">
        <v>6.83</v>
      </c>
      <c r="G773" s="65">
        <v>107.51999999999998</v>
      </c>
      <c r="H773" s="54">
        <v>6.8000000000000016</v>
      </c>
      <c r="I773" s="35"/>
    </row>
    <row r="774" spans="1:9" x14ac:dyDescent="0.2">
      <c r="A774" s="43" t="s">
        <v>83</v>
      </c>
      <c r="B774" s="66">
        <v>45.279999999999973</v>
      </c>
      <c r="C774" s="66">
        <v>12.88</v>
      </c>
      <c r="D774" s="66">
        <v>12.62</v>
      </c>
      <c r="E774" s="66">
        <v>27.25</v>
      </c>
      <c r="F774" s="66">
        <v>6.83</v>
      </c>
      <c r="G774" s="65">
        <v>104.85999999999997</v>
      </c>
      <c r="H774" s="54">
        <v>6.8000000000000016</v>
      </c>
      <c r="I774" s="35"/>
    </row>
    <row r="775" spans="1:9" x14ac:dyDescent="0.2">
      <c r="A775" s="43" t="s">
        <v>84</v>
      </c>
      <c r="B775" s="66">
        <v>41.719999999999978</v>
      </c>
      <c r="C775" s="66">
        <v>11.69</v>
      </c>
      <c r="D775" s="66">
        <v>12.62</v>
      </c>
      <c r="E775" s="66">
        <v>27.25</v>
      </c>
      <c r="F775" s="66">
        <v>6.83</v>
      </c>
      <c r="G775" s="65">
        <v>100.10999999999997</v>
      </c>
      <c r="H775" s="54">
        <v>6.8000000000000016</v>
      </c>
      <c r="I775" s="35"/>
    </row>
    <row r="776" spans="1:9" x14ac:dyDescent="0.2">
      <c r="A776" s="43" t="s">
        <v>85</v>
      </c>
      <c r="B776" s="66">
        <v>37.369999999999976</v>
      </c>
      <c r="C776" s="66">
        <v>10.23</v>
      </c>
      <c r="D776" s="66">
        <v>12.62</v>
      </c>
      <c r="E776" s="66">
        <v>27.25</v>
      </c>
      <c r="F776" s="66">
        <v>6.83</v>
      </c>
      <c r="G776" s="65">
        <v>94.299999999999969</v>
      </c>
      <c r="H776" s="54">
        <v>6.8000000000000016</v>
      </c>
      <c r="I776" s="35"/>
    </row>
    <row r="777" spans="1:9" x14ac:dyDescent="0.2">
      <c r="A777" s="43" t="s">
        <v>86</v>
      </c>
      <c r="B777" s="66">
        <v>33.659999999999975</v>
      </c>
      <c r="C777" s="66">
        <v>9</v>
      </c>
      <c r="D777" s="66">
        <v>12.62</v>
      </c>
      <c r="E777" s="66">
        <v>27.25</v>
      </c>
      <c r="F777" s="66">
        <v>6.83</v>
      </c>
      <c r="G777" s="65">
        <v>89.359999999999971</v>
      </c>
      <c r="H777" s="54">
        <v>6.8000000000000016</v>
      </c>
      <c r="I777" s="35"/>
    </row>
    <row r="778" spans="1:9" x14ac:dyDescent="0.2">
      <c r="A778" s="45" t="s">
        <v>87</v>
      </c>
      <c r="B778" s="66">
        <v>33.659999999999975</v>
      </c>
      <c r="C778" s="66">
        <v>9</v>
      </c>
      <c r="D778" s="66">
        <v>12.62</v>
      </c>
      <c r="E778" s="66">
        <v>27.25</v>
      </c>
      <c r="F778" s="66">
        <v>6.83</v>
      </c>
      <c r="G778" s="65">
        <v>89.359999999999971</v>
      </c>
      <c r="H778" s="54">
        <v>6.8000000000000016</v>
      </c>
      <c r="I778" s="35"/>
    </row>
    <row r="779" spans="1:9" x14ac:dyDescent="0.2">
      <c r="A779" s="45" t="s">
        <v>88</v>
      </c>
      <c r="B779" s="66">
        <v>33.659999999999975</v>
      </c>
      <c r="C779" s="66">
        <v>9</v>
      </c>
      <c r="D779" s="66">
        <v>12.62</v>
      </c>
      <c r="E779" s="66">
        <v>27.25</v>
      </c>
      <c r="F779" s="66">
        <v>6.83</v>
      </c>
      <c r="G779" s="65">
        <v>89.359999999999971</v>
      </c>
      <c r="H779" s="54">
        <v>6.8000000000000016</v>
      </c>
      <c r="I779" s="35"/>
    </row>
    <row r="780" spans="1:9" x14ac:dyDescent="0.2">
      <c r="A780" s="55"/>
      <c r="B780" s="56"/>
      <c r="C780" s="33"/>
      <c r="D780" s="33"/>
      <c r="E780" s="33"/>
      <c r="F780" s="33"/>
      <c r="G780" s="57"/>
      <c r="H780" s="54"/>
      <c r="I780" s="33"/>
    </row>
    <row r="781" spans="1:9" x14ac:dyDescent="0.2">
      <c r="A781" s="58" t="s">
        <v>119</v>
      </c>
      <c r="B781" s="64">
        <v>96.81</v>
      </c>
      <c r="C781" s="64">
        <v>31.81</v>
      </c>
      <c r="D781" s="49"/>
      <c r="E781" s="49"/>
      <c r="F781" s="49"/>
      <c r="G781" s="50">
        <v>128.62</v>
      </c>
      <c r="H781" s="54">
        <v>0</v>
      </c>
      <c r="I781" s="33"/>
    </row>
    <row r="782" spans="1:9" x14ac:dyDescent="0.2">
      <c r="A782" s="51" t="s">
        <v>120</v>
      </c>
      <c r="B782" s="64">
        <v>38.72</v>
      </c>
      <c r="C782" s="64">
        <v>12.73</v>
      </c>
      <c r="D782" s="49"/>
      <c r="E782" s="49"/>
      <c r="F782" s="49"/>
      <c r="G782" s="50">
        <v>51.45</v>
      </c>
      <c r="H782" s="54">
        <v>0</v>
      </c>
      <c r="I782" s="33"/>
    </row>
    <row r="783" spans="1:9" x14ac:dyDescent="0.2">
      <c r="A783" s="59" t="s">
        <v>121</v>
      </c>
      <c r="B783" s="64">
        <v>58.09</v>
      </c>
      <c r="C783" s="64">
        <v>19.079999999999998</v>
      </c>
      <c r="D783" s="49"/>
      <c r="E783" s="49"/>
      <c r="F783" s="49"/>
      <c r="G783" s="50">
        <v>77.17</v>
      </c>
      <c r="H783" s="54">
        <v>0</v>
      </c>
      <c r="I783" s="33"/>
    </row>
    <row r="785" spans="1:9" ht="15.75" x14ac:dyDescent="0.25">
      <c r="A785" s="41" t="s">
        <v>156</v>
      </c>
      <c r="B785" s="42"/>
      <c r="C785" s="42"/>
      <c r="D785" s="42"/>
      <c r="E785" s="42"/>
      <c r="F785" s="42"/>
      <c r="G785" s="42"/>
      <c r="H785" s="52"/>
      <c r="I785" s="33"/>
    </row>
    <row r="786" spans="1:9" ht="76.5" x14ac:dyDescent="0.2">
      <c r="A786" s="37" t="s">
        <v>92</v>
      </c>
      <c r="B786" s="61" t="s">
        <v>114</v>
      </c>
      <c r="C786" s="61" t="s">
        <v>115</v>
      </c>
      <c r="D786" s="62" t="s">
        <v>116</v>
      </c>
      <c r="E786" s="61" t="s">
        <v>117</v>
      </c>
      <c r="F786" s="61" t="s">
        <v>118</v>
      </c>
      <c r="G786" s="62" t="s">
        <v>15</v>
      </c>
      <c r="H786" s="53" t="s">
        <v>157</v>
      </c>
      <c r="I786" s="33"/>
    </row>
    <row r="787" spans="1:9" x14ac:dyDescent="0.2">
      <c r="A787" s="43" t="s">
        <v>54</v>
      </c>
      <c r="B787" s="66">
        <v>117.07000000000011</v>
      </c>
      <c r="C787" s="66">
        <v>36.79</v>
      </c>
      <c r="D787" s="66">
        <v>12.62</v>
      </c>
      <c r="E787" s="66">
        <v>27.25</v>
      </c>
      <c r="F787" s="66">
        <v>6.83</v>
      </c>
      <c r="G787" s="65">
        <v>200.56000000000012</v>
      </c>
      <c r="H787" s="54">
        <v>7.200000000000002</v>
      </c>
      <c r="I787" s="35"/>
    </row>
    <row r="788" spans="1:9" x14ac:dyDescent="0.2">
      <c r="A788" s="43" t="s">
        <v>55</v>
      </c>
      <c r="B788" s="66">
        <v>100.1700000000001</v>
      </c>
      <c r="C788" s="66">
        <v>31.12</v>
      </c>
      <c r="D788" s="66">
        <v>12.62</v>
      </c>
      <c r="E788" s="66">
        <v>27.25</v>
      </c>
      <c r="F788" s="66">
        <v>6.83</v>
      </c>
      <c r="G788" s="65">
        <v>177.99000000000012</v>
      </c>
      <c r="H788" s="54">
        <v>7.200000000000002</v>
      </c>
      <c r="I788" s="35"/>
    </row>
    <row r="789" spans="1:9" x14ac:dyDescent="0.2">
      <c r="A789" s="43" t="s">
        <v>56</v>
      </c>
      <c r="B789" s="66">
        <v>92.380000000000109</v>
      </c>
      <c r="C789" s="66">
        <v>28.52</v>
      </c>
      <c r="D789" s="66">
        <v>12.62</v>
      </c>
      <c r="E789" s="66">
        <v>27.25</v>
      </c>
      <c r="F789" s="66">
        <v>6.83</v>
      </c>
      <c r="G789" s="65">
        <v>167.60000000000011</v>
      </c>
      <c r="H789" s="54">
        <v>7.200000000000002</v>
      </c>
      <c r="I789" s="35"/>
    </row>
    <row r="790" spans="1:9" x14ac:dyDescent="0.2">
      <c r="A790" s="43" t="s">
        <v>57</v>
      </c>
      <c r="B790" s="66">
        <v>77.900000000000105</v>
      </c>
      <c r="C790" s="66">
        <v>23.67</v>
      </c>
      <c r="D790" s="66">
        <v>12.62</v>
      </c>
      <c r="E790" s="66">
        <v>27.25</v>
      </c>
      <c r="F790" s="66">
        <v>6.83</v>
      </c>
      <c r="G790" s="65">
        <v>148.27000000000012</v>
      </c>
      <c r="H790" s="54">
        <v>7.200000000000002</v>
      </c>
      <c r="I790" s="35"/>
    </row>
    <row r="791" spans="1:9" x14ac:dyDescent="0.2">
      <c r="A791" s="43" t="s">
        <v>58</v>
      </c>
      <c r="B791" s="66">
        <v>145.22000000000011</v>
      </c>
      <c r="C791" s="66">
        <v>46.21</v>
      </c>
      <c r="D791" s="66">
        <v>12.62</v>
      </c>
      <c r="E791" s="66">
        <v>27.25</v>
      </c>
      <c r="F791" s="66">
        <v>6.83</v>
      </c>
      <c r="G791" s="65">
        <v>238.13000000000014</v>
      </c>
      <c r="H791" s="54">
        <v>7.200000000000002</v>
      </c>
      <c r="I791" s="35"/>
    </row>
    <row r="792" spans="1:9" x14ac:dyDescent="0.2">
      <c r="A792" s="43" t="s">
        <v>59</v>
      </c>
      <c r="B792" s="66">
        <v>119.10000000000011</v>
      </c>
      <c r="C792" s="66">
        <v>37.47</v>
      </c>
      <c r="D792" s="66">
        <v>12.62</v>
      </c>
      <c r="E792" s="66">
        <v>27.25</v>
      </c>
      <c r="F792" s="66">
        <v>6.83</v>
      </c>
      <c r="G792" s="65">
        <v>203.27000000000012</v>
      </c>
      <c r="H792" s="54">
        <v>7.200000000000002</v>
      </c>
      <c r="I792" s="35"/>
    </row>
    <row r="793" spans="1:9" x14ac:dyDescent="0.2">
      <c r="A793" s="43" t="s">
        <v>60</v>
      </c>
      <c r="B793" s="66">
        <v>99.760000000000105</v>
      </c>
      <c r="C793" s="66">
        <v>30.99</v>
      </c>
      <c r="D793" s="66">
        <v>12.62</v>
      </c>
      <c r="E793" s="66">
        <v>27.25</v>
      </c>
      <c r="F793" s="66">
        <v>6.83</v>
      </c>
      <c r="G793" s="65">
        <v>177.45000000000013</v>
      </c>
      <c r="H793" s="54">
        <v>7.200000000000002</v>
      </c>
      <c r="I793" s="35"/>
    </row>
    <row r="794" spans="1:9" x14ac:dyDescent="0.2">
      <c r="A794" s="43" t="s">
        <v>61</v>
      </c>
      <c r="B794" s="66">
        <v>96.780000000000101</v>
      </c>
      <c r="C794" s="66">
        <v>29.99</v>
      </c>
      <c r="D794" s="66">
        <v>12.62</v>
      </c>
      <c r="E794" s="66">
        <v>27.25</v>
      </c>
      <c r="F794" s="66">
        <v>6.83</v>
      </c>
      <c r="G794" s="65">
        <v>173.47000000000011</v>
      </c>
      <c r="H794" s="54">
        <v>7.200000000000002</v>
      </c>
      <c r="I794" s="35"/>
    </row>
    <row r="795" spans="1:9" x14ac:dyDescent="0.2">
      <c r="A795" s="43" t="s">
        <v>62</v>
      </c>
      <c r="B795" s="66">
        <v>89.980000000000103</v>
      </c>
      <c r="C795" s="66">
        <v>27.71</v>
      </c>
      <c r="D795" s="66">
        <v>12.62</v>
      </c>
      <c r="E795" s="66">
        <v>27.25</v>
      </c>
      <c r="F795" s="66">
        <v>6.83</v>
      </c>
      <c r="G795" s="65">
        <v>164.39000000000013</v>
      </c>
      <c r="H795" s="54">
        <v>7.200000000000002</v>
      </c>
      <c r="I795" s="35"/>
    </row>
    <row r="796" spans="1:9" x14ac:dyDescent="0.2">
      <c r="A796" s="43" t="s">
        <v>63</v>
      </c>
      <c r="B796" s="66">
        <v>89.710000000000107</v>
      </c>
      <c r="C796" s="66">
        <v>27.62</v>
      </c>
      <c r="D796" s="66">
        <v>12.62</v>
      </c>
      <c r="E796" s="66">
        <v>27.25</v>
      </c>
      <c r="F796" s="66">
        <v>6.83</v>
      </c>
      <c r="G796" s="65">
        <v>164.03000000000011</v>
      </c>
      <c r="H796" s="54">
        <v>7.200000000000002</v>
      </c>
      <c r="I796" s="35"/>
    </row>
    <row r="797" spans="1:9" x14ac:dyDescent="0.2">
      <c r="A797" s="43" t="s">
        <v>64</v>
      </c>
      <c r="B797" s="66">
        <v>73.960000000000107</v>
      </c>
      <c r="C797" s="66">
        <v>22.36</v>
      </c>
      <c r="D797" s="66">
        <v>12.62</v>
      </c>
      <c r="E797" s="66">
        <v>27.25</v>
      </c>
      <c r="F797" s="66">
        <v>6.83</v>
      </c>
      <c r="G797" s="65">
        <v>143.02000000000012</v>
      </c>
      <c r="H797" s="54">
        <v>7.200000000000002</v>
      </c>
      <c r="I797" s="35"/>
    </row>
    <row r="798" spans="1:9" x14ac:dyDescent="0.2">
      <c r="A798" s="43" t="s">
        <v>65</v>
      </c>
      <c r="B798" s="66">
        <v>68.600000000000051</v>
      </c>
      <c r="C798" s="66">
        <v>20.55</v>
      </c>
      <c r="D798" s="66">
        <v>12.62</v>
      </c>
      <c r="E798" s="66">
        <v>27.25</v>
      </c>
      <c r="F798" s="66">
        <v>6.83</v>
      </c>
      <c r="G798" s="65">
        <v>135.85000000000005</v>
      </c>
      <c r="H798" s="54">
        <v>7.200000000000002</v>
      </c>
      <c r="I798" s="35"/>
    </row>
    <row r="799" spans="1:9" x14ac:dyDescent="0.2">
      <c r="A799" s="43" t="s">
        <v>66</v>
      </c>
      <c r="B799" s="66">
        <v>65.55</v>
      </c>
      <c r="C799" s="66">
        <v>19.54</v>
      </c>
      <c r="D799" s="66">
        <v>12.62</v>
      </c>
      <c r="E799" s="66">
        <v>27.25</v>
      </c>
      <c r="F799" s="66">
        <v>6.83</v>
      </c>
      <c r="G799" s="65">
        <v>131.79000000000002</v>
      </c>
      <c r="H799" s="54">
        <v>7.200000000000002</v>
      </c>
      <c r="I799" s="35"/>
    </row>
    <row r="800" spans="1:9" x14ac:dyDescent="0.2">
      <c r="A800" s="43" t="s">
        <v>67</v>
      </c>
      <c r="B800" s="66">
        <v>61.329999999999977</v>
      </c>
      <c r="C800" s="66">
        <v>18.13</v>
      </c>
      <c r="D800" s="66">
        <v>12.62</v>
      </c>
      <c r="E800" s="66">
        <v>27.25</v>
      </c>
      <c r="F800" s="66">
        <v>6.83</v>
      </c>
      <c r="G800" s="65">
        <v>126.15999999999998</v>
      </c>
      <c r="H800" s="54">
        <v>7.200000000000002</v>
      </c>
      <c r="I800" s="35"/>
    </row>
    <row r="801" spans="1:9" x14ac:dyDescent="0.2">
      <c r="A801" s="43" t="s">
        <v>68</v>
      </c>
      <c r="B801" s="66">
        <v>56.819999999999972</v>
      </c>
      <c r="C801" s="66">
        <v>16.62</v>
      </c>
      <c r="D801" s="66">
        <v>12.62</v>
      </c>
      <c r="E801" s="66">
        <v>27.25</v>
      </c>
      <c r="F801" s="66">
        <v>6.83</v>
      </c>
      <c r="G801" s="65">
        <v>120.13999999999997</v>
      </c>
      <c r="H801" s="54">
        <v>7.200000000000002</v>
      </c>
      <c r="I801" s="35"/>
    </row>
    <row r="802" spans="1:9" x14ac:dyDescent="0.2">
      <c r="A802" s="43" t="s">
        <v>69</v>
      </c>
      <c r="B802" s="66">
        <v>51.749999999999972</v>
      </c>
      <c r="C802" s="66">
        <v>14.91</v>
      </c>
      <c r="D802" s="66">
        <v>12.62</v>
      </c>
      <c r="E802" s="66">
        <v>27.25</v>
      </c>
      <c r="F802" s="66">
        <v>6.83</v>
      </c>
      <c r="G802" s="65">
        <v>113.35999999999997</v>
      </c>
      <c r="H802" s="54">
        <v>7.200000000000002</v>
      </c>
      <c r="I802" s="35"/>
    </row>
    <row r="803" spans="1:9" x14ac:dyDescent="0.2">
      <c r="A803" s="43" t="s">
        <v>70</v>
      </c>
      <c r="B803" s="66">
        <v>56.959999999999972</v>
      </c>
      <c r="C803" s="66">
        <v>16.649999999999999</v>
      </c>
      <c r="D803" s="66">
        <v>12.62</v>
      </c>
      <c r="E803" s="66">
        <v>27.25</v>
      </c>
      <c r="F803" s="66">
        <v>6.83</v>
      </c>
      <c r="G803" s="65">
        <v>120.30999999999997</v>
      </c>
      <c r="H803" s="54">
        <v>7.200000000000002</v>
      </c>
      <c r="I803" s="35"/>
    </row>
    <row r="804" spans="1:9" x14ac:dyDescent="0.2">
      <c r="A804" s="43" t="s">
        <v>71</v>
      </c>
      <c r="B804" s="66">
        <v>51.219999999999978</v>
      </c>
      <c r="C804" s="66">
        <v>14.73</v>
      </c>
      <c r="D804" s="66">
        <v>12.62</v>
      </c>
      <c r="E804" s="66">
        <v>27.25</v>
      </c>
      <c r="F804" s="66">
        <v>6.83</v>
      </c>
      <c r="G804" s="65">
        <v>112.64999999999998</v>
      </c>
      <c r="H804" s="54">
        <v>7.200000000000002</v>
      </c>
      <c r="I804" s="35"/>
    </row>
    <row r="805" spans="1:9" x14ac:dyDescent="0.2">
      <c r="A805" s="43" t="s">
        <v>72</v>
      </c>
      <c r="B805" s="66">
        <v>44.359999999999971</v>
      </c>
      <c r="C805" s="66">
        <v>12.44</v>
      </c>
      <c r="D805" s="66">
        <v>12.62</v>
      </c>
      <c r="E805" s="66">
        <v>27.25</v>
      </c>
      <c r="F805" s="66">
        <v>6.83</v>
      </c>
      <c r="G805" s="65">
        <v>103.49999999999997</v>
      </c>
      <c r="H805" s="54">
        <v>7.200000000000002</v>
      </c>
      <c r="I805" s="35"/>
    </row>
    <row r="806" spans="1:9" x14ac:dyDescent="0.2">
      <c r="A806" s="43" t="s">
        <v>73</v>
      </c>
      <c r="B806" s="66">
        <v>40.629999999999974</v>
      </c>
      <c r="C806" s="66">
        <v>11.19</v>
      </c>
      <c r="D806" s="66">
        <v>12.62</v>
      </c>
      <c r="E806" s="66">
        <v>27.25</v>
      </c>
      <c r="F806" s="66">
        <v>6.83</v>
      </c>
      <c r="G806" s="65">
        <v>98.519999999999968</v>
      </c>
      <c r="H806" s="54">
        <v>7.200000000000002</v>
      </c>
      <c r="I806" s="35"/>
    </row>
    <row r="807" spans="1:9" x14ac:dyDescent="0.2">
      <c r="A807" s="43" t="s">
        <v>74</v>
      </c>
      <c r="B807" s="66">
        <v>55.419999999999973</v>
      </c>
      <c r="C807" s="66">
        <v>16.14</v>
      </c>
      <c r="D807" s="66">
        <v>12.62</v>
      </c>
      <c r="E807" s="66">
        <v>27.25</v>
      </c>
      <c r="F807" s="66">
        <v>6.83</v>
      </c>
      <c r="G807" s="65">
        <v>118.25999999999998</v>
      </c>
      <c r="H807" s="54">
        <v>7.200000000000002</v>
      </c>
      <c r="I807" s="35"/>
    </row>
    <row r="808" spans="1:9" x14ac:dyDescent="0.2">
      <c r="A808" s="43" t="s">
        <v>75</v>
      </c>
      <c r="B808" s="66">
        <v>47.509999999999977</v>
      </c>
      <c r="C808" s="66">
        <v>13.5</v>
      </c>
      <c r="D808" s="66">
        <v>12.62</v>
      </c>
      <c r="E808" s="66">
        <v>27.25</v>
      </c>
      <c r="F808" s="66">
        <v>6.83</v>
      </c>
      <c r="G808" s="65">
        <v>107.70999999999998</v>
      </c>
      <c r="H808" s="54">
        <v>7.200000000000002</v>
      </c>
      <c r="I808" s="35"/>
    </row>
    <row r="809" spans="1:9" x14ac:dyDescent="0.2">
      <c r="A809" s="43" t="s">
        <v>76</v>
      </c>
      <c r="B809" s="66">
        <v>43.009999999999977</v>
      </c>
      <c r="C809" s="66">
        <v>11.99</v>
      </c>
      <c r="D809" s="66">
        <v>12.62</v>
      </c>
      <c r="E809" s="66">
        <v>27.25</v>
      </c>
      <c r="F809" s="66">
        <v>6.83</v>
      </c>
      <c r="G809" s="65">
        <v>101.69999999999997</v>
      </c>
      <c r="H809" s="54">
        <v>7.200000000000002</v>
      </c>
      <c r="I809" s="35"/>
    </row>
    <row r="810" spans="1:9" x14ac:dyDescent="0.2">
      <c r="A810" s="43" t="s">
        <v>77</v>
      </c>
      <c r="B810" s="66">
        <v>36.269999999999975</v>
      </c>
      <c r="C810" s="66">
        <v>9.74</v>
      </c>
      <c r="D810" s="66">
        <v>12.62</v>
      </c>
      <c r="E810" s="66">
        <v>27.25</v>
      </c>
      <c r="F810" s="66">
        <v>6.83</v>
      </c>
      <c r="G810" s="65">
        <v>92.709999999999965</v>
      </c>
      <c r="H810" s="54">
        <v>7.200000000000002</v>
      </c>
      <c r="I810" s="35"/>
    </row>
    <row r="811" spans="1:9" x14ac:dyDescent="0.2">
      <c r="A811" s="43" t="s">
        <v>78</v>
      </c>
      <c r="B811" s="66">
        <v>61.819999999999972</v>
      </c>
      <c r="C811" s="66">
        <v>18.29</v>
      </c>
      <c r="D811" s="66">
        <v>12.62</v>
      </c>
      <c r="E811" s="66">
        <v>27.25</v>
      </c>
      <c r="F811" s="66">
        <v>6.83</v>
      </c>
      <c r="G811" s="65">
        <v>126.80999999999997</v>
      </c>
      <c r="H811" s="54">
        <v>7.200000000000002</v>
      </c>
      <c r="I811" s="35"/>
    </row>
    <row r="812" spans="1:9" x14ac:dyDescent="0.2">
      <c r="A812" s="43" t="s">
        <v>79</v>
      </c>
      <c r="B812" s="66">
        <v>56.919999999999973</v>
      </c>
      <c r="C812" s="66">
        <v>16.64</v>
      </c>
      <c r="D812" s="66">
        <v>12.62</v>
      </c>
      <c r="E812" s="66">
        <v>27.25</v>
      </c>
      <c r="F812" s="66">
        <v>6.83</v>
      </c>
      <c r="G812" s="65">
        <v>120.25999999999998</v>
      </c>
      <c r="H812" s="54">
        <v>7.200000000000002</v>
      </c>
      <c r="I812" s="35"/>
    </row>
    <row r="813" spans="1:9" x14ac:dyDescent="0.2">
      <c r="A813" s="43" t="s">
        <v>80</v>
      </c>
      <c r="B813" s="66">
        <v>58.109999999999971</v>
      </c>
      <c r="C813" s="66">
        <v>17.04</v>
      </c>
      <c r="D813" s="66">
        <v>12.62</v>
      </c>
      <c r="E813" s="66">
        <v>27.25</v>
      </c>
      <c r="F813" s="66">
        <v>6.83</v>
      </c>
      <c r="G813" s="65">
        <v>121.84999999999998</v>
      </c>
      <c r="H813" s="54">
        <v>7.200000000000002</v>
      </c>
      <c r="I813" s="35"/>
    </row>
    <row r="814" spans="1:9" x14ac:dyDescent="0.2">
      <c r="A814" s="43" t="s">
        <v>53</v>
      </c>
      <c r="B814" s="66">
        <v>53.049999999999976</v>
      </c>
      <c r="C814" s="66">
        <v>15.35</v>
      </c>
      <c r="D814" s="66">
        <v>12.62</v>
      </c>
      <c r="E814" s="66">
        <v>27.25</v>
      </c>
      <c r="F814" s="66">
        <v>6.83</v>
      </c>
      <c r="G814" s="65">
        <v>115.09999999999998</v>
      </c>
      <c r="H814" s="54">
        <v>7.200000000000002</v>
      </c>
      <c r="I814" s="35"/>
    </row>
    <row r="815" spans="1:9" x14ac:dyDescent="0.2">
      <c r="A815" s="43" t="s">
        <v>81</v>
      </c>
      <c r="B815" s="66">
        <v>50.899999999999977</v>
      </c>
      <c r="C815" s="66">
        <v>14.63</v>
      </c>
      <c r="D815" s="66">
        <v>12.62</v>
      </c>
      <c r="E815" s="66">
        <v>27.25</v>
      </c>
      <c r="F815" s="66">
        <v>6.83</v>
      </c>
      <c r="G815" s="65">
        <v>112.22999999999998</v>
      </c>
      <c r="H815" s="54">
        <v>7.200000000000002</v>
      </c>
      <c r="I815" s="35"/>
    </row>
    <row r="816" spans="1:9" x14ac:dyDescent="0.2">
      <c r="A816" s="43" t="s">
        <v>82</v>
      </c>
      <c r="B816" s="66">
        <v>47.669999999999973</v>
      </c>
      <c r="C816" s="66">
        <v>13.55</v>
      </c>
      <c r="D816" s="66">
        <v>12.62</v>
      </c>
      <c r="E816" s="66">
        <v>27.25</v>
      </c>
      <c r="F816" s="66">
        <v>6.83</v>
      </c>
      <c r="G816" s="65">
        <v>107.91999999999997</v>
      </c>
      <c r="H816" s="54">
        <v>7.200000000000002</v>
      </c>
      <c r="I816" s="35"/>
    </row>
    <row r="817" spans="1:9" x14ac:dyDescent="0.2">
      <c r="A817" s="43" t="s">
        <v>83</v>
      </c>
      <c r="B817" s="66">
        <v>45.679999999999971</v>
      </c>
      <c r="C817" s="66">
        <v>12.88</v>
      </c>
      <c r="D817" s="66">
        <v>12.62</v>
      </c>
      <c r="E817" s="66">
        <v>27.25</v>
      </c>
      <c r="F817" s="66">
        <v>6.83</v>
      </c>
      <c r="G817" s="65">
        <v>105.25999999999998</v>
      </c>
      <c r="H817" s="54">
        <v>7.200000000000002</v>
      </c>
      <c r="I817" s="35"/>
    </row>
    <row r="818" spans="1:9" x14ac:dyDescent="0.2">
      <c r="A818" s="43" t="s">
        <v>84</v>
      </c>
      <c r="B818" s="66">
        <v>42.119999999999976</v>
      </c>
      <c r="C818" s="66">
        <v>11.69</v>
      </c>
      <c r="D818" s="66">
        <v>12.62</v>
      </c>
      <c r="E818" s="66">
        <v>27.25</v>
      </c>
      <c r="F818" s="66">
        <v>6.83</v>
      </c>
      <c r="G818" s="65">
        <v>100.50999999999998</v>
      </c>
      <c r="H818" s="54">
        <v>7.200000000000002</v>
      </c>
      <c r="I818" s="35"/>
    </row>
    <row r="819" spans="1:9" x14ac:dyDescent="0.2">
      <c r="A819" s="43" t="s">
        <v>85</v>
      </c>
      <c r="B819" s="66">
        <v>37.769999999999975</v>
      </c>
      <c r="C819" s="66">
        <v>10.23</v>
      </c>
      <c r="D819" s="66">
        <v>12.62</v>
      </c>
      <c r="E819" s="66">
        <v>27.25</v>
      </c>
      <c r="F819" s="66">
        <v>6.83</v>
      </c>
      <c r="G819" s="65">
        <v>94.699999999999974</v>
      </c>
      <c r="H819" s="54">
        <v>7.200000000000002</v>
      </c>
      <c r="I819" s="35"/>
    </row>
    <row r="820" spans="1:9" x14ac:dyDescent="0.2">
      <c r="A820" s="43" t="s">
        <v>86</v>
      </c>
      <c r="B820" s="66">
        <v>34.059999999999974</v>
      </c>
      <c r="C820" s="66">
        <v>9</v>
      </c>
      <c r="D820" s="66">
        <v>12.62</v>
      </c>
      <c r="E820" s="66">
        <v>27.25</v>
      </c>
      <c r="F820" s="66">
        <v>6.83</v>
      </c>
      <c r="G820" s="65">
        <v>89.759999999999977</v>
      </c>
      <c r="H820" s="54">
        <v>7.200000000000002</v>
      </c>
      <c r="I820" s="35"/>
    </row>
    <row r="821" spans="1:9" x14ac:dyDescent="0.2">
      <c r="A821" s="45" t="s">
        <v>87</v>
      </c>
      <c r="B821" s="66">
        <v>34.059999999999974</v>
      </c>
      <c r="C821" s="66">
        <v>9</v>
      </c>
      <c r="D821" s="66">
        <v>12.62</v>
      </c>
      <c r="E821" s="66">
        <v>27.25</v>
      </c>
      <c r="F821" s="66">
        <v>6.83</v>
      </c>
      <c r="G821" s="65">
        <v>89.759999999999977</v>
      </c>
      <c r="H821" s="54">
        <v>7.200000000000002</v>
      </c>
      <c r="I821" s="35"/>
    </row>
    <row r="822" spans="1:9" x14ac:dyDescent="0.2">
      <c r="A822" s="45" t="s">
        <v>88</v>
      </c>
      <c r="B822" s="66">
        <v>34.059999999999974</v>
      </c>
      <c r="C822" s="66">
        <v>9</v>
      </c>
      <c r="D822" s="66">
        <v>12.62</v>
      </c>
      <c r="E822" s="66">
        <v>27.25</v>
      </c>
      <c r="F822" s="66">
        <v>6.83</v>
      </c>
      <c r="G822" s="65">
        <v>89.759999999999977</v>
      </c>
      <c r="H822" s="54">
        <v>7.200000000000002</v>
      </c>
      <c r="I822" s="35"/>
    </row>
    <row r="823" spans="1:9" x14ac:dyDescent="0.2">
      <c r="A823" s="55"/>
      <c r="B823" s="56"/>
      <c r="C823" s="33"/>
      <c r="D823" s="33"/>
      <c r="E823" s="33"/>
      <c r="F823" s="33"/>
      <c r="G823" s="57"/>
      <c r="H823" s="54"/>
      <c r="I823" s="33"/>
    </row>
    <row r="824" spans="1:9" x14ac:dyDescent="0.2">
      <c r="A824" s="58" t="s">
        <v>119</v>
      </c>
      <c r="B824" s="64">
        <v>96.81</v>
      </c>
      <c r="C824" s="64">
        <v>31.81</v>
      </c>
      <c r="D824" s="49"/>
      <c r="E824" s="49"/>
      <c r="F824" s="49"/>
      <c r="G824" s="50">
        <v>128.62</v>
      </c>
      <c r="H824" s="54">
        <v>0</v>
      </c>
      <c r="I824" s="33"/>
    </row>
    <row r="825" spans="1:9" x14ac:dyDescent="0.2">
      <c r="A825" s="51" t="s">
        <v>120</v>
      </c>
      <c r="B825" s="64">
        <v>38.72</v>
      </c>
      <c r="C825" s="64">
        <v>12.73</v>
      </c>
      <c r="D825" s="49"/>
      <c r="E825" s="49"/>
      <c r="F825" s="49"/>
      <c r="G825" s="50">
        <v>51.45</v>
      </c>
      <c r="H825" s="54">
        <v>0</v>
      </c>
      <c r="I825" s="33"/>
    </row>
    <row r="826" spans="1:9" x14ac:dyDescent="0.2">
      <c r="A826" s="59" t="s">
        <v>121</v>
      </c>
      <c r="B826" s="64">
        <v>58.09</v>
      </c>
      <c r="C826" s="64">
        <v>19.079999999999998</v>
      </c>
      <c r="D826" s="49"/>
      <c r="E826" s="49"/>
      <c r="F826" s="49"/>
      <c r="G826" s="50">
        <v>77.17</v>
      </c>
      <c r="H826" s="54">
        <v>0</v>
      </c>
      <c r="I826" s="33"/>
    </row>
    <row r="828" spans="1:9" ht="15.75" x14ac:dyDescent="0.25">
      <c r="A828" s="41" t="s">
        <v>158</v>
      </c>
      <c r="B828" s="42"/>
      <c r="C828" s="42"/>
      <c r="D828" s="42"/>
      <c r="E828" s="42"/>
      <c r="F828" s="42"/>
      <c r="G828" s="42"/>
      <c r="H828" s="52"/>
      <c r="I828" s="33"/>
    </row>
    <row r="829" spans="1:9" ht="76.5" x14ac:dyDescent="0.2">
      <c r="A829" s="37" t="s">
        <v>92</v>
      </c>
      <c r="B829" s="61" t="s">
        <v>114</v>
      </c>
      <c r="C829" s="61" t="s">
        <v>115</v>
      </c>
      <c r="D829" s="62" t="s">
        <v>116</v>
      </c>
      <c r="E829" s="61" t="s">
        <v>117</v>
      </c>
      <c r="F829" s="61" t="s">
        <v>118</v>
      </c>
      <c r="G829" s="62" t="s">
        <v>15</v>
      </c>
      <c r="H829" s="53" t="s">
        <v>159</v>
      </c>
      <c r="I829" s="33"/>
    </row>
    <row r="830" spans="1:9" x14ac:dyDescent="0.2">
      <c r="A830" s="43" t="s">
        <v>54</v>
      </c>
      <c r="B830" s="66">
        <v>117.47000000000011</v>
      </c>
      <c r="C830" s="66">
        <v>36.79</v>
      </c>
      <c r="D830" s="66">
        <v>12.62</v>
      </c>
      <c r="E830" s="66">
        <v>27.25</v>
      </c>
      <c r="F830" s="66">
        <v>6.83</v>
      </c>
      <c r="G830" s="65">
        <v>200.96000000000012</v>
      </c>
      <c r="H830" s="54">
        <v>7.6000000000000023</v>
      </c>
      <c r="I830" s="35"/>
    </row>
    <row r="831" spans="1:9" x14ac:dyDescent="0.2">
      <c r="A831" s="43" t="s">
        <v>55</v>
      </c>
      <c r="B831" s="66">
        <v>100.57000000000011</v>
      </c>
      <c r="C831" s="66">
        <v>31.12</v>
      </c>
      <c r="D831" s="66">
        <v>12.62</v>
      </c>
      <c r="E831" s="66">
        <v>27.25</v>
      </c>
      <c r="F831" s="66">
        <v>6.83</v>
      </c>
      <c r="G831" s="65">
        <v>178.39000000000013</v>
      </c>
      <c r="H831" s="54">
        <v>7.6000000000000023</v>
      </c>
      <c r="I831" s="35"/>
    </row>
    <row r="832" spans="1:9" x14ac:dyDescent="0.2">
      <c r="A832" s="43" t="s">
        <v>56</v>
      </c>
      <c r="B832" s="66">
        <v>92.780000000000115</v>
      </c>
      <c r="C832" s="66">
        <v>28.52</v>
      </c>
      <c r="D832" s="66">
        <v>12.62</v>
      </c>
      <c r="E832" s="66">
        <v>27.25</v>
      </c>
      <c r="F832" s="66">
        <v>6.83</v>
      </c>
      <c r="G832" s="65">
        <v>168.00000000000011</v>
      </c>
      <c r="H832" s="54">
        <v>7.6000000000000023</v>
      </c>
      <c r="I832" s="35"/>
    </row>
    <row r="833" spans="1:9" x14ac:dyDescent="0.2">
      <c r="A833" s="43" t="s">
        <v>57</v>
      </c>
      <c r="B833" s="66">
        <v>78.300000000000111</v>
      </c>
      <c r="C833" s="66">
        <v>23.67</v>
      </c>
      <c r="D833" s="66">
        <v>12.62</v>
      </c>
      <c r="E833" s="66">
        <v>27.25</v>
      </c>
      <c r="F833" s="66">
        <v>6.83</v>
      </c>
      <c r="G833" s="65">
        <v>148.67000000000013</v>
      </c>
      <c r="H833" s="54">
        <v>7.6000000000000023</v>
      </c>
      <c r="I833" s="35"/>
    </row>
    <row r="834" spans="1:9" x14ac:dyDescent="0.2">
      <c r="A834" s="43" t="s">
        <v>58</v>
      </c>
      <c r="B834" s="66">
        <v>145.62000000000012</v>
      </c>
      <c r="C834" s="66">
        <v>46.21</v>
      </c>
      <c r="D834" s="66">
        <v>12.62</v>
      </c>
      <c r="E834" s="66">
        <v>27.25</v>
      </c>
      <c r="F834" s="66">
        <v>6.83</v>
      </c>
      <c r="G834" s="65">
        <v>238.53000000000014</v>
      </c>
      <c r="H834" s="54">
        <v>7.6000000000000023</v>
      </c>
      <c r="I834" s="35"/>
    </row>
    <row r="835" spans="1:9" x14ac:dyDescent="0.2">
      <c r="A835" s="43" t="s">
        <v>59</v>
      </c>
      <c r="B835" s="66">
        <v>119.50000000000011</v>
      </c>
      <c r="C835" s="66">
        <v>37.47</v>
      </c>
      <c r="D835" s="66">
        <v>12.62</v>
      </c>
      <c r="E835" s="66">
        <v>27.25</v>
      </c>
      <c r="F835" s="66">
        <v>6.83</v>
      </c>
      <c r="G835" s="65">
        <v>203.67000000000013</v>
      </c>
      <c r="H835" s="54">
        <v>7.6000000000000023</v>
      </c>
      <c r="I835" s="35"/>
    </row>
    <row r="836" spans="1:9" x14ac:dyDescent="0.2">
      <c r="A836" s="43" t="s">
        <v>60</v>
      </c>
      <c r="B836" s="66">
        <v>100.16000000000011</v>
      </c>
      <c r="C836" s="66">
        <v>30.99</v>
      </c>
      <c r="D836" s="66">
        <v>12.62</v>
      </c>
      <c r="E836" s="66">
        <v>27.25</v>
      </c>
      <c r="F836" s="66">
        <v>6.83</v>
      </c>
      <c r="G836" s="65">
        <v>177.85000000000014</v>
      </c>
      <c r="H836" s="54">
        <v>7.6000000000000023</v>
      </c>
      <c r="I836" s="35"/>
    </row>
    <row r="837" spans="1:9" x14ac:dyDescent="0.2">
      <c r="A837" s="43" t="s">
        <v>61</v>
      </c>
      <c r="B837" s="66">
        <v>97.180000000000106</v>
      </c>
      <c r="C837" s="66">
        <v>29.99</v>
      </c>
      <c r="D837" s="66">
        <v>12.62</v>
      </c>
      <c r="E837" s="66">
        <v>27.25</v>
      </c>
      <c r="F837" s="66">
        <v>6.83</v>
      </c>
      <c r="G837" s="65">
        <v>173.87000000000012</v>
      </c>
      <c r="H837" s="54">
        <v>7.6000000000000023</v>
      </c>
      <c r="I837" s="35"/>
    </row>
    <row r="838" spans="1:9" x14ac:dyDescent="0.2">
      <c r="A838" s="43" t="s">
        <v>62</v>
      </c>
      <c r="B838" s="66">
        <v>90.380000000000109</v>
      </c>
      <c r="C838" s="66">
        <v>27.71</v>
      </c>
      <c r="D838" s="66">
        <v>12.62</v>
      </c>
      <c r="E838" s="66">
        <v>27.25</v>
      </c>
      <c r="F838" s="66">
        <v>6.83</v>
      </c>
      <c r="G838" s="65">
        <v>164.79000000000013</v>
      </c>
      <c r="H838" s="54">
        <v>7.6000000000000023</v>
      </c>
      <c r="I838" s="35"/>
    </row>
    <row r="839" spans="1:9" x14ac:dyDescent="0.2">
      <c r="A839" s="43" t="s">
        <v>63</v>
      </c>
      <c r="B839" s="66">
        <v>90.110000000000113</v>
      </c>
      <c r="C839" s="66">
        <v>27.62</v>
      </c>
      <c r="D839" s="66">
        <v>12.62</v>
      </c>
      <c r="E839" s="66">
        <v>27.25</v>
      </c>
      <c r="F839" s="66">
        <v>6.83</v>
      </c>
      <c r="G839" s="65">
        <v>164.43000000000012</v>
      </c>
      <c r="H839" s="54">
        <v>7.6000000000000023</v>
      </c>
      <c r="I839" s="35"/>
    </row>
    <row r="840" spans="1:9" x14ac:dyDescent="0.2">
      <c r="A840" s="43" t="s">
        <v>64</v>
      </c>
      <c r="B840" s="66">
        <v>74.360000000000113</v>
      </c>
      <c r="C840" s="66">
        <v>22.36</v>
      </c>
      <c r="D840" s="66">
        <v>12.62</v>
      </c>
      <c r="E840" s="66">
        <v>27.25</v>
      </c>
      <c r="F840" s="66">
        <v>6.83</v>
      </c>
      <c r="G840" s="65">
        <v>143.42000000000013</v>
      </c>
      <c r="H840" s="54">
        <v>7.6000000000000023</v>
      </c>
      <c r="I840" s="35"/>
    </row>
    <row r="841" spans="1:9" x14ac:dyDescent="0.2">
      <c r="A841" s="43" t="s">
        <v>65</v>
      </c>
      <c r="B841" s="66">
        <v>69.000000000000057</v>
      </c>
      <c r="C841" s="66">
        <v>20.55</v>
      </c>
      <c r="D841" s="66">
        <v>12.62</v>
      </c>
      <c r="E841" s="66">
        <v>27.25</v>
      </c>
      <c r="F841" s="66">
        <v>6.83</v>
      </c>
      <c r="G841" s="65">
        <v>136.25000000000009</v>
      </c>
      <c r="H841" s="54">
        <v>7.6000000000000023</v>
      </c>
      <c r="I841" s="35"/>
    </row>
    <row r="842" spans="1:9" x14ac:dyDescent="0.2">
      <c r="A842" s="43" t="s">
        <v>66</v>
      </c>
      <c r="B842" s="66">
        <v>65.95</v>
      </c>
      <c r="C842" s="66">
        <v>19.54</v>
      </c>
      <c r="D842" s="66">
        <v>12.62</v>
      </c>
      <c r="E842" s="66">
        <v>27.25</v>
      </c>
      <c r="F842" s="66">
        <v>6.83</v>
      </c>
      <c r="G842" s="65">
        <v>132.19000000000003</v>
      </c>
      <c r="H842" s="54">
        <v>7.6000000000000023</v>
      </c>
      <c r="I842" s="35"/>
    </row>
    <row r="843" spans="1:9" x14ac:dyDescent="0.2">
      <c r="A843" s="43" t="s">
        <v>67</v>
      </c>
      <c r="B843" s="66">
        <v>61.729999999999976</v>
      </c>
      <c r="C843" s="66">
        <v>18.13</v>
      </c>
      <c r="D843" s="66">
        <v>12.62</v>
      </c>
      <c r="E843" s="66">
        <v>27.25</v>
      </c>
      <c r="F843" s="66">
        <v>6.83</v>
      </c>
      <c r="G843" s="65">
        <v>126.55999999999997</v>
      </c>
      <c r="H843" s="54">
        <v>7.6000000000000023</v>
      </c>
      <c r="I843" s="35"/>
    </row>
    <row r="844" spans="1:9" x14ac:dyDescent="0.2">
      <c r="A844" s="43" t="s">
        <v>68</v>
      </c>
      <c r="B844" s="66">
        <v>57.21999999999997</v>
      </c>
      <c r="C844" s="66">
        <v>16.62</v>
      </c>
      <c r="D844" s="66">
        <v>12.62</v>
      </c>
      <c r="E844" s="66">
        <v>27.25</v>
      </c>
      <c r="F844" s="66">
        <v>6.83</v>
      </c>
      <c r="G844" s="65">
        <v>120.53999999999998</v>
      </c>
      <c r="H844" s="54">
        <v>7.6000000000000023</v>
      </c>
      <c r="I844" s="35"/>
    </row>
    <row r="845" spans="1:9" x14ac:dyDescent="0.2">
      <c r="A845" s="43" t="s">
        <v>69</v>
      </c>
      <c r="B845" s="66">
        <v>52.14999999999997</v>
      </c>
      <c r="C845" s="66">
        <v>14.91</v>
      </c>
      <c r="D845" s="66">
        <v>12.62</v>
      </c>
      <c r="E845" s="66">
        <v>27.25</v>
      </c>
      <c r="F845" s="66">
        <v>6.83</v>
      </c>
      <c r="G845" s="65">
        <v>113.75999999999998</v>
      </c>
      <c r="H845" s="54">
        <v>7.6000000000000023</v>
      </c>
      <c r="I845" s="35"/>
    </row>
    <row r="846" spans="1:9" x14ac:dyDescent="0.2">
      <c r="A846" s="43" t="s">
        <v>70</v>
      </c>
      <c r="B846" s="66">
        <v>57.359999999999971</v>
      </c>
      <c r="C846" s="66">
        <v>16.649999999999999</v>
      </c>
      <c r="D846" s="66">
        <v>12.62</v>
      </c>
      <c r="E846" s="66">
        <v>27.25</v>
      </c>
      <c r="F846" s="66">
        <v>6.83</v>
      </c>
      <c r="G846" s="65">
        <v>120.70999999999997</v>
      </c>
      <c r="H846" s="54">
        <v>7.6000000000000023</v>
      </c>
      <c r="I846" s="35"/>
    </row>
    <row r="847" spans="1:9" x14ac:dyDescent="0.2">
      <c r="A847" s="43" t="s">
        <v>71</v>
      </c>
      <c r="B847" s="66">
        <v>51.619999999999976</v>
      </c>
      <c r="C847" s="66">
        <v>14.73</v>
      </c>
      <c r="D847" s="66">
        <v>12.62</v>
      </c>
      <c r="E847" s="66">
        <v>27.25</v>
      </c>
      <c r="F847" s="66">
        <v>6.83</v>
      </c>
      <c r="G847" s="65">
        <v>113.04999999999998</v>
      </c>
      <c r="H847" s="54">
        <v>7.6000000000000023</v>
      </c>
      <c r="I847" s="35"/>
    </row>
    <row r="848" spans="1:9" x14ac:dyDescent="0.2">
      <c r="A848" s="43" t="s">
        <v>72</v>
      </c>
      <c r="B848" s="66">
        <v>44.75999999999997</v>
      </c>
      <c r="C848" s="66">
        <v>12.44</v>
      </c>
      <c r="D848" s="66">
        <v>12.62</v>
      </c>
      <c r="E848" s="66">
        <v>27.25</v>
      </c>
      <c r="F848" s="66">
        <v>6.83</v>
      </c>
      <c r="G848" s="65">
        <v>103.89999999999996</v>
      </c>
      <c r="H848" s="54">
        <v>7.6000000000000023</v>
      </c>
      <c r="I848" s="35"/>
    </row>
    <row r="849" spans="1:9" x14ac:dyDescent="0.2">
      <c r="A849" s="43" t="s">
        <v>73</v>
      </c>
      <c r="B849" s="66">
        <v>41.029999999999973</v>
      </c>
      <c r="C849" s="66">
        <v>11.19</v>
      </c>
      <c r="D849" s="66">
        <v>12.62</v>
      </c>
      <c r="E849" s="66">
        <v>27.25</v>
      </c>
      <c r="F849" s="66">
        <v>6.83</v>
      </c>
      <c r="G849" s="65">
        <v>98.919999999999973</v>
      </c>
      <c r="H849" s="54">
        <v>7.6000000000000023</v>
      </c>
      <c r="I849" s="35"/>
    </row>
    <row r="850" spans="1:9" x14ac:dyDescent="0.2">
      <c r="A850" s="43" t="s">
        <v>74</v>
      </c>
      <c r="B850" s="66">
        <v>55.819999999999972</v>
      </c>
      <c r="C850" s="66">
        <v>16.14</v>
      </c>
      <c r="D850" s="66">
        <v>12.62</v>
      </c>
      <c r="E850" s="66">
        <v>27.25</v>
      </c>
      <c r="F850" s="66">
        <v>6.83</v>
      </c>
      <c r="G850" s="65">
        <v>118.65999999999998</v>
      </c>
      <c r="H850" s="54">
        <v>7.6000000000000023</v>
      </c>
      <c r="I850" s="35"/>
    </row>
    <row r="851" spans="1:9" x14ac:dyDescent="0.2">
      <c r="A851" s="43" t="s">
        <v>75</v>
      </c>
      <c r="B851" s="66">
        <v>47.909999999999975</v>
      </c>
      <c r="C851" s="66">
        <v>13.5</v>
      </c>
      <c r="D851" s="66">
        <v>12.62</v>
      </c>
      <c r="E851" s="66">
        <v>27.25</v>
      </c>
      <c r="F851" s="66">
        <v>6.83</v>
      </c>
      <c r="G851" s="65">
        <v>108.10999999999997</v>
      </c>
      <c r="H851" s="54">
        <v>7.6000000000000023</v>
      </c>
      <c r="I851" s="35"/>
    </row>
    <row r="852" spans="1:9" x14ac:dyDescent="0.2">
      <c r="A852" s="43" t="s">
        <v>76</v>
      </c>
      <c r="B852" s="66">
        <v>43.409999999999975</v>
      </c>
      <c r="C852" s="66">
        <v>11.99</v>
      </c>
      <c r="D852" s="66">
        <v>12.62</v>
      </c>
      <c r="E852" s="66">
        <v>27.25</v>
      </c>
      <c r="F852" s="66">
        <v>6.83</v>
      </c>
      <c r="G852" s="65">
        <v>102.09999999999998</v>
      </c>
      <c r="H852" s="54">
        <v>7.6000000000000023</v>
      </c>
      <c r="I852" s="35"/>
    </row>
    <row r="853" spans="1:9" x14ac:dyDescent="0.2">
      <c r="A853" s="43" t="s">
        <v>77</v>
      </c>
      <c r="B853" s="66">
        <v>36.669999999999973</v>
      </c>
      <c r="C853" s="66">
        <v>9.74</v>
      </c>
      <c r="D853" s="66">
        <v>12.62</v>
      </c>
      <c r="E853" s="66">
        <v>27.25</v>
      </c>
      <c r="F853" s="66">
        <v>6.83</v>
      </c>
      <c r="G853" s="65">
        <v>93.109999999999971</v>
      </c>
      <c r="H853" s="54">
        <v>7.6000000000000023</v>
      </c>
      <c r="I853" s="35"/>
    </row>
    <row r="854" spans="1:9" x14ac:dyDescent="0.2">
      <c r="A854" s="43" t="s">
        <v>78</v>
      </c>
      <c r="B854" s="66">
        <v>62.21999999999997</v>
      </c>
      <c r="C854" s="66">
        <v>18.29</v>
      </c>
      <c r="D854" s="66">
        <v>12.62</v>
      </c>
      <c r="E854" s="66">
        <v>27.25</v>
      </c>
      <c r="F854" s="66">
        <v>6.83</v>
      </c>
      <c r="G854" s="65">
        <v>127.20999999999997</v>
      </c>
      <c r="H854" s="54">
        <v>7.6000000000000023</v>
      </c>
      <c r="I854" s="35"/>
    </row>
    <row r="855" spans="1:9" x14ac:dyDescent="0.2">
      <c r="A855" s="43" t="s">
        <v>79</v>
      </c>
      <c r="B855" s="66">
        <v>57.319999999999972</v>
      </c>
      <c r="C855" s="66">
        <v>16.64</v>
      </c>
      <c r="D855" s="66">
        <v>12.62</v>
      </c>
      <c r="E855" s="66">
        <v>27.25</v>
      </c>
      <c r="F855" s="66">
        <v>6.83</v>
      </c>
      <c r="G855" s="65">
        <v>120.65999999999998</v>
      </c>
      <c r="H855" s="54">
        <v>7.6000000000000023</v>
      </c>
      <c r="I855" s="35"/>
    </row>
    <row r="856" spans="1:9" x14ac:dyDescent="0.2">
      <c r="A856" s="43" t="s">
        <v>80</v>
      </c>
      <c r="B856" s="66">
        <v>58.50999999999997</v>
      </c>
      <c r="C856" s="66">
        <v>17.04</v>
      </c>
      <c r="D856" s="66">
        <v>12.62</v>
      </c>
      <c r="E856" s="66">
        <v>27.25</v>
      </c>
      <c r="F856" s="66">
        <v>6.83</v>
      </c>
      <c r="G856" s="65">
        <v>122.24999999999997</v>
      </c>
      <c r="H856" s="54">
        <v>7.6000000000000023</v>
      </c>
      <c r="I856" s="35"/>
    </row>
    <row r="857" spans="1:9" x14ac:dyDescent="0.2">
      <c r="A857" s="43" t="s">
        <v>53</v>
      </c>
      <c r="B857" s="66">
        <v>53.449999999999974</v>
      </c>
      <c r="C857" s="66">
        <v>15.35</v>
      </c>
      <c r="D857" s="66">
        <v>12.62</v>
      </c>
      <c r="E857" s="66">
        <v>27.25</v>
      </c>
      <c r="F857" s="66">
        <v>6.83</v>
      </c>
      <c r="G857" s="65">
        <v>115.49999999999997</v>
      </c>
      <c r="H857" s="54">
        <v>7.6000000000000023</v>
      </c>
      <c r="I857" s="35"/>
    </row>
    <row r="858" spans="1:9" x14ac:dyDescent="0.2">
      <c r="A858" s="43" t="s">
        <v>81</v>
      </c>
      <c r="B858" s="66">
        <v>51.299999999999976</v>
      </c>
      <c r="C858" s="66">
        <v>14.63</v>
      </c>
      <c r="D858" s="66">
        <v>12.62</v>
      </c>
      <c r="E858" s="66">
        <v>27.25</v>
      </c>
      <c r="F858" s="66">
        <v>6.83</v>
      </c>
      <c r="G858" s="65">
        <v>112.62999999999998</v>
      </c>
      <c r="H858" s="54">
        <v>7.6000000000000023</v>
      </c>
      <c r="I858" s="35"/>
    </row>
    <row r="859" spans="1:9" x14ac:dyDescent="0.2">
      <c r="A859" s="43" t="s">
        <v>82</v>
      </c>
      <c r="B859" s="66">
        <v>48.069999999999972</v>
      </c>
      <c r="C859" s="66">
        <v>13.55</v>
      </c>
      <c r="D859" s="66">
        <v>12.62</v>
      </c>
      <c r="E859" s="66">
        <v>27.25</v>
      </c>
      <c r="F859" s="66">
        <v>6.83</v>
      </c>
      <c r="G859" s="65">
        <v>108.31999999999998</v>
      </c>
      <c r="H859" s="54">
        <v>7.6000000000000023</v>
      </c>
      <c r="I859" s="35"/>
    </row>
    <row r="860" spans="1:9" x14ac:dyDescent="0.2">
      <c r="A860" s="43" t="s">
        <v>83</v>
      </c>
      <c r="B860" s="66">
        <v>46.07999999999997</v>
      </c>
      <c r="C860" s="66">
        <v>12.88</v>
      </c>
      <c r="D860" s="66">
        <v>12.62</v>
      </c>
      <c r="E860" s="66">
        <v>27.25</v>
      </c>
      <c r="F860" s="66">
        <v>6.83</v>
      </c>
      <c r="G860" s="65">
        <v>105.65999999999997</v>
      </c>
      <c r="H860" s="54">
        <v>7.6000000000000023</v>
      </c>
      <c r="I860" s="35"/>
    </row>
    <row r="861" spans="1:9" x14ac:dyDescent="0.2">
      <c r="A861" s="43" t="s">
        <v>84</v>
      </c>
      <c r="B861" s="66">
        <v>42.519999999999975</v>
      </c>
      <c r="C861" s="66">
        <v>11.69</v>
      </c>
      <c r="D861" s="66">
        <v>12.62</v>
      </c>
      <c r="E861" s="66">
        <v>27.25</v>
      </c>
      <c r="F861" s="66">
        <v>6.83</v>
      </c>
      <c r="G861" s="65">
        <v>100.90999999999997</v>
      </c>
      <c r="H861" s="54">
        <v>7.6000000000000023</v>
      </c>
      <c r="I861" s="35"/>
    </row>
    <row r="862" spans="1:9" x14ac:dyDescent="0.2">
      <c r="A862" s="43" t="s">
        <v>85</v>
      </c>
      <c r="B862" s="66">
        <v>38.169999999999973</v>
      </c>
      <c r="C862" s="66">
        <v>10.23</v>
      </c>
      <c r="D862" s="66">
        <v>12.62</v>
      </c>
      <c r="E862" s="66">
        <v>27.25</v>
      </c>
      <c r="F862" s="66">
        <v>6.83</v>
      </c>
      <c r="G862" s="65">
        <v>95.09999999999998</v>
      </c>
      <c r="H862" s="54">
        <v>7.6000000000000023</v>
      </c>
      <c r="I862" s="35"/>
    </row>
    <row r="863" spans="1:9" x14ac:dyDescent="0.2">
      <c r="A863" s="43" t="s">
        <v>86</v>
      </c>
      <c r="B863" s="66">
        <v>34.459999999999972</v>
      </c>
      <c r="C863" s="66">
        <v>9</v>
      </c>
      <c r="D863" s="66">
        <v>12.62</v>
      </c>
      <c r="E863" s="66">
        <v>27.25</v>
      </c>
      <c r="F863" s="66">
        <v>6.83</v>
      </c>
      <c r="G863" s="65">
        <v>90.159999999999968</v>
      </c>
      <c r="H863" s="54">
        <v>7.6000000000000023</v>
      </c>
      <c r="I863" s="35"/>
    </row>
    <row r="864" spans="1:9" x14ac:dyDescent="0.2">
      <c r="A864" s="45" t="s">
        <v>87</v>
      </c>
      <c r="B864" s="66">
        <v>34.459999999999972</v>
      </c>
      <c r="C864" s="66">
        <v>9</v>
      </c>
      <c r="D864" s="66">
        <v>12.62</v>
      </c>
      <c r="E864" s="66">
        <v>27.25</v>
      </c>
      <c r="F864" s="66">
        <v>6.83</v>
      </c>
      <c r="G864" s="65">
        <v>90.159999999999968</v>
      </c>
      <c r="H864" s="54">
        <v>7.6000000000000023</v>
      </c>
      <c r="I864" s="35"/>
    </row>
    <row r="865" spans="1:9" x14ac:dyDescent="0.2">
      <c r="A865" s="45" t="s">
        <v>88</v>
      </c>
      <c r="B865" s="66">
        <v>34.459999999999972</v>
      </c>
      <c r="C865" s="66">
        <v>9</v>
      </c>
      <c r="D865" s="66">
        <v>12.62</v>
      </c>
      <c r="E865" s="66">
        <v>27.25</v>
      </c>
      <c r="F865" s="66">
        <v>6.83</v>
      </c>
      <c r="G865" s="65">
        <v>90.159999999999968</v>
      </c>
      <c r="H865" s="54">
        <v>7.6000000000000023</v>
      </c>
      <c r="I865" s="35"/>
    </row>
    <row r="866" spans="1:9" x14ac:dyDescent="0.2">
      <c r="A866" s="55"/>
      <c r="B866" s="56"/>
      <c r="C866" s="33"/>
      <c r="D866" s="33"/>
      <c r="E866" s="33"/>
      <c r="F866" s="33"/>
      <c r="G866" s="57"/>
      <c r="H866" s="54"/>
      <c r="I866" s="33"/>
    </row>
    <row r="867" spans="1:9" x14ac:dyDescent="0.2">
      <c r="A867" s="58" t="s">
        <v>119</v>
      </c>
      <c r="B867" s="64">
        <v>96.81</v>
      </c>
      <c r="C867" s="64">
        <v>31.81</v>
      </c>
      <c r="D867" s="49"/>
      <c r="E867" s="49"/>
      <c r="F867" s="49"/>
      <c r="G867" s="50">
        <v>128.62</v>
      </c>
      <c r="H867" s="54">
        <v>0</v>
      </c>
      <c r="I867" s="33"/>
    </row>
    <row r="868" spans="1:9" x14ac:dyDescent="0.2">
      <c r="A868" s="51" t="s">
        <v>120</v>
      </c>
      <c r="B868" s="64">
        <v>38.72</v>
      </c>
      <c r="C868" s="64">
        <v>12.73</v>
      </c>
      <c r="D868" s="49"/>
      <c r="E868" s="49"/>
      <c r="F868" s="49"/>
      <c r="G868" s="50">
        <v>51.45</v>
      </c>
      <c r="H868" s="54">
        <v>0</v>
      </c>
      <c r="I868" s="33"/>
    </row>
    <row r="869" spans="1:9" x14ac:dyDescent="0.2">
      <c r="A869" s="59" t="s">
        <v>121</v>
      </c>
      <c r="B869" s="64">
        <v>58.09</v>
      </c>
      <c r="C869" s="64">
        <v>19.079999999999998</v>
      </c>
      <c r="D869" s="49"/>
      <c r="E869" s="49"/>
      <c r="F869" s="49"/>
      <c r="G869" s="50">
        <v>77.17</v>
      </c>
      <c r="H869" s="54">
        <v>0</v>
      </c>
      <c r="I869" s="33"/>
    </row>
    <row r="871" spans="1:9" ht="15.75" x14ac:dyDescent="0.25">
      <c r="A871" s="41" t="s">
        <v>160</v>
      </c>
      <c r="B871" s="42"/>
      <c r="C871" s="42"/>
      <c r="D871" s="42"/>
      <c r="E871" s="42"/>
      <c r="F871" s="42"/>
      <c r="G871" s="42"/>
      <c r="H871" s="52"/>
      <c r="I871" s="33"/>
    </row>
    <row r="872" spans="1:9" ht="76.5" x14ac:dyDescent="0.2">
      <c r="A872" s="37" t="s">
        <v>92</v>
      </c>
      <c r="B872" s="61" t="s">
        <v>114</v>
      </c>
      <c r="C872" s="61" t="s">
        <v>115</v>
      </c>
      <c r="D872" s="62" t="s">
        <v>116</v>
      </c>
      <c r="E872" s="61" t="s">
        <v>117</v>
      </c>
      <c r="F872" s="61" t="s">
        <v>118</v>
      </c>
      <c r="G872" s="62" t="s">
        <v>15</v>
      </c>
      <c r="H872" s="53" t="s">
        <v>161</v>
      </c>
      <c r="I872" s="33"/>
    </row>
    <row r="873" spans="1:9" x14ac:dyDescent="0.2">
      <c r="A873" s="43" t="s">
        <v>54</v>
      </c>
      <c r="B873" s="66">
        <v>117.87000000000012</v>
      </c>
      <c r="C873" s="66">
        <v>36.79</v>
      </c>
      <c r="D873" s="66">
        <v>12.62</v>
      </c>
      <c r="E873" s="66">
        <v>27.25</v>
      </c>
      <c r="F873" s="66">
        <v>6.83</v>
      </c>
      <c r="G873" s="65">
        <v>201.36000000000013</v>
      </c>
      <c r="H873" s="54">
        <v>8.0000000000000018</v>
      </c>
      <c r="I873" s="35"/>
    </row>
    <row r="874" spans="1:9" x14ac:dyDescent="0.2">
      <c r="A874" s="43" t="s">
        <v>55</v>
      </c>
      <c r="B874" s="66">
        <v>100.97000000000011</v>
      </c>
      <c r="C874" s="66">
        <v>31.12</v>
      </c>
      <c r="D874" s="66">
        <v>12.62</v>
      </c>
      <c r="E874" s="66">
        <v>27.25</v>
      </c>
      <c r="F874" s="66">
        <v>6.83</v>
      </c>
      <c r="G874" s="65">
        <v>178.79000000000013</v>
      </c>
      <c r="H874" s="54">
        <v>8.0000000000000018</v>
      </c>
      <c r="I874" s="35"/>
    </row>
    <row r="875" spans="1:9" x14ac:dyDescent="0.2">
      <c r="A875" s="43" t="s">
        <v>56</v>
      </c>
      <c r="B875" s="66">
        <v>93.180000000000121</v>
      </c>
      <c r="C875" s="66">
        <v>28.52</v>
      </c>
      <c r="D875" s="66">
        <v>12.62</v>
      </c>
      <c r="E875" s="66">
        <v>27.25</v>
      </c>
      <c r="F875" s="66">
        <v>6.83</v>
      </c>
      <c r="G875" s="65">
        <v>168.40000000000012</v>
      </c>
      <c r="H875" s="54">
        <v>8.0000000000000018</v>
      </c>
      <c r="I875" s="35"/>
    </row>
    <row r="876" spans="1:9" x14ac:dyDescent="0.2">
      <c r="A876" s="43" t="s">
        <v>57</v>
      </c>
      <c r="B876" s="66">
        <v>78.700000000000117</v>
      </c>
      <c r="C876" s="66">
        <v>23.67</v>
      </c>
      <c r="D876" s="66">
        <v>12.62</v>
      </c>
      <c r="E876" s="66">
        <v>27.25</v>
      </c>
      <c r="F876" s="66">
        <v>6.83</v>
      </c>
      <c r="G876" s="65">
        <v>149.07000000000014</v>
      </c>
      <c r="H876" s="54">
        <v>8.0000000000000018</v>
      </c>
      <c r="I876" s="35"/>
    </row>
    <row r="877" spans="1:9" x14ac:dyDescent="0.2">
      <c r="A877" s="43" t="s">
        <v>58</v>
      </c>
      <c r="B877" s="66">
        <v>146.02000000000012</v>
      </c>
      <c r="C877" s="66">
        <v>46.21</v>
      </c>
      <c r="D877" s="66">
        <v>12.62</v>
      </c>
      <c r="E877" s="66">
        <v>27.25</v>
      </c>
      <c r="F877" s="66">
        <v>6.83</v>
      </c>
      <c r="G877" s="65">
        <v>238.93000000000015</v>
      </c>
      <c r="H877" s="54">
        <v>8.0000000000000018</v>
      </c>
      <c r="I877" s="35"/>
    </row>
    <row r="878" spans="1:9" x14ac:dyDescent="0.2">
      <c r="A878" s="43" t="s">
        <v>59</v>
      </c>
      <c r="B878" s="66">
        <v>119.90000000000012</v>
      </c>
      <c r="C878" s="66">
        <v>37.47</v>
      </c>
      <c r="D878" s="66">
        <v>12.62</v>
      </c>
      <c r="E878" s="66">
        <v>27.25</v>
      </c>
      <c r="F878" s="66">
        <v>6.83</v>
      </c>
      <c r="G878" s="65">
        <v>204.07000000000014</v>
      </c>
      <c r="H878" s="54">
        <v>8.0000000000000018</v>
      </c>
      <c r="I878" s="35"/>
    </row>
    <row r="879" spans="1:9" x14ac:dyDescent="0.2">
      <c r="A879" s="43" t="s">
        <v>60</v>
      </c>
      <c r="B879" s="66">
        <v>100.56000000000012</v>
      </c>
      <c r="C879" s="66">
        <v>30.99</v>
      </c>
      <c r="D879" s="66">
        <v>12.62</v>
      </c>
      <c r="E879" s="66">
        <v>27.25</v>
      </c>
      <c r="F879" s="66">
        <v>6.83</v>
      </c>
      <c r="G879" s="65">
        <v>178.25000000000014</v>
      </c>
      <c r="H879" s="54">
        <v>8.0000000000000018</v>
      </c>
      <c r="I879" s="35"/>
    </row>
    <row r="880" spans="1:9" x14ac:dyDescent="0.2">
      <c r="A880" s="43" t="s">
        <v>61</v>
      </c>
      <c r="B880" s="66">
        <v>97.580000000000112</v>
      </c>
      <c r="C880" s="66">
        <v>29.99</v>
      </c>
      <c r="D880" s="66">
        <v>12.62</v>
      </c>
      <c r="E880" s="66">
        <v>27.25</v>
      </c>
      <c r="F880" s="66">
        <v>6.83</v>
      </c>
      <c r="G880" s="65">
        <v>174.27000000000012</v>
      </c>
      <c r="H880" s="54">
        <v>8.0000000000000018</v>
      </c>
      <c r="I880" s="35"/>
    </row>
    <row r="881" spans="1:9" x14ac:dyDescent="0.2">
      <c r="A881" s="43" t="s">
        <v>62</v>
      </c>
      <c r="B881" s="66">
        <v>90.780000000000115</v>
      </c>
      <c r="C881" s="66">
        <v>27.71</v>
      </c>
      <c r="D881" s="66">
        <v>12.62</v>
      </c>
      <c r="E881" s="66">
        <v>27.25</v>
      </c>
      <c r="F881" s="66">
        <v>6.83</v>
      </c>
      <c r="G881" s="65">
        <v>165.19000000000014</v>
      </c>
      <c r="H881" s="54">
        <v>8.0000000000000018</v>
      </c>
      <c r="I881" s="35"/>
    </row>
    <row r="882" spans="1:9" x14ac:dyDescent="0.2">
      <c r="A882" s="43" t="s">
        <v>63</v>
      </c>
      <c r="B882" s="66">
        <v>90.510000000000119</v>
      </c>
      <c r="C882" s="66">
        <v>27.62</v>
      </c>
      <c r="D882" s="66">
        <v>12.62</v>
      </c>
      <c r="E882" s="66">
        <v>27.25</v>
      </c>
      <c r="F882" s="66">
        <v>6.83</v>
      </c>
      <c r="G882" s="65">
        <v>164.83000000000013</v>
      </c>
      <c r="H882" s="54">
        <v>8.0000000000000018</v>
      </c>
      <c r="I882" s="35"/>
    </row>
    <row r="883" spans="1:9" x14ac:dyDescent="0.2">
      <c r="A883" s="43" t="s">
        <v>64</v>
      </c>
      <c r="B883" s="66">
        <v>74.760000000000119</v>
      </c>
      <c r="C883" s="66">
        <v>22.36</v>
      </c>
      <c r="D883" s="66">
        <v>12.62</v>
      </c>
      <c r="E883" s="66">
        <v>27.25</v>
      </c>
      <c r="F883" s="66">
        <v>6.83</v>
      </c>
      <c r="G883" s="65">
        <v>143.82000000000014</v>
      </c>
      <c r="H883" s="54">
        <v>8.0000000000000018</v>
      </c>
      <c r="I883" s="35"/>
    </row>
    <row r="884" spans="1:9" x14ac:dyDescent="0.2">
      <c r="A884" s="43" t="s">
        <v>65</v>
      </c>
      <c r="B884" s="66">
        <v>69.400000000000063</v>
      </c>
      <c r="C884" s="66">
        <v>20.55</v>
      </c>
      <c r="D884" s="66">
        <v>12.62</v>
      </c>
      <c r="E884" s="66">
        <v>27.25</v>
      </c>
      <c r="F884" s="66">
        <v>6.83</v>
      </c>
      <c r="G884" s="65">
        <v>136.65000000000006</v>
      </c>
      <c r="H884" s="54">
        <v>8.0000000000000018</v>
      </c>
      <c r="I884" s="35"/>
    </row>
    <row r="885" spans="1:9" x14ac:dyDescent="0.2">
      <c r="A885" s="43" t="s">
        <v>66</v>
      </c>
      <c r="B885" s="66">
        <v>66.350000000000009</v>
      </c>
      <c r="C885" s="66">
        <v>19.54</v>
      </c>
      <c r="D885" s="66">
        <v>12.62</v>
      </c>
      <c r="E885" s="66">
        <v>27.25</v>
      </c>
      <c r="F885" s="66">
        <v>6.83</v>
      </c>
      <c r="G885" s="65">
        <v>132.59000000000003</v>
      </c>
      <c r="H885" s="54">
        <v>8.0000000000000018</v>
      </c>
      <c r="I885" s="35"/>
    </row>
    <row r="886" spans="1:9" x14ac:dyDescent="0.2">
      <c r="A886" s="43" t="s">
        <v>67</v>
      </c>
      <c r="B886" s="66">
        <v>62.129999999999974</v>
      </c>
      <c r="C886" s="66">
        <v>18.13</v>
      </c>
      <c r="D886" s="66">
        <v>12.62</v>
      </c>
      <c r="E886" s="66">
        <v>27.25</v>
      </c>
      <c r="F886" s="66">
        <v>6.83</v>
      </c>
      <c r="G886" s="65">
        <v>126.95999999999998</v>
      </c>
      <c r="H886" s="54">
        <v>8.0000000000000018</v>
      </c>
      <c r="I886" s="35"/>
    </row>
    <row r="887" spans="1:9" x14ac:dyDescent="0.2">
      <c r="A887" s="43" t="s">
        <v>68</v>
      </c>
      <c r="B887" s="66">
        <v>57.619999999999969</v>
      </c>
      <c r="C887" s="66">
        <v>16.62</v>
      </c>
      <c r="D887" s="66">
        <v>12.62</v>
      </c>
      <c r="E887" s="66">
        <v>27.25</v>
      </c>
      <c r="F887" s="66">
        <v>6.83</v>
      </c>
      <c r="G887" s="65">
        <v>120.93999999999997</v>
      </c>
      <c r="H887" s="54">
        <v>8.0000000000000018</v>
      </c>
      <c r="I887" s="35"/>
    </row>
    <row r="888" spans="1:9" x14ac:dyDescent="0.2">
      <c r="A888" s="43" t="s">
        <v>69</v>
      </c>
      <c r="B888" s="66">
        <v>52.549999999999969</v>
      </c>
      <c r="C888" s="66">
        <v>14.91</v>
      </c>
      <c r="D888" s="66">
        <v>12.62</v>
      </c>
      <c r="E888" s="66">
        <v>27.25</v>
      </c>
      <c r="F888" s="66">
        <v>6.83</v>
      </c>
      <c r="G888" s="65">
        <v>114.15999999999997</v>
      </c>
      <c r="H888" s="54">
        <v>8.0000000000000018</v>
      </c>
      <c r="I888" s="35"/>
    </row>
    <row r="889" spans="1:9" x14ac:dyDescent="0.2">
      <c r="A889" s="43" t="s">
        <v>70</v>
      </c>
      <c r="B889" s="66">
        <v>57.75999999999997</v>
      </c>
      <c r="C889" s="66">
        <v>16.649999999999999</v>
      </c>
      <c r="D889" s="66">
        <v>12.62</v>
      </c>
      <c r="E889" s="66">
        <v>27.25</v>
      </c>
      <c r="F889" s="66">
        <v>6.83</v>
      </c>
      <c r="G889" s="65">
        <v>121.10999999999997</v>
      </c>
      <c r="H889" s="54">
        <v>8.0000000000000018</v>
      </c>
      <c r="I889" s="35"/>
    </row>
    <row r="890" spans="1:9" x14ac:dyDescent="0.2">
      <c r="A890" s="43" t="s">
        <v>71</v>
      </c>
      <c r="B890" s="66">
        <v>52.019999999999975</v>
      </c>
      <c r="C890" s="66">
        <v>14.73</v>
      </c>
      <c r="D890" s="66">
        <v>12.62</v>
      </c>
      <c r="E890" s="66">
        <v>27.25</v>
      </c>
      <c r="F890" s="66">
        <v>6.83</v>
      </c>
      <c r="G890" s="65">
        <v>113.44999999999997</v>
      </c>
      <c r="H890" s="54">
        <v>8.0000000000000018</v>
      </c>
      <c r="I890" s="35"/>
    </row>
    <row r="891" spans="1:9" x14ac:dyDescent="0.2">
      <c r="A891" s="43" t="s">
        <v>72</v>
      </c>
      <c r="B891" s="66">
        <v>45.159999999999968</v>
      </c>
      <c r="C891" s="66">
        <v>12.44</v>
      </c>
      <c r="D891" s="66">
        <v>12.62</v>
      </c>
      <c r="E891" s="66">
        <v>27.25</v>
      </c>
      <c r="F891" s="66">
        <v>6.83</v>
      </c>
      <c r="G891" s="65">
        <v>104.29999999999997</v>
      </c>
      <c r="H891" s="54">
        <v>8.0000000000000018</v>
      </c>
      <c r="I891" s="35"/>
    </row>
    <row r="892" spans="1:9" x14ac:dyDescent="0.2">
      <c r="A892" s="43" t="s">
        <v>73</v>
      </c>
      <c r="B892" s="66">
        <v>41.429999999999971</v>
      </c>
      <c r="C892" s="66">
        <v>11.19</v>
      </c>
      <c r="D892" s="66">
        <v>12.62</v>
      </c>
      <c r="E892" s="66">
        <v>27.25</v>
      </c>
      <c r="F892" s="66">
        <v>6.83</v>
      </c>
      <c r="G892" s="65">
        <v>99.319999999999965</v>
      </c>
      <c r="H892" s="54">
        <v>8.0000000000000018</v>
      </c>
      <c r="I892" s="35"/>
    </row>
    <row r="893" spans="1:9" x14ac:dyDescent="0.2">
      <c r="A893" s="43" t="s">
        <v>74</v>
      </c>
      <c r="B893" s="66">
        <v>56.21999999999997</v>
      </c>
      <c r="C893" s="66">
        <v>16.14</v>
      </c>
      <c r="D893" s="66">
        <v>12.62</v>
      </c>
      <c r="E893" s="66">
        <v>27.25</v>
      </c>
      <c r="F893" s="66">
        <v>6.83</v>
      </c>
      <c r="G893" s="65">
        <v>119.05999999999997</v>
      </c>
      <c r="H893" s="54">
        <v>8.0000000000000018</v>
      </c>
      <c r="I893" s="35"/>
    </row>
    <row r="894" spans="1:9" x14ac:dyDescent="0.2">
      <c r="A894" s="43" t="s">
        <v>75</v>
      </c>
      <c r="B894" s="66">
        <v>48.309999999999974</v>
      </c>
      <c r="C894" s="66">
        <v>13.5</v>
      </c>
      <c r="D894" s="66">
        <v>12.62</v>
      </c>
      <c r="E894" s="66">
        <v>27.25</v>
      </c>
      <c r="F894" s="66">
        <v>6.83</v>
      </c>
      <c r="G894" s="65">
        <v>108.50999999999998</v>
      </c>
      <c r="H894" s="54">
        <v>8.0000000000000018</v>
      </c>
      <c r="I894" s="35"/>
    </row>
    <row r="895" spans="1:9" x14ac:dyDescent="0.2">
      <c r="A895" s="43" t="s">
        <v>76</v>
      </c>
      <c r="B895" s="66">
        <v>43.809999999999974</v>
      </c>
      <c r="C895" s="66">
        <v>11.99</v>
      </c>
      <c r="D895" s="66">
        <v>12.62</v>
      </c>
      <c r="E895" s="66">
        <v>27.25</v>
      </c>
      <c r="F895" s="66">
        <v>6.83</v>
      </c>
      <c r="G895" s="65">
        <v>102.49999999999997</v>
      </c>
      <c r="H895" s="54">
        <v>8.0000000000000018</v>
      </c>
      <c r="I895" s="35"/>
    </row>
    <row r="896" spans="1:9" x14ac:dyDescent="0.2">
      <c r="A896" s="43" t="s">
        <v>77</v>
      </c>
      <c r="B896" s="66">
        <v>37.069999999999972</v>
      </c>
      <c r="C896" s="66">
        <v>9.74</v>
      </c>
      <c r="D896" s="66">
        <v>12.62</v>
      </c>
      <c r="E896" s="66">
        <v>27.25</v>
      </c>
      <c r="F896" s="66">
        <v>6.83</v>
      </c>
      <c r="G896" s="65">
        <v>93.509999999999977</v>
      </c>
      <c r="H896" s="54">
        <v>8.0000000000000018</v>
      </c>
      <c r="I896" s="35"/>
    </row>
    <row r="897" spans="1:9" x14ac:dyDescent="0.2">
      <c r="A897" s="43" t="s">
        <v>78</v>
      </c>
      <c r="B897" s="66">
        <v>62.619999999999969</v>
      </c>
      <c r="C897" s="66">
        <v>18.29</v>
      </c>
      <c r="D897" s="66">
        <v>12.62</v>
      </c>
      <c r="E897" s="66">
        <v>27.25</v>
      </c>
      <c r="F897" s="66">
        <v>6.83</v>
      </c>
      <c r="G897" s="65">
        <v>127.60999999999997</v>
      </c>
      <c r="H897" s="54">
        <v>8.0000000000000018</v>
      </c>
      <c r="I897" s="35"/>
    </row>
    <row r="898" spans="1:9" x14ac:dyDescent="0.2">
      <c r="A898" s="43" t="s">
        <v>79</v>
      </c>
      <c r="B898" s="66">
        <v>57.71999999999997</v>
      </c>
      <c r="C898" s="66">
        <v>16.64</v>
      </c>
      <c r="D898" s="66">
        <v>12.62</v>
      </c>
      <c r="E898" s="66">
        <v>27.25</v>
      </c>
      <c r="F898" s="66">
        <v>6.83</v>
      </c>
      <c r="G898" s="65">
        <v>121.05999999999997</v>
      </c>
      <c r="H898" s="54">
        <v>8.0000000000000018</v>
      </c>
      <c r="I898" s="35"/>
    </row>
    <row r="899" spans="1:9" x14ac:dyDescent="0.2">
      <c r="A899" s="43" t="s">
        <v>80</v>
      </c>
      <c r="B899" s="66">
        <v>58.909999999999968</v>
      </c>
      <c r="C899" s="66">
        <v>17.04</v>
      </c>
      <c r="D899" s="66">
        <v>12.62</v>
      </c>
      <c r="E899" s="66">
        <v>27.25</v>
      </c>
      <c r="F899" s="66">
        <v>6.83</v>
      </c>
      <c r="G899" s="65">
        <v>122.64999999999996</v>
      </c>
      <c r="H899" s="54">
        <v>8.0000000000000018</v>
      </c>
      <c r="I899" s="35"/>
    </row>
    <row r="900" spans="1:9" x14ac:dyDescent="0.2">
      <c r="A900" s="43" t="s">
        <v>53</v>
      </c>
      <c r="B900" s="66">
        <v>53.849999999999973</v>
      </c>
      <c r="C900" s="66">
        <v>15.35</v>
      </c>
      <c r="D900" s="66">
        <v>12.62</v>
      </c>
      <c r="E900" s="66">
        <v>27.25</v>
      </c>
      <c r="F900" s="66">
        <v>6.83</v>
      </c>
      <c r="G900" s="65">
        <v>115.89999999999998</v>
      </c>
      <c r="H900" s="54">
        <v>8.0000000000000018</v>
      </c>
      <c r="I900" s="35"/>
    </row>
    <row r="901" spans="1:9" x14ac:dyDescent="0.2">
      <c r="A901" s="43" t="s">
        <v>81</v>
      </c>
      <c r="B901" s="66">
        <v>51.699999999999974</v>
      </c>
      <c r="C901" s="66">
        <v>14.63</v>
      </c>
      <c r="D901" s="66">
        <v>12.62</v>
      </c>
      <c r="E901" s="66">
        <v>27.25</v>
      </c>
      <c r="F901" s="66">
        <v>6.83</v>
      </c>
      <c r="G901" s="65">
        <v>113.02999999999997</v>
      </c>
      <c r="H901" s="54">
        <v>8.0000000000000018</v>
      </c>
      <c r="I901" s="35"/>
    </row>
    <row r="902" spans="1:9" x14ac:dyDescent="0.2">
      <c r="A902" s="43" t="s">
        <v>82</v>
      </c>
      <c r="B902" s="66">
        <v>48.46999999999997</v>
      </c>
      <c r="C902" s="66">
        <v>13.55</v>
      </c>
      <c r="D902" s="66">
        <v>12.62</v>
      </c>
      <c r="E902" s="66">
        <v>27.25</v>
      </c>
      <c r="F902" s="66">
        <v>6.83</v>
      </c>
      <c r="G902" s="65">
        <v>108.71999999999997</v>
      </c>
      <c r="H902" s="54">
        <v>8.0000000000000018</v>
      </c>
      <c r="I902" s="35"/>
    </row>
    <row r="903" spans="1:9" x14ac:dyDescent="0.2">
      <c r="A903" s="43" t="s">
        <v>83</v>
      </c>
      <c r="B903" s="66">
        <v>46.479999999999968</v>
      </c>
      <c r="C903" s="66">
        <v>12.88</v>
      </c>
      <c r="D903" s="66">
        <v>12.62</v>
      </c>
      <c r="E903" s="66">
        <v>27.25</v>
      </c>
      <c r="F903" s="66">
        <v>6.83</v>
      </c>
      <c r="G903" s="65">
        <v>106.05999999999997</v>
      </c>
      <c r="H903" s="54">
        <v>8.0000000000000018</v>
      </c>
      <c r="I903" s="35"/>
    </row>
    <row r="904" spans="1:9" x14ac:dyDescent="0.2">
      <c r="A904" s="43" t="s">
        <v>84</v>
      </c>
      <c r="B904" s="66">
        <v>42.919999999999973</v>
      </c>
      <c r="C904" s="66">
        <v>11.69</v>
      </c>
      <c r="D904" s="66">
        <v>12.62</v>
      </c>
      <c r="E904" s="66">
        <v>27.25</v>
      </c>
      <c r="F904" s="66">
        <v>6.83</v>
      </c>
      <c r="G904" s="65">
        <v>101.30999999999997</v>
      </c>
      <c r="H904" s="54">
        <v>8.0000000000000018</v>
      </c>
      <c r="I904" s="35"/>
    </row>
    <row r="905" spans="1:9" x14ac:dyDescent="0.2">
      <c r="A905" s="43" t="s">
        <v>85</v>
      </c>
      <c r="B905" s="66">
        <v>38.569999999999972</v>
      </c>
      <c r="C905" s="66">
        <v>10.23</v>
      </c>
      <c r="D905" s="66">
        <v>12.62</v>
      </c>
      <c r="E905" s="66">
        <v>27.25</v>
      </c>
      <c r="F905" s="66">
        <v>6.83</v>
      </c>
      <c r="G905" s="65">
        <v>95.499999999999957</v>
      </c>
      <c r="H905" s="54">
        <v>8.0000000000000018</v>
      </c>
      <c r="I905" s="35"/>
    </row>
    <row r="906" spans="1:9" x14ac:dyDescent="0.2">
      <c r="A906" s="43" t="s">
        <v>86</v>
      </c>
      <c r="B906" s="66">
        <v>34.859999999999971</v>
      </c>
      <c r="C906" s="66">
        <v>9</v>
      </c>
      <c r="D906" s="66">
        <v>12.62</v>
      </c>
      <c r="E906" s="66">
        <v>27.25</v>
      </c>
      <c r="F906" s="66">
        <v>6.83</v>
      </c>
      <c r="G906" s="65">
        <v>90.55999999999996</v>
      </c>
      <c r="H906" s="54">
        <v>8.0000000000000018</v>
      </c>
      <c r="I906" s="35"/>
    </row>
    <row r="907" spans="1:9" x14ac:dyDescent="0.2">
      <c r="A907" s="45" t="s">
        <v>87</v>
      </c>
      <c r="B907" s="66">
        <v>34.859999999999971</v>
      </c>
      <c r="C907" s="66">
        <v>9</v>
      </c>
      <c r="D907" s="66">
        <v>12.62</v>
      </c>
      <c r="E907" s="66">
        <v>27.25</v>
      </c>
      <c r="F907" s="66">
        <v>6.83</v>
      </c>
      <c r="G907" s="65">
        <v>90.55999999999996</v>
      </c>
      <c r="H907" s="54">
        <v>8.0000000000000018</v>
      </c>
      <c r="I907" s="35"/>
    </row>
    <row r="908" spans="1:9" x14ac:dyDescent="0.2">
      <c r="A908" s="45" t="s">
        <v>88</v>
      </c>
      <c r="B908" s="66">
        <v>34.859999999999971</v>
      </c>
      <c r="C908" s="66">
        <v>9</v>
      </c>
      <c r="D908" s="66">
        <v>12.62</v>
      </c>
      <c r="E908" s="66">
        <v>27.25</v>
      </c>
      <c r="F908" s="66">
        <v>6.83</v>
      </c>
      <c r="G908" s="65">
        <v>90.55999999999996</v>
      </c>
      <c r="H908" s="54">
        <v>8.0000000000000018</v>
      </c>
      <c r="I908" s="35"/>
    </row>
    <row r="909" spans="1:9" x14ac:dyDescent="0.2">
      <c r="A909" s="55"/>
      <c r="B909" s="56"/>
      <c r="C909" s="33"/>
      <c r="D909" s="33"/>
      <c r="E909" s="33"/>
      <c r="F909" s="33"/>
      <c r="G909" s="57"/>
      <c r="H909" s="54"/>
      <c r="I909" s="33"/>
    </row>
    <row r="910" spans="1:9" x14ac:dyDescent="0.2">
      <c r="A910" s="58" t="s">
        <v>119</v>
      </c>
      <c r="B910" s="64">
        <v>96.81</v>
      </c>
      <c r="C910" s="64">
        <v>31.81</v>
      </c>
      <c r="D910" s="49"/>
      <c r="E910" s="49"/>
      <c r="F910" s="49"/>
      <c r="G910" s="50">
        <v>128.62</v>
      </c>
      <c r="H910" s="54">
        <v>0</v>
      </c>
      <c r="I910" s="33"/>
    </row>
    <row r="911" spans="1:9" x14ac:dyDescent="0.2">
      <c r="A911" s="51" t="s">
        <v>120</v>
      </c>
      <c r="B911" s="64">
        <v>38.72</v>
      </c>
      <c r="C911" s="64">
        <v>12.73</v>
      </c>
      <c r="D911" s="49"/>
      <c r="E911" s="49"/>
      <c r="F911" s="49"/>
      <c r="G911" s="50">
        <v>51.45</v>
      </c>
      <c r="H911" s="54">
        <v>0</v>
      </c>
      <c r="I911" s="33"/>
    </row>
    <row r="912" spans="1:9" x14ac:dyDescent="0.2">
      <c r="A912" s="59" t="s">
        <v>121</v>
      </c>
      <c r="B912" s="64">
        <v>58.09</v>
      </c>
      <c r="C912" s="64">
        <v>19.079999999999998</v>
      </c>
      <c r="D912" s="49"/>
      <c r="E912" s="49"/>
      <c r="F912" s="49"/>
      <c r="G912" s="50">
        <v>77.17</v>
      </c>
      <c r="H912" s="54">
        <v>0</v>
      </c>
      <c r="I912" s="33"/>
    </row>
    <row r="914" spans="1:9" ht="15.75" x14ac:dyDescent="0.25">
      <c r="A914" s="41" t="s">
        <v>162</v>
      </c>
      <c r="B914" s="42"/>
      <c r="C914" s="42"/>
      <c r="D914" s="42"/>
      <c r="E914" s="42"/>
      <c r="F914" s="42"/>
      <c r="G914" s="42"/>
      <c r="H914" s="52"/>
      <c r="I914" s="33"/>
    </row>
    <row r="915" spans="1:9" ht="76.5" x14ac:dyDescent="0.2">
      <c r="A915" s="37" t="s">
        <v>92</v>
      </c>
      <c r="B915" s="61" t="s">
        <v>114</v>
      </c>
      <c r="C915" s="61" t="s">
        <v>115</v>
      </c>
      <c r="D915" s="62" t="s">
        <v>116</v>
      </c>
      <c r="E915" s="61" t="s">
        <v>117</v>
      </c>
      <c r="F915" s="61" t="s">
        <v>118</v>
      </c>
      <c r="G915" s="62" t="s">
        <v>15</v>
      </c>
      <c r="H915" s="53" t="s">
        <v>163</v>
      </c>
      <c r="I915" s="33"/>
    </row>
    <row r="916" spans="1:9" x14ac:dyDescent="0.2">
      <c r="A916" s="43" t="s">
        <v>54</v>
      </c>
      <c r="B916" s="66">
        <v>118.27000000000012</v>
      </c>
      <c r="C916" s="66">
        <v>36.79</v>
      </c>
      <c r="D916" s="66">
        <v>12.62</v>
      </c>
      <c r="E916" s="66">
        <v>27.25</v>
      </c>
      <c r="F916" s="66">
        <v>6.83</v>
      </c>
      <c r="G916" s="65">
        <v>201.76000000000013</v>
      </c>
      <c r="H916" s="54">
        <v>8.4000000000000021</v>
      </c>
      <c r="I916" s="35"/>
    </row>
    <row r="917" spans="1:9" x14ac:dyDescent="0.2">
      <c r="A917" s="43" t="s">
        <v>55</v>
      </c>
      <c r="B917" s="66">
        <v>101.37000000000012</v>
      </c>
      <c r="C917" s="66">
        <v>31.12</v>
      </c>
      <c r="D917" s="66">
        <v>12.62</v>
      </c>
      <c r="E917" s="66">
        <v>27.25</v>
      </c>
      <c r="F917" s="66">
        <v>6.83</v>
      </c>
      <c r="G917" s="65">
        <v>179.19000000000014</v>
      </c>
      <c r="H917" s="54">
        <v>8.4000000000000021</v>
      </c>
      <c r="I917" s="35"/>
    </row>
    <row r="918" spans="1:9" x14ac:dyDescent="0.2">
      <c r="A918" s="43" t="s">
        <v>56</v>
      </c>
      <c r="B918" s="66">
        <v>93.580000000000126</v>
      </c>
      <c r="C918" s="66">
        <v>28.52</v>
      </c>
      <c r="D918" s="66">
        <v>12.62</v>
      </c>
      <c r="E918" s="66">
        <v>27.25</v>
      </c>
      <c r="F918" s="66">
        <v>6.83</v>
      </c>
      <c r="G918" s="65">
        <v>168.80000000000013</v>
      </c>
      <c r="H918" s="54">
        <v>8.4000000000000021</v>
      </c>
      <c r="I918" s="35"/>
    </row>
    <row r="919" spans="1:9" x14ac:dyDescent="0.2">
      <c r="A919" s="43" t="s">
        <v>57</v>
      </c>
      <c r="B919" s="66">
        <v>79.100000000000122</v>
      </c>
      <c r="C919" s="66">
        <v>23.67</v>
      </c>
      <c r="D919" s="66">
        <v>12.62</v>
      </c>
      <c r="E919" s="66">
        <v>27.25</v>
      </c>
      <c r="F919" s="66">
        <v>6.83</v>
      </c>
      <c r="G919" s="65">
        <v>149.47000000000014</v>
      </c>
      <c r="H919" s="54">
        <v>8.4000000000000021</v>
      </c>
      <c r="I919" s="35"/>
    </row>
    <row r="920" spans="1:9" x14ac:dyDescent="0.2">
      <c r="A920" s="43" t="s">
        <v>58</v>
      </c>
      <c r="B920" s="66">
        <v>146.42000000000013</v>
      </c>
      <c r="C920" s="66">
        <v>46.21</v>
      </c>
      <c r="D920" s="66">
        <v>12.62</v>
      </c>
      <c r="E920" s="66">
        <v>27.25</v>
      </c>
      <c r="F920" s="66">
        <v>6.83</v>
      </c>
      <c r="G920" s="65">
        <v>239.33000000000015</v>
      </c>
      <c r="H920" s="54">
        <v>8.4000000000000021</v>
      </c>
      <c r="I920" s="35"/>
    </row>
    <row r="921" spans="1:9" x14ac:dyDescent="0.2">
      <c r="A921" s="43" t="s">
        <v>59</v>
      </c>
      <c r="B921" s="66">
        <v>120.30000000000013</v>
      </c>
      <c r="C921" s="66">
        <v>37.47</v>
      </c>
      <c r="D921" s="66">
        <v>12.62</v>
      </c>
      <c r="E921" s="66">
        <v>27.25</v>
      </c>
      <c r="F921" s="66">
        <v>6.83</v>
      </c>
      <c r="G921" s="65">
        <v>204.47000000000014</v>
      </c>
      <c r="H921" s="54">
        <v>8.4000000000000021</v>
      </c>
      <c r="I921" s="35"/>
    </row>
    <row r="922" spans="1:9" x14ac:dyDescent="0.2">
      <c r="A922" s="43" t="s">
        <v>60</v>
      </c>
      <c r="B922" s="66">
        <v>100.96000000000012</v>
      </c>
      <c r="C922" s="66">
        <v>30.99</v>
      </c>
      <c r="D922" s="66">
        <v>12.62</v>
      </c>
      <c r="E922" s="66">
        <v>27.25</v>
      </c>
      <c r="F922" s="66">
        <v>6.83</v>
      </c>
      <c r="G922" s="65">
        <v>178.65000000000015</v>
      </c>
      <c r="H922" s="54">
        <v>8.4000000000000021</v>
      </c>
      <c r="I922" s="35"/>
    </row>
    <row r="923" spans="1:9" x14ac:dyDescent="0.2">
      <c r="A923" s="43" t="s">
        <v>61</v>
      </c>
      <c r="B923" s="66">
        <v>97.980000000000118</v>
      </c>
      <c r="C923" s="66">
        <v>29.99</v>
      </c>
      <c r="D923" s="66">
        <v>12.62</v>
      </c>
      <c r="E923" s="66">
        <v>27.25</v>
      </c>
      <c r="F923" s="66">
        <v>6.83</v>
      </c>
      <c r="G923" s="65">
        <v>174.67000000000013</v>
      </c>
      <c r="H923" s="54">
        <v>8.4000000000000021</v>
      </c>
      <c r="I923" s="35"/>
    </row>
    <row r="924" spans="1:9" x14ac:dyDescent="0.2">
      <c r="A924" s="43" t="s">
        <v>62</v>
      </c>
      <c r="B924" s="66">
        <v>91.180000000000121</v>
      </c>
      <c r="C924" s="66">
        <v>27.71</v>
      </c>
      <c r="D924" s="66">
        <v>12.62</v>
      </c>
      <c r="E924" s="66">
        <v>27.25</v>
      </c>
      <c r="F924" s="66">
        <v>6.83</v>
      </c>
      <c r="G924" s="65">
        <v>165.59000000000015</v>
      </c>
      <c r="H924" s="54">
        <v>8.4000000000000021</v>
      </c>
      <c r="I924" s="35"/>
    </row>
    <row r="925" spans="1:9" x14ac:dyDescent="0.2">
      <c r="A925" s="43" t="s">
        <v>63</v>
      </c>
      <c r="B925" s="66">
        <v>90.910000000000124</v>
      </c>
      <c r="C925" s="66">
        <v>27.62</v>
      </c>
      <c r="D925" s="66">
        <v>12.62</v>
      </c>
      <c r="E925" s="66">
        <v>27.25</v>
      </c>
      <c r="F925" s="66">
        <v>6.83</v>
      </c>
      <c r="G925" s="65">
        <v>165.23000000000013</v>
      </c>
      <c r="H925" s="54">
        <v>8.4000000000000021</v>
      </c>
      <c r="I925" s="35"/>
    </row>
    <row r="926" spans="1:9" x14ac:dyDescent="0.2">
      <c r="A926" s="43" t="s">
        <v>64</v>
      </c>
      <c r="B926" s="66">
        <v>75.160000000000124</v>
      </c>
      <c r="C926" s="66">
        <v>22.36</v>
      </c>
      <c r="D926" s="66">
        <v>12.62</v>
      </c>
      <c r="E926" s="66">
        <v>27.25</v>
      </c>
      <c r="F926" s="66">
        <v>6.83</v>
      </c>
      <c r="G926" s="65">
        <v>144.22000000000014</v>
      </c>
      <c r="H926" s="54">
        <v>8.4000000000000021</v>
      </c>
      <c r="I926" s="35"/>
    </row>
    <row r="927" spans="1:9" x14ac:dyDescent="0.2">
      <c r="A927" s="43" t="s">
        <v>65</v>
      </c>
      <c r="B927" s="66">
        <v>69.800000000000068</v>
      </c>
      <c r="C927" s="66">
        <v>20.55</v>
      </c>
      <c r="D927" s="66">
        <v>12.62</v>
      </c>
      <c r="E927" s="66">
        <v>27.25</v>
      </c>
      <c r="F927" s="66">
        <v>6.83</v>
      </c>
      <c r="G927" s="65">
        <v>137.0500000000001</v>
      </c>
      <c r="H927" s="54">
        <v>8.4000000000000021</v>
      </c>
      <c r="I927" s="35"/>
    </row>
    <row r="928" spans="1:9" x14ac:dyDescent="0.2">
      <c r="A928" s="43" t="s">
        <v>66</v>
      </c>
      <c r="B928" s="66">
        <v>66.750000000000014</v>
      </c>
      <c r="C928" s="66">
        <v>19.54</v>
      </c>
      <c r="D928" s="66">
        <v>12.62</v>
      </c>
      <c r="E928" s="66">
        <v>27.25</v>
      </c>
      <c r="F928" s="66">
        <v>6.83</v>
      </c>
      <c r="G928" s="65">
        <v>132.99000000000004</v>
      </c>
      <c r="H928" s="54">
        <v>8.4000000000000021</v>
      </c>
      <c r="I928" s="35"/>
    </row>
    <row r="929" spans="1:9" x14ac:dyDescent="0.2">
      <c r="A929" s="43" t="s">
        <v>67</v>
      </c>
      <c r="B929" s="66">
        <v>62.529999999999973</v>
      </c>
      <c r="C929" s="66">
        <v>18.13</v>
      </c>
      <c r="D929" s="66">
        <v>12.62</v>
      </c>
      <c r="E929" s="66">
        <v>27.25</v>
      </c>
      <c r="F929" s="66">
        <v>6.83</v>
      </c>
      <c r="G929" s="65">
        <v>127.35999999999997</v>
      </c>
      <c r="H929" s="54">
        <v>8.4000000000000021</v>
      </c>
      <c r="I929" s="35"/>
    </row>
    <row r="930" spans="1:9" x14ac:dyDescent="0.2">
      <c r="A930" s="43" t="s">
        <v>68</v>
      </c>
      <c r="B930" s="66">
        <v>58.019999999999968</v>
      </c>
      <c r="C930" s="66">
        <v>16.62</v>
      </c>
      <c r="D930" s="66">
        <v>12.62</v>
      </c>
      <c r="E930" s="66">
        <v>27.25</v>
      </c>
      <c r="F930" s="66">
        <v>6.83</v>
      </c>
      <c r="G930" s="65">
        <v>121.33999999999997</v>
      </c>
      <c r="H930" s="54">
        <v>8.4000000000000021</v>
      </c>
      <c r="I930" s="35"/>
    </row>
    <row r="931" spans="1:9" x14ac:dyDescent="0.2">
      <c r="A931" s="43" t="s">
        <v>69</v>
      </c>
      <c r="B931" s="66">
        <v>52.949999999999967</v>
      </c>
      <c r="C931" s="66">
        <v>14.91</v>
      </c>
      <c r="D931" s="66">
        <v>12.62</v>
      </c>
      <c r="E931" s="66">
        <v>27.25</v>
      </c>
      <c r="F931" s="66">
        <v>6.83</v>
      </c>
      <c r="G931" s="65">
        <v>114.55999999999997</v>
      </c>
      <c r="H931" s="54">
        <v>8.4000000000000021</v>
      </c>
      <c r="I931" s="35"/>
    </row>
    <row r="932" spans="1:9" x14ac:dyDescent="0.2">
      <c r="A932" s="43" t="s">
        <v>70</v>
      </c>
      <c r="B932" s="66">
        <v>58.159999999999968</v>
      </c>
      <c r="C932" s="66">
        <v>16.649999999999999</v>
      </c>
      <c r="D932" s="66">
        <v>12.62</v>
      </c>
      <c r="E932" s="66">
        <v>27.25</v>
      </c>
      <c r="F932" s="66">
        <v>6.83</v>
      </c>
      <c r="G932" s="65">
        <v>121.50999999999998</v>
      </c>
      <c r="H932" s="54">
        <v>8.4000000000000021</v>
      </c>
      <c r="I932" s="35"/>
    </row>
    <row r="933" spans="1:9" x14ac:dyDescent="0.2">
      <c r="A933" s="43" t="s">
        <v>71</v>
      </c>
      <c r="B933" s="66">
        <v>52.419999999999973</v>
      </c>
      <c r="C933" s="66">
        <v>14.73</v>
      </c>
      <c r="D933" s="66">
        <v>12.62</v>
      </c>
      <c r="E933" s="66">
        <v>27.25</v>
      </c>
      <c r="F933" s="66">
        <v>6.83</v>
      </c>
      <c r="G933" s="65">
        <v>113.84999999999998</v>
      </c>
      <c r="H933" s="54">
        <v>8.4000000000000021</v>
      </c>
      <c r="I933" s="35"/>
    </row>
    <row r="934" spans="1:9" x14ac:dyDescent="0.2">
      <c r="A934" s="43" t="s">
        <v>72</v>
      </c>
      <c r="B934" s="66">
        <v>45.559999999999967</v>
      </c>
      <c r="C934" s="66">
        <v>12.44</v>
      </c>
      <c r="D934" s="66">
        <v>12.62</v>
      </c>
      <c r="E934" s="66">
        <v>27.25</v>
      </c>
      <c r="F934" s="66">
        <v>6.83</v>
      </c>
      <c r="G934" s="65">
        <v>104.69999999999996</v>
      </c>
      <c r="H934" s="54">
        <v>8.4000000000000021</v>
      </c>
      <c r="I934" s="35"/>
    </row>
    <row r="935" spans="1:9" x14ac:dyDescent="0.2">
      <c r="A935" s="43" t="s">
        <v>73</v>
      </c>
      <c r="B935" s="66">
        <v>41.82999999999997</v>
      </c>
      <c r="C935" s="66">
        <v>11.19</v>
      </c>
      <c r="D935" s="66">
        <v>12.62</v>
      </c>
      <c r="E935" s="66">
        <v>27.25</v>
      </c>
      <c r="F935" s="66">
        <v>6.83</v>
      </c>
      <c r="G935" s="65">
        <v>99.71999999999997</v>
      </c>
      <c r="H935" s="54">
        <v>8.4000000000000021</v>
      </c>
      <c r="I935" s="35"/>
    </row>
    <row r="936" spans="1:9" x14ac:dyDescent="0.2">
      <c r="A936" s="43" t="s">
        <v>74</v>
      </c>
      <c r="B936" s="66">
        <v>56.619999999999969</v>
      </c>
      <c r="C936" s="66">
        <v>16.14</v>
      </c>
      <c r="D936" s="66">
        <v>12.62</v>
      </c>
      <c r="E936" s="66">
        <v>27.25</v>
      </c>
      <c r="F936" s="66">
        <v>6.83</v>
      </c>
      <c r="G936" s="65">
        <v>119.45999999999997</v>
      </c>
      <c r="H936" s="54">
        <v>8.4000000000000021</v>
      </c>
      <c r="I936" s="35"/>
    </row>
    <row r="937" spans="1:9" x14ac:dyDescent="0.2">
      <c r="A937" s="43" t="s">
        <v>75</v>
      </c>
      <c r="B937" s="66">
        <v>48.709999999999972</v>
      </c>
      <c r="C937" s="66">
        <v>13.5</v>
      </c>
      <c r="D937" s="66">
        <v>12.62</v>
      </c>
      <c r="E937" s="66">
        <v>27.25</v>
      </c>
      <c r="F937" s="66">
        <v>6.83</v>
      </c>
      <c r="G937" s="65">
        <v>108.90999999999997</v>
      </c>
      <c r="H937" s="54">
        <v>8.4000000000000021</v>
      </c>
      <c r="I937" s="35"/>
    </row>
    <row r="938" spans="1:9" x14ac:dyDescent="0.2">
      <c r="A938" s="43" t="s">
        <v>76</v>
      </c>
      <c r="B938" s="66">
        <v>44.209999999999972</v>
      </c>
      <c r="C938" s="66">
        <v>11.99</v>
      </c>
      <c r="D938" s="66">
        <v>12.62</v>
      </c>
      <c r="E938" s="66">
        <v>27.25</v>
      </c>
      <c r="F938" s="66">
        <v>6.83</v>
      </c>
      <c r="G938" s="65">
        <v>102.89999999999998</v>
      </c>
      <c r="H938" s="54">
        <v>8.4000000000000021</v>
      </c>
      <c r="I938" s="35"/>
    </row>
    <row r="939" spans="1:9" x14ac:dyDescent="0.2">
      <c r="A939" s="43" t="s">
        <v>77</v>
      </c>
      <c r="B939" s="66">
        <v>37.46999999999997</v>
      </c>
      <c r="C939" s="66">
        <v>9.74</v>
      </c>
      <c r="D939" s="66">
        <v>12.62</v>
      </c>
      <c r="E939" s="66">
        <v>27.25</v>
      </c>
      <c r="F939" s="66">
        <v>6.83</v>
      </c>
      <c r="G939" s="65">
        <v>93.909999999999968</v>
      </c>
      <c r="H939" s="54">
        <v>8.4000000000000021</v>
      </c>
      <c r="I939" s="35"/>
    </row>
    <row r="940" spans="1:9" x14ac:dyDescent="0.2">
      <c r="A940" s="43" t="s">
        <v>78</v>
      </c>
      <c r="B940" s="66">
        <v>63.019999999999968</v>
      </c>
      <c r="C940" s="66">
        <v>18.29</v>
      </c>
      <c r="D940" s="66">
        <v>12.62</v>
      </c>
      <c r="E940" s="66">
        <v>27.25</v>
      </c>
      <c r="F940" s="66">
        <v>6.83</v>
      </c>
      <c r="G940" s="65">
        <v>128.01</v>
      </c>
      <c r="H940" s="54">
        <v>8.4000000000000021</v>
      </c>
      <c r="I940" s="35"/>
    </row>
    <row r="941" spans="1:9" x14ac:dyDescent="0.2">
      <c r="A941" s="43" t="s">
        <v>79</v>
      </c>
      <c r="B941" s="66">
        <v>58.119999999999969</v>
      </c>
      <c r="C941" s="66">
        <v>16.64</v>
      </c>
      <c r="D941" s="66">
        <v>12.62</v>
      </c>
      <c r="E941" s="66">
        <v>27.25</v>
      </c>
      <c r="F941" s="66">
        <v>6.83</v>
      </c>
      <c r="G941" s="65">
        <v>121.45999999999997</v>
      </c>
      <c r="H941" s="54">
        <v>8.4000000000000021</v>
      </c>
      <c r="I941" s="35"/>
    </row>
    <row r="942" spans="1:9" x14ac:dyDescent="0.2">
      <c r="A942" s="43" t="s">
        <v>80</v>
      </c>
      <c r="B942" s="66">
        <v>59.309999999999967</v>
      </c>
      <c r="C942" s="66">
        <v>17.04</v>
      </c>
      <c r="D942" s="66">
        <v>12.62</v>
      </c>
      <c r="E942" s="66">
        <v>27.25</v>
      </c>
      <c r="F942" s="66">
        <v>6.83</v>
      </c>
      <c r="G942" s="65">
        <v>123.04999999999997</v>
      </c>
      <c r="H942" s="54">
        <v>8.4000000000000021</v>
      </c>
      <c r="I942" s="35"/>
    </row>
    <row r="943" spans="1:9" x14ac:dyDescent="0.2">
      <c r="A943" s="43" t="s">
        <v>53</v>
      </c>
      <c r="B943" s="66">
        <v>54.249999999999972</v>
      </c>
      <c r="C943" s="66">
        <v>15.35</v>
      </c>
      <c r="D943" s="66">
        <v>12.62</v>
      </c>
      <c r="E943" s="66">
        <v>27.25</v>
      </c>
      <c r="F943" s="66">
        <v>6.83</v>
      </c>
      <c r="G943" s="65">
        <v>116.29999999999997</v>
      </c>
      <c r="H943" s="54">
        <v>8.4000000000000021</v>
      </c>
      <c r="I943" s="35"/>
    </row>
    <row r="944" spans="1:9" x14ac:dyDescent="0.2">
      <c r="A944" s="43" t="s">
        <v>81</v>
      </c>
      <c r="B944" s="66">
        <v>52.099999999999973</v>
      </c>
      <c r="C944" s="66">
        <v>14.63</v>
      </c>
      <c r="D944" s="66">
        <v>12.62</v>
      </c>
      <c r="E944" s="66">
        <v>27.25</v>
      </c>
      <c r="F944" s="66">
        <v>6.83</v>
      </c>
      <c r="G944" s="65">
        <v>113.42999999999998</v>
      </c>
      <c r="H944" s="54">
        <v>8.4000000000000021</v>
      </c>
      <c r="I944" s="35"/>
    </row>
    <row r="945" spans="1:9" x14ac:dyDescent="0.2">
      <c r="A945" s="43" t="s">
        <v>82</v>
      </c>
      <c r="B945" s="66">
        <v>48.869999999999969</v>
      </c>
      <c r="C945" s="66">
        <v>13.55</v>
      </c>
      <c r="D945" s="66">
        <v>12.62</v>
      </c>
      <c r="E945" s="66">
        <v>27.25</v>
      </c>
      <c r="F945" s="66">
        <v>6.83</v>
      </c>
      <c r="G945" s="65">
        <v>109.11999999999998</v>
      </c>
      <c r="H945" s="54">
        <v>8.4000000000000021</v>
      </c>
      <c r="I945" s="35"/>
    </row>
    <row r="946" spans="1:9" x14ac:dyDescent="0.2">
      <c r="A946" s="43" t="s">
        <v>83</v>
      </c>
      <c r="B946" s="66">
        <v>46.879999999999967</v>
      </c>
      <c r="C946" s="66">
        <v>12.88</v>
      </c>
      <c r="D946" s="66">
        <v>12.62</v>
      </c>
      <c r="E946" s="66">
        <v>27.25</v>
      </c>
      <c r="F946" s="66">
        <v>6.83</v>
      </c>
      <c r="G946" s="65">
        <v>106.45999999999997</v>
      </c>
      <c r="H946" s="54">
        <v>8.4000000000000021</v>
      </c>
      <c r="I946" s="35"/>
    </row>
    <row r="947" spans="1:9" x14ac:dyDescent="0.2">
      <c r="A947" s="43" t="s">
        <v>84</v>
      </c>
      <c r="B947" s="66">
        <v>43.319999999999972</v>
      </c>
      <c r="C947" s="66">
        <v>11.69</v>
      </c>
      <c r="D947" s="66">
        <v>12.62</v>
      </c>
      <c r="E947" s="66">
        <v>27.25</v>
      </c>
      <c r="F947" s="66">
        <v>6.83</v>
      </c>
      <c r="G947" s="65">
        <v>101.70999999999997</v>
      </c>
      <c r="H947" s="54">
        <v>8.4000000000000021</v>
      </c>
      <c r="I947" s="35"/>
    </row>
    <row r="948" spans="1:9" x14ac:dyDescent="0.2">
      <c r="A948" s="43" t="s">
        <v>85</v>
      </c>
      <c r="B948" s="66">
        <v>38.96999999999997</v>
      </c>
      <c r="C948" s="66">
        <v>10.23</v>
      </c>
      <c r="D948" s="66">
        <v>12.62</v>
      </c>
      <c r="E948" s="66">
        <v>27.25</v>
      </c>
      <c r="F948" s="66">
        <v>6.83</v>
      </c>
      <c r="G948" s="65">
        <v>95.899999999999963</v>
      </c>
      <c r="H948" s="54">
        <v>8.4000000000000021</v>
      </c>
      <c r="I948" s="35"/>
    </row>
    <row r="949" spans="1:9" x14ac:dyDescent="0.2">
      <c r="A949" s="43" t="s">
        <v>86</v>
      </c>
      <c r="B949" s="66">
        <v>35.25999999999997</v>
      </c>
      <c r="C949" s="66">
        <v>9</v>
      </c>
      <c r="D949" s="66">
        <v>12.62</v>
      </c>
      <c r="E949" s="66">
        <v>27.25</v>
      </c>
      <c r="F949" s="66">
        <v>6.83</v>
      </c>
      <c r="G949" s="65">
        <v>90.959999999999965</v>
      </c>
      <c r="H949" s="54">
        <v>8.4000000000000021</v>
      </c>
      <c r="I949" s="35"/>
    </row>
    <row r="950" spans="1:9" x14ac:dyDescent="0.2">
      <c r="A950" s="45" t="s">
        <v>87</v>
      </c>
      <c r="B950" s="66">
        <v>35.25999999999997</v>
      </c>
      <c r="C950" s="66">
        <v>9</v>
      </c>
      <c r="D950" s="66">
        <v>12.62</v>
      </c>
      <c r="E950" s="66">
        <v>27.25</v>
      </c>
      <c r="F950" s="66">
        <v>6.83</v>
      </c>
      <c r="G950" s="65">
        <v>90.959999999999965</v>
      </c>
      <c r="H950" s="54">
        <v>8.4000000000000021</v>
      </c>
      <c r="I950" s="35"/>
    </row>
    <row r="951" spans="1:9" x14ac:dyDescent="0.2">
      <c r="A951" s="45" t="s">
        <v>88</v>
      </c>
      <c r="B951" s="66">
        <v>35.25999999999997</v>
      </c>
      <c r="C951" s="66">
        <v>9</v>
      </c>
      <c r="D951" s="66">
        <v>12.62</v>
      </c>
      <c r="E951" s="66">
        <v>27.25</v>
      </c>
      <c r="F951" s="66">
        <v>6.83</v>
      </c>
      <c r="G951" s="65">
        <v>90.959999999999965</v>
      </c>
      <c r="H951" s="54">
        <v>8.4000000000000021</v>
      </c>
      <c r="I951" s="35"/>
    </row>
    <row r="952" spans="1:9" x14ac:dyDescent="0.2">
      <c r="A952" s="55"/>
      <c r="B952" s="56"/>
      <c r="C952" s="33"/>
      <c r="D952" s="33"/>
      <c r="E952" s="33"/>
      <c r="F952" s="33"/>
      <c r="G952" s="57"/>
      <c r="H952" s="54"/>
      <c r="I952" s="33"/>
    </row>
    <row r="953" spans="1:9" x14ac:dyDescent="0.2">
      <c r="A953" s="58" t="s">
        <v>119</v>
      </c>
      <c r="B953" s="64">
        <v>96.81</v>
      </c>
      <c r="C953" s="64">
        <v>31.81</v>
      </c>
      <c r="D953" s="49"/>
      <c r="E953" s="49"/>
      <c r="F953" s="49"/>
      <c r="G953" s="50">
        <v>128.62</v>
      </c>
      <c r="H953" s="54">
        <v>0</v>
      </c>
      <c r="I953" s="33"/>
    </row>
    <row r="954" spans="1:9" x14ac:dyDescent="0.2">
      <c r="A954" s="51" t="s">
        <v>120</v>
      </c>
      <c r="B954" s="64">
        <v>38.72</v>
      </c>
      <c r="C954" s="64">
        <v>12.73</v>
      </c>
      <c r="D954" s="49"/>
      <c r="E954" s="49"/>
      <c r="F954" s="49"/>
      <c r="G954" s="50">
        <v>51.45</v>
      </c>
      <c r="H954" s="54">
        <v>0</v>
      </c>
      <c r="I954" s="33"/>
    </row>
    <row r="955" spans="1:9" x14ac:dyDescent="0.2">
      <c r="A955" s="59" t="s">
        <v>121</v>
      </c>
      <c r="B955" s="64">
        <v>58.09</v>
      </c>
      <c r="C955" s="64">
        <v>19.079999999999998</v>
      </c>
      <c r="D955" s="49"/>
      <c r="E955" s="49"/>
      <c r="F955" s="49"/>
      <c r="G955" s="50">
        <v>77.17</v>
      </c>
      <c r="H955" s="54">
        <v>0</v>
      </c>
      <c r="I955" s="33"/>
    </row>
    <row r="957" spans="1:9" ht="15.75" x14ac:dyDescent="0.25">
      <c r="A957" s="41" t="s">
        <v>164</v>
      </c>
      <c r="B957" s="42"/>
      <c r="C957" s="42"/>
      <c r="D957" s="42"/>
      <c r="E957" s="42"/>
      <c r="F957" s="42"/>
      <c r="G957" s="42"/>
      <c r="H957" s="52"/>
      <c r="I957" s="33"/>
    </row>
    <row r="958" spans="1:9" ht="76.5" x14ac:dyDescent="0.2">
      <c r="A958" s="37" t="s">
        <v>92</v>
      </c>
      <c r="B958" s="61" t="s">
        <v>114</v>
      </c>
      <c r="C958" s="61" t="s">
        <v>115</v>
      </c>
      <c r="D958" s="62" t="s">
        <v>116</v>
      </c>
      <c r="E958" s="61" t="s">
        <v>117</v>
      </c>
      <c r="F958" s="61" t="s">
        <v>118</v>
      </c>
      <c r="G958" s="62" t="s">
        <v>15</v>
      </c>
      <c r="H958" s="53" t="s">
        <v>165</v>
      </c>
      <c r="I958" s="33"/>
    </row>
    <row r="959" spans="1:9" x14ac:dyDescent="0.2">
      <c r="A959" s="43" t="s">
        <v>54</v>
      </c>
      <c r="B959" s="66">
        <v>118.67000000000013</v>
      </c>
      <c r="C959" s="66">
        <v>36.79</v>
      </c>
      <c r="D959" s="66">
        <v>12.62</v>
      </c>
      <c r="E959" s="66">
        <v>27.25</v>
      </c>
      <c r="F959" s="66">
        <v>6.83</v>
      </c>
      <c r="G959" s="65">
        <v>202.16000000000014</v>
      </c>
      <c r="H959" s="54">
        <v>8.8000000000000025</v>
      </c>
      <c r="I959" s="35"/>
    </row>
    <row r="960" spans="1:9" x14ac:dyDescent="0.2">
      <c r="A960" s="43" t="s">
        <v>55</v>
      </c>
      <c r="B960" s="66">
        <v>101.77000000000012</v>
      </c>
      <c r="C960" s="66">
        <v>31.12</v>
      </c>
      <c r="D960" s="66">
        <v>12.62</v>
      </c>
      <c r="E960" s="66">
        <v>27.25</v>
      </c>
      <c r="F960" s="66">
        <v>6.83</v>
      </c>
      <c r="G960" s="65">
        <v>179.59000000000015</v>
      </c>
      <c r="H960" s="54">
        <v>8.8000000000000025</v>
      </c>
      <c r="I960" s="35"/>
    </row>
    <row r="961" spans="1:9" x14ac:dyDescent="0.2">
      <c r="A961" s="43" t="s">
        <v>56</v>
      </c>
      <c r="B961" s="66">
        <v>93.980000000000132</v>
      </c>
      <c r="C961" s="66">
        <v>28.52</v>
      </c>
      <c r="D961" s="66">
        <v>12.62</v>
      </c>
      <c r="E961" s="66">
        <v>27.25</v>
      </c>
      <c r="F961" s="66">
        <v>6.83</v>
      </c>
      <c r="G961" s="65">
        <v>169.20000000000013</v>
      </c>
      <c r="H961" s="54">
        <v>8.8000000000000025</v>
      </c>
      <c r="I961" s="35"/>
    </row>
    <row r="962" spans="1:9" x14ac:dyDescent="0.2">
      <c r="A962" s="43" t="s">
        <v>57</v>
      </c>
      <c r="B962" s="66">
        <v>79.500000000000128</v>
      </c>
      <c r="C962" s="66">
        <v>23.67</v>
      </c>
      <c r="D962" s="66">
        <v>12.62</v>
      </c>
      <c r="E962" s="66">
        <v>27.25</v>
      </c>
      <c r="F962" s="66">
        <v>6.83</v>
      </c>
      <c r="G962" s="65">
        <v>149.87000000000015</v>
      </c>
      <c r="H962" s="54">
        <v>8.8000000000000025</v>
      </c>
      <c r="I962" s="35"/>
    </row>
    <row r="963" spans="1:9" x14ac:dyDescent="0.2">
      <c r="A963" s="43" t="s">
        <v>58</v>
      </c>
      <c r="B963" s="66">
        <v>146.82000000000014</v>
      </c>
      <c r="C963" s="66">
        <v>46.21</v>
      </c>
      <c r="D963" s="66">
        <v>12.62</v>
      </c>
      <c r="E963" s="66">
        <v>27.25</v>
      </c>
      <c r="F963" s="66">
        <v>6.83</v>
      </c>
      <c r="G963" s="65">
        <v>239.73000000000016</v>
      </c>
      <c r="H963" s="54">
        <v>8.8000000000000025</v>
      </c>
      <c r="I963" s="35"/>
    </row>
    <row r="964" spans="1:9" x14ac:dyDescent="0.2">
      <c r="A964" s="43" t="s">
        <v>59</v>
      </c>
      <c r="B964" s="66">
        <v>120.70000000000013</v>
      </c>
      <c r="C964" s="66">
        <v>37.47</v>
      </c>
      <c r="D964" s="66">
        <v>12.62</v>
      </c>
      <c r="E964" s="66">
        <v>27.25</v>
      </c>
      <c r="F964" s="66">
        <v>6.83</v>
      </c>
      <c r="G964" s="65">
        <v>204.87000000000015</v>
      </c>
      <c r="H964" s="54">
        <v>8.8000000000000025</v>
      </c>
      <c r="I964" s="35"/>
    </row>
    <row r="965" spans="1:9" x14ac:dyDescent="0.2">
      <c r="A965" s="43" t="s">
        <v>60</v>
      </c>
      <c r="B965" s="66">
        <v>101.36000000000013</v>
      </c>
      <c r="C965" s="66">
        <v>30.99</v>
      </c>
      <c r="D965" s="66">
        <v>12.62</v>
      </c>
      <c r="E965" s="66">
        <v>27.25</v>
      </c>
      <c r="F965" s="66">
        <v>6.83</v>
      </c>
      <c r="G965" s="65">
        <v>179.05000000000015</v>
      </c>
      <c r="H965" s="54">
        <v>8.8000000000000025</v>
      </c>
      <c r="I965" s="35"/>
    </row>
    <row r="966" spans="1:9" x14ac:dyDescent="0.2">
      <c r="A966" s="43" t="s">
        <v>61</v>
      </c>
      <c r="B966" s="66">
        <v>98.380000000000123</v>
      </c>
      <c r="C966" s="66">
        <v>29.99</v>
      </c>
      <c r="D966" s="66">
        <v>12.62</v>
      </c>
      <c r="E966" s="66">
        <v>27.25</v>
      </c>
      <c r="F966" s="66">
        <v>6.83</v>
      </c>
      <c r="G966" s="65">
        <v>175.07000000000014</v>
      </c>
      <c r="H966" s="54">
        <v>8.8000000000000025</v>
      </c>
      <c r="I966" s="35"/>
    </row>
    <row r="967" spans="1:9" x14ac:dyDescent="0.2">
      <c r="A967" s="43" t="s">
        <v>62</v>
      </c>
      <c r="B967" s="66">
        <v>91.580000000000126</v>
      </c>
      <c r="C967" s="66">
        <v>27.71</v>
      </c>
      <c r="D967" s="66">
        <v>12.62</v>
      </c>
      <c r="E967" s="66">
        <v>27.25</v>
      </c>
      <c r="F967" s="66">
        <v>6.83</v>
      </c>
      <c r="G967" s="65">
        <v>165.99000000000015</v>
      </c>
      <c r="H967" s="54">
        <v>8.8000000000000025</v>
      </c>
      <c r="I967" s="35"/>
    </row>
    <row r="968" spans="1:9" x14ac:dyDescent="0.2">
      <c r="A968" s="43" t="s">
        <v>63</v>
      </c>
      <c r="B968" s="66">
        <v>91.31000000000013</v>
      </c>
      <c r="C968" s="66">
        <v>27.62</v>
      </c>
      <c r="D968" s="66">
        <v>12.62</v>
      </c>
      <c r="E968" s="66">
        <v>27.25</v>
      </c>
      <c r="F968" s="66">
        <v>6.83</v>
      </c>
      <c r="G968" s="65">
        <v>165.63000000000014</v>
      </c>
      <c r="H968" s="54">
        <v>8.8000000000000025</v>
      </c>
      <c r="I968" s="35"/>
    </row>
    <row r="969" spans="1:9" x14ac:dyDescent="0.2">
      <c r="A969" s="43" t="s">
        <v>64</v>
      </c>
      <c r="B969" s="66">
        <v>75.56000000000013</v>
      </c>
      <c r="C969" s="66">
        <v>22.36</v>
      </c>
      <c r="D969" s="66">
        <v>12.62</v>
      </c>
      <c r="E969" s="66">
        <v>27.25</v>
      </c>
      <c r="F969" s="66">
        <v>6.83</v>
      </c>
      <c r="G969" s="65">
        <v>144.62000000000015</v>
      </c>
      <c r="H969" s="54">
        <v>8.8000000000000025</v>
      </c>
      <c r="I969" s="35"/>
    </row>
    <row r="970" spans="1:9" x14ac:dyDescent="0.2">
      <c r="A970" s="43" t="s">
        <v>65</v>
      </c>
      <c r="B970" s="66">
        <v>70.200000000000074</v>
      </c>
      <c r="C970" s="66">
        <v>20.55</v>
      </c>
      <c r="D970" s="66">
        <v>12.62</v>
      </c>
      <c r="E970" s="66">
        <v>27.25</v>
      </c>
      <c r="F970" s="66">
        <v>6.83</v>
      </c>
      <c r="G970" s="65">
        <v>137.45000000000007</v>
      </c>
      <c r="H970" s="54">
        <v>8.8000000000000025</v>
      </c>
      <c r="I970" s="35"/>
    </row>
    <row r="971" spans="1:9" x14ac:dyDescent="0.2">
      <c r="A971" s="43" t="s">
        <v>66</v>
      </c>
      <c r="B971" s="66">
        <v>67.15000000000002</v>
      </c>
      <c r="C971" s="66">
        <v>19.54</v>
      </c>
      <c r="D971" s="66">
        <v>12.62</v>
      </c>
      <c r="E971" s="66">
        <v>27.25</v>
      </c>
      <c r="F971" s="66">
        <v>6.83</v>
      </c>
      <c r="G971" s="65">
        <v>133.39000000000004</v>
      </c>
      <c r="H971" s="54">
        <v>8.8000000000000025</v>
      </c>
      <c r="I971" s="35"/>
    </row>
    <row r="972" spans="1:9" x14ac:dyDescent="0.2">
      <c r="A972" s="43" t="s">
        <v>67</v>
      </c>
      <c r="B972" s="66">
        <v>62.929999999999971</v>
      </c>
      <c r="C972" s="66">
        <v>18.13</v>
      </c>
      <c r="D972" s="66">
        <v>12.62</v>
      </c>
      <c r="E972" s="66">
        <v>27.25</v>
      </c>
      <c r="F972" s="66">
        <v>6.83</v>
      </c>
      <c r="G972" s="65">
        <v>127.75999999999998</v>
      </c>
      <c r="H972" s="54">
        <v>8.8000000000000025</v>
      </c>
      <c r="I972" s="35"/>
    </row>
    <row r="973" spans="1:9" x14ac:dyDescent="0.2">
      <c r="A973" s="43" t="s">
        <v>68</v>
      </c>
      <c r="B973" s="66">
        <v>58.419999999999966</v>
      </c>
      <c r="C973" s="66">
        <v>16.62</v>
      </c>
      <c r="D973" s="66">
        <v>12.62</v>
      </c>
      <c r="E973" s="66">
        <v>27.25</v>
      </c>
      <c r="F973" s="66">
        <v>6.83</v>
      </c>
      <c r="G973" s="65">
        <v>121.73999999999997</v>
      </c>
      <c r="H973" s="54">
        <v>8.8000000000000025</v>
      </c>
      <c r="I973" s="35"/>
    </row>
    <row r="974" spans="1:9" x14ac:dyDescent="0.2">
      <c r="A974" s="43" t="s">
        <v>69</v>
      </c>
      <c r="B974" s="66">
        <v>53.349999999999966</v>
      </c>
      <c r="C974" s="66">
        <v>14.91</v>
      </c>
      <c r="D974" s="66">
        <v>12.62</v>
      </c>
      <c r="E974" s="66">
        <v>27.25</v>
      </c>
      <c r="F974" s="66">
        <v>6.83</v>
      </c>
      <c r="G974" s="65">
        <v>114.95999999999997</v>
      </c>
      <c r="H974" s="54">
        <v>8.8000000000000025</v>
      </c>
      <c r="I974" s="35"/>
    </row>
    <row r="975" spans="1:9" x14ac:dyDescent="0.2">
      <c r="A975" s="43" t="s">
        <v>70</v>
      </c>
      <c r="B975" s="66">
        <v>58.559999999999967</v>
      </c>
      <c r="C975" s="66">
        <v>16.649999999999999</v>
      </c>
      <c r="D975" s="66">
        <v>12.62</v>
      </c>
      <c r="E975" s="66">
        <v>27.25</v>
      </c>
      <c r="F975" s="66">
        <v>6.83</v>
      </c>
      <c r="G975" s="65">
        <v>121.90999999999997</v>
      </c>
      <c r="H975" s="54">
        <v>8.8000000000000025</v>
      </c>
      <c r="I975" s="35"/>
    </row>
    <row r="976" spans="1:9" x14ac:dyDescent="0.2">
      <c r="A976" s="43" t="s">
        <v>71</v>
      </c>
      <c r="B976" s="66">
        <v>52.819999999999972</v>
      </c>
      <c r="C976" s="66">
        <v>14.73</v>
      </c>
      <c r="D976" s="66">
        <v>12.62</v>
      </c>
      <c r="E976" s="66">
        <v>27.25</v>
      </c>
      <c r="F976" s="66">
        <v>6.83</v>
      </c>
      <c r="G976" s="65">
        <v>114.24999999999997</v>
      </c>
      <c r="H976" s="54">
        <v>8.8000000000000025</v>
      </c>
      <c r="I976" s="35"/>
    </row>
    <row r="977" spans="1:9" x14ac:dyDescent="0.2">
      <c r="A977" s="43" t="s">
        <v>72</v>
      </c>
      <c r="B977" s="66">
        <v>45.959999999999965</v>
      </c>
      <c r="C977" s="66">
        <v>12.44</v>
      </c>
      <c r="D977" s="66">
        <v>12.62</v>
      </c>
      <c r="E977" s="66">
        <v>27.25</v>
      </c>
      <c r="F977" s="66">
        <v>6.83</v>
      </c>
      <c r="G977" s="65">
        <v>105.09999999999997</v>
      </c>
      <c r="H977" s="54">
        <v>8.8000000000000025</v>
      </c>
      <c r="I977" s="35"/>
    </row>
    <row r="978" spans="1:9" x14ac:dyDescent="0.2">
      <c r="A978" s="43" t="s">
        <v>73</v>
      </c>
      <c r="B978" s="66">
        <v>42.229999999999968</v>
      </c>
      <c r="C978" s="66">
        <v>11.19</v>
      </c>
      <c r="D978" s="66">
        <v>12.62</v>
      </c>
      <c r="E978" s="66">
        <v>27.25</v>
      </c>
      <c r="F978" s="66">
        <v>6.83</v>
      </c>
      <c r="G978" s="65">
        <v>100.11999999999996</v>
      </c>
      <c r="H978" s="54">
        <v>8.8000000000000025</v>
      </c>
      <c r="I978" s="35"/>
    </row>
    <row r="979" spans="1:9" x14ac:dyDescent="0.2">
      <c r="A979" s="43" t="s">
        <v>74</v>
      </c>
      <c r="B979" s="66">
        <v>57.019999999999968</v>
      </c>
      <c r="C979" s="66">
        <v>16.14</v>
      </c>
      <c r="D979" s="66">
        <v>12.62</v>
      </c>
      <c r="E979" s="66">
        <v>27.25</v>
      </c>
      <c r="F979" s="66">
        <v>6.83</v>
      </c>
      <c r="G979" s="65">
        <v>119.85999999999997</v>
      </c>
      <c r="H979" s="54">
        <v>8.8000000000000025</v>
      </c>
      <c r="I979" s="35"/>
    </row>
    <row r="980" spans="1:9" x14ac:dyDescent="0.2">
      <c r="A980" s="43" t="s">
        <v>75</v>
      </c>
      <c r="B980" s="66">
        <v>49.109999999999971</v>
      </c>
      <c r="C980" s="66">
        <v>13.5</v>
      </c>
      <c r="D980" s="66">
        <v>12.62</v>
      </c>
      <c r="E980" s="66">
        <v>27.25</v>
      </c>
      <c r="F980" s="66">
        <v>6.83</v>
      </c>
      <c r="G980" s="65">
        <v>109.30999999999997</v>
      </c>
      <c r="H980" s="54">
        <v>8.8000000000000025</v>
      </c>
      <c r="I980" s="35"/>
    </row>
    <row r="981" spans="1:9" x14ac:dyDescent="0.2">
      <c r="A981" s="43" t="s">
        <v>76</v>
      </c>
      <c r="B981" s="66">
        <v>44.609999999999971</v>
      </c>
      <c r="C981" s="66">
        <v>11.99</v>
      </c>
      <c r="D981" s="66">
        <v>12.62</v>
      </c>
      <c r="E981" s="66">
        <v>27.25</v>
      </c>
      <c r="F981" s="66">
        <v>6.83</v>
      </c>
      <c r="G981" s="65">
        <v>103.29999999999997</v>
      </c>
      <c r="H981" s="54">
        <v>8.8000000000000025</v>
      </c>
      <c r="I981" s="35"/>
    </row>
    <row r="982" spans="1:9" x14ac:dyDescent="0.2">
      <c r="A982" s="43" t="s">
        <v>77</v>
      </c>
      <c r="B982" s="66">
        <v>37.869999999999969</v>
      </c>
      <c r="C982" s="66">
        <v>9.74</v>
      </c>
      <c r="D982" s="66">
        <v>12.62</v>
      </c>
      <c r="E982" s="66">
        <v>27.25</v>
      </c>
      <c r="F982" s="66">
        <v>6.83</v>
      </c>
      <c r="G982" s="65">
        <v>94.30999999999996</v>
      </c>
      <c r="H982" s="54">
        <v>8.8000000000000025</v>
      </c>
      <c r="I982" s="35"/>
    </row>
    <row r="983" spans="1:9" x14ac:dyDescent="0.2">
      <c r="A983" s="43" t="s">
        <v>78</v>
      </c>
      <c r="B983" s="66">
        <v>63.419999999999966</v>
      </c>
      <c r="C983" s="66">
        <v>18.29</v>
      </c>
      <c r="D983" s="66">
        <v>12.62</v>
      </c>
      <c r="E983" s="66">
        <v>27.25</v>
      </c>
      <c r="F983" s="66">
        <v>6.83</v>
      </c>
      <c r="G983" s="65">
        <v>128.40999999999997</v>
      </c>
      <c r="H983" s="54">
        <v>8.8000000000000025</v>
      </c>
      <c r="I983" s="35"/>
    </row>
    <row r="984" spans="1:9" x14ac:dyDescent="0.2">
      <c r="A984" s="43" t="s">
        <v>79</v>
      </c>
      <c r="B984" s="66">
        <v>58.519999999999968</v>
      </c>
      <c r="C984" s="66">
        <v>16.64</v>
      </c>
      <c r="D984" s="66">
        <v>12.62</v>
      </c>
      <c r="E984" s="66">
        <v>27.25</v>
      </c>
      <c r="F984" s="66">
        <v>6.83</v>
      </c>
      <c r="G984" s="65">
        <v>121.85999999999997</v>
      </c>
      <c r="H984" s="54">
        <v>8.8000000000000025</v>
      </c>
      <c r="I984" s="35"/>
    </row>
    <row r="985" spans="1:9" x14ac:dyDescent="0.2">
      <c r="A985" s="43" t="s">
        <v>80</v>
      </c>
      <c r="B985" s="66">
        <v>59.709999999999965</v>
      </c>
      <c r="C985" s="66">
        <v>17.04</v>
      </c>
      <c r="D985" s="66">
        <v>12.62</v>
      </c>
      <c r="E985" s="66">
        <v>27.25</v>
      </c>
      <c r="F985" s="66">
        <v>6.83</v>
      </c>
      <c r="G985" s="65">
        <v>123.44999999999997</v>
      </c>
      <c r="H985" s="54">
        <v>8.8000000000000025</v>
      </c>
      <c r="I985" s="35"/>
    </row>
    <row r="986" spans="1:9" x14ac:dyDescent="0.2">
      <c r="A986" s="43" t="s">
        <v>53</v>
      </c>
      <c r="B986" s="66">
        <v>54.64999999999997</v>
      </c>
      <c r="C986" s="66">
        <v>15.35</v>
      </c>
      <c r="D986" s="66">
        <v>12.62</v>
      </c>
      <c r="E986" s="66">
        <v>27.25</v>
      </c>
      <c r="F986" s="66">
        <v>6.83</v>
      </c>
      <c r="G986" s="65">
        <v>116.69999999999997</v>
      </c>
      <c r="H986" s="54">
        <v>8.8000000000000025</v>
      </c>
      <c r="I986" s="35"/>
    </row>
    <row r="987" spans="1:9" x14ac:dyDescent="0.2">
      <c r="A987" s="43" t="s">
        <v>81</v>
      </c>
      <c r="B987" s="66">
        <v>52.499999999999972</v>
      </c>
      <c r="C987" s="66">
        <v>14.63</v>
      </c>
      <c r="D987" s="66">
        <v>12.62</v>
      </c>
      <c r="E987" s="66">
        <v>27.25</v>
      </c>
      <c r="F987" s="66">
        <v>6.83</v>
      </c>
      <c r="G987" s="65">
        <v>113.82999999999997</v>
      </c>
      <c r="H987" s="54">
        <v>8.8000000000000025</v>
      </c>
      <c r="I987" s="35"/>
    </row>
    <row r="988" spans="1:9" x14ac:dyDescent="0.2">
      <c r="A988" s="43" t="s">
        <v>82</v>
      </c>
      <c r="B988" s="66">
        <v>49.269999999999968</v>
      </c>
      <c r="C988" s="66">
        <v>13.55</v>
      </c>
      <c r="D988" s="66">
        <v>12.62</v>
      </c>
      <c r="E988" s="66">
        <v>27.25</v>
      </c>
      <c r="F988" s="66">
        <v>6.83</v>
      </c>
      <c r="G988" s="65">
        <v>109.51999999999997</v>
      </c>
      <c r="H988" s="54">
        <v>8.8000000000000025</v>
      </c>
      <c r="I988" s="35"/>
    </row>
    <row r="989" spans="1:9" x14ac:dyDescent="0.2">
      <c r="A989" s="43" t="s">
        <v>83</v>
      </c>
      <c r="B989" s="66">
        <v>47.279999999999966</v>
      </c>
      <c r="C989" s="66">
        <v>12.88</v>
      </c>
      <c r="D989" s="66">
        <v>12.62</v>
      </c>
      <c r="E989" s="66">
        <v>27.25</v>
      </c>
      <c r="F989" s="66">
        <v>6.83</v>
      </c>
      <c r="G989" s="65">
        <v>106.85999999999997</v>
      </c>
      <c r="H989" s="54">
        <v>8.8000000000000025</v>
      </c>
      <c r="I989" s="35"/>
    </row>
    <row r="990" spans="1:9" x14ac:dyDescent="0.2">
      <c r="A990" s="43" t="s">
        <v>84</v>
      </c>
      <c r="B990" s="66">
        <v>43.71999999999997</v>
      </c>
      <c r="C990" s="66">
        <v>11.69</v>
      </c>
      <c r="D990" s="66">
        <v>12.62</v>
      </c>
      <c r="E990" s="66">
        <v>27.25</v>
      </c>
      <c r="F990" s="66">
        <v>6.83</v>
      </c>
      <c r="G990" s="65">
        <v>102.10999999999997</v>
      </c>
      <c r="H990" s="54">
        <v>8.8000000000000025</v>
      </c>
      <c r="I990" s="35"/>
    </row>
    <row r="991" spans="1:9" x14ac:dyDescent="0.2">
      <c r="A991" s="43" t="s">
        <v>85</v>
      </c>
      <c r="B991" s="66">
        <v>39.369999999999969</v>
      </c>
      <c r="C991" s="66">
        <v>10.23</v>
      </c>
      <c r="D991" s="66">
        <v>12.62</v>
      </c>
      <c r="E991" s="66">
        <v>27.25</v>
      </c>
      <c r="F991" s="66">
        <v>6.83</v>
      </c>
      <c r="G991" s="65">
        <v>96.299999999999969</v>
      </c>
      <c r="H991" s="54">
        <v>8.8000000000000025</v>
      </c>
      <c r="I991" s="35"/>
    </row>
    <row r="992" spans="1:9" x14ac:dyDescent="0.2">
      <c r="A992" s="43" t="s">
        <v>86</v>
      </c>
      <c r="B992" s="66">
        <v>35.659999999999968</v>
      </c>
      <c r="C992" s="66">
        <v>9</v>
      </c>
      <c r="D992" s="66">
        <v>12.62</v>
      </c>
      <c r="E992" s="66">
        <v>27.25</v>
      </c>
      <c r="F992" s="66">
        <v>6.83</v>
      </c>
      <c r="G992" s="65">
        <v>91.359999999999971</v>
      </c>
      <c r="H992" s="54">
        <v>8.8000000000000025</v>
      </c>
      <c r="I992" s="35"/>
    </row>
    <row r="993" spans="1:9" x14ac:dyDescent="0.2">
      <c r="A993" s="45" t="s">
        <v>87</v>
      </c>
      <c r="B993" s="66">
        <v>35.659999999999968</v>
      </c>
      <c r="C993" s="66">
        <v>9</v>
      </c>
      <c r="D993" s="66">
        <v>12.62</v>
      </c>
      <c r="E993" s="66">
        <v>27.25</v>
      </c>
      <c r="F993" s="66">
        <v>6.83</v>
      </c>
      <c r="G993" s="65">
        <v>91.359999999999971</v>
      </c>
      <c r="H993" s="54">
        <v>8.8000000000000025</v>
      </c>
      <c r="I993" s="35"/>
    </row>
    <row r="994" spans="1:9" x14ac:dyDescent="0.2">
      <c r="A994" s="45" t="s">
        <v>88</v>
      </c>
      <c r="B994" s="66">
        <v>35.659999999999968</v>
      </c>
      <c r="C994" s="66">
        <v>9</v>
      </c>
      <c r="D994" s="66">
        <v>12.62</v>
      </c>
      <c r="E994" s="66">
        <v>27.25</v>
      </c>
      <c r="F994" s="66">
        <v>6.83</v>
      </c>
      <c r="G994" s="65">
        <v>91.359999999999971</v>
      </c>
      <c r="H994" s="54">
        <v>8.8000000000000025</v>
      </c>
      <c r="I994" s="35"/>
    </row>
    <row r="995" spans="1:9" x14ac:dyDescent="0.2">
      <c r="A995" s="55"/>
      <c r="B995" s="56"/>
      <c r="C995" s="33"/>
      <c r="D995" s="33"/>
      <c r="E995" s="33"/>
      <c r="F995" s="33"/>
      <c r="G995" s="57"/>
      <c r="H995" s="54"/>
      <c r="I995" s="33"/>
    </row>
    <row r="996" spans="1:9" x14ac:dyDescent="0.2">
      <c r="A996" s="58" t="s">
        <v>119</v>
      </c>
      <c r="B996" s="64">
        <v>96.81</v>
      </c>
      <c r="C996" s="64">
        <v>31.81</v>
      </c>
      <c r="D996" s="49"/>
      <c r="E996" s="49"/>
      <c r="F996" s="49"/>
      <c r="G996" s="50">
        <v>128.62</v>
      </c>
      <c r="H996" s="54">
        <v>0</v>
      </c>
      <c r="I996" s="33"/>
    </row>
    <row r="997" spans="1:9" x14ac:dyDescent="0.2">
      <c r="A997" s="51" t="s">
        <v>120</v>
      </c>
      <c r="B997" s="64">
        <v>38.72</v>
      </c>
      <c r="C997" s="64">
        <v>12.73</v>
      </c>
      <c r="D997" s="49"/>
      <c r="E997" s="49"/>
      <c r="F997" s="49"/>
      <c r="G997" s="50">
        <v>51.45</v>
      </c>
      <c r="H997" s="54">
        <v>0</v>
      </c>
      <c r="I997" s="33"/>
    </row>
    <row r="998" spans="1:9" x14ac:dyDescent="0.2">
      <c r="A998" s="59" t="s">
        <v>121</v>
      </c>
      <c r="B998" s="64">
        <v>58.09</v>
      </c>
      <c r="C998" s="64">
        <v>19.079999999999998</v>
      </c>
      <c r="D998" s="49"/>
      <c r="E998" s="49"/>
      <c r="F998" s="49"/>
      <c r="G998" s="50">
        <v>77.17</v>
      </c>
      <c r="H998" s="54">
        <v>0</v>
      </c>
      <c r="I998" s="33"/>
    </row>
    <row r="1000" spans="1:9" ht="15.75" x14ac:dyDescent="0.25">
      <c r="A1000" s="41" t="s">
        <v>166</v>
      </c>
      <c r="B1000" s="42"/>
      <c r="C1000" s="42"/>
      <c r="D1000" s="42"/>
      <c r="E1000" s="42"/>
      <c r="F1000" s="42"/>
      <c r="G1000" s="42"/>
      <c r="H1000" s="52"/>
      <c r="I1000" s="33"/>
    </row>
    <row r="1001" spans="1:9" ht="76.5" x14ac:dyDescent="0.2">
      <c r="A1001" s="37" t="s">
        <v>92</v>
      </c>
      <c r="B1001" s="61" t="s">
        <v>114</v>
      </c>
      <c r="C1001" s="61" t="s">
        <v>115</v>
      </c>
      <c r="D1001" s="62" t="s">
        <v>116</v>
      </c>
      <c r="E1001" s="61" t="s">
        <v>117</v>
      </c>
      <c r="F1001" s="61" t="s">
        <v>118</v>
      </c>
      <c r="G1001" s="62" t="s">
        <v>15</v>
      </c>
      <c r="H1001" s="53" t="s">
        <v>167</v>
      </c>
      <c r="I1001" s="33"/>
    </row>
    <row r="1002" spans="1:9" x14ac:dyDescent="0.2">
      <c r="A1002" s="43" t="s">
        <v>54</v>
      </c>
      <c r="B1002" s="66">
        <v>119.07000000000014</v>
      </c>
      <c r="C1002" s="66">
        <v>36.79</v>
      </c>
      <c r="D1002" s="66">
        <v>12.62</v>
      </c>
      <c r="E1002" s="66">
        <v>27.25</v>
      </c>
      <c r="F1002" s="66">
        <v>6.83</v>
      </c>
      <c r="G1002" s="65">
        <v>202.56000000000014</v>
      </c>
      <c r="H1002" s="54">
        <v>9.2000000000000028</v>
      </c>
      <c r="I1002" s="35"/>
    </row>
    <row r="1003" spans="1:9" x14ac:dyDescent="0.2">
      <c r="A1003" s="43" t="s">
        <v>55</v>
      </c>
      <c r="B1003" s="66">
        <v>102.17000000000013</v>
      </c>
      <c r="C1003" s="66">
        <v>31.12</v>
      </c>
      <c r="D1003" s="66">
        <v>12.62</v>
      </c>
      <c r="E1003" s="66">
        <v>27.25</v>
      </c>
      <c r="F1003" s="66">
        <v>6.83</v>
      </c>
      <c r="G1003" s="65">
        <v>179.99000000000015</v>
      </c>
      <c r="H1003" s="54">
        <v>9.2000000000000028</v>
      </c>
      <c r="I1003" s="35"/>
    </row>
    <row r="1004" spans="1:9" x14ac:dyDescent="0.2">
      <c r="A1004" s="43" t="s">
        <v>56</v>
      </c>
      <c r="B1004" s="66">
        <v>94.380000000000138</v>
      </c>
      <c r="C1004" s="66">
        <v>28.52</v>
      </c>
      <c r="D1004" s="66">
        <v>12.62</v>
      </c>
      <c r="E1004" s="66">
        <v>27.25</v>
      </c>
      <c r="F1004" s="66">
        <v>6.83</v>
      </c>
      <c r="G1004" s="65">
        <v>169.60000000000014</v>
      </c>
      <c r="H1004" s="54">
        <v>9.2000000000000028</v>
      </c>
      <c r="I1004" s="35"/>
    </row>
    <row r="1005" spans="1:9" x14ac:dyDescent="0.2">
      <c r="A1005" s="43" t="s">
        <v>57</v>
      </c>
      <c r="B1005" s="66">
        <v>79.900000000000134</v>
      </c>
      <c r="C1005" s="66">
        <v>23.67</v>
      </c>
      <c r="D1005" s="66">
        <v>12.62</v>
      </c>
      <c r="E1005" s="66">
        <v>27.25</v>
      </c>
      <c r="F1005" s="66">
        <v>6.83</v>
      </c>
      <c r="G1005" s="65">
        <v>150.27000000000015</v>
      </c>
      <c r="H1005" s="54">
        <v>9.2000000000000028</v>
      </c>
      <c r="I1005" s="35"/>
    </row>
    <row r="1006" spans="1:9" x14ac:dyDescent="0.2">
      <c r="A1006" s="43" t="s">
        <v>58</v>
      </c>
      <c r="B1006" s="66">
        <v>147.22000000000014</v>
      </c>
      <c r="C1006" s="66">
        <v>46.21</v>
      </c>
      <c r="D1006" s="66">
        <v>12.62</v>
      </c>
      <c r="E1006" s="66">
        <v>27.25</v>
      </c>
      <c r="F1006" s="66">
        <v>6.83</v>
      </c>
      <c r="G1006" s="65">
        <v>240.13000000000017</v>
      </c>
      <c r="H1006" s="54">
        <v>9.2000000000000028</v>
      </c>
      <c r="I1006" s="35"/>
    </row>
    <row r="1007" spans="1:9" x14ac:dyDescent="0.2">
      <c r="A1007" s="43" t="s">
        <v>59</v>
      </c>
      <c r="B1007" s="66">
        <v>121.10000000000014</v>
      </c>
      <c r="C1007" s="66">
        <v>37.47</v>
      </c>
      <c r="D1007" s="66">
        <v>12.62</v>
      </c>
      <c r="E1007" s="66">
        <v>27.25</v>
      </c>
      <c r="F1007" s="66">
        <v>6.83</v>
      </c>
      <c r="G1007" s="65">
        <v>205.27000000000015</v>
      </c>
      <c r="H1007" s="54">
        <v>9.2000000000000028</v>
      </c>
      <c r="I1007" s="35"/>
    </row>
    <row r="1008" spans="1:9" x14ac:dyDescent="0.2">
      <c r="A1008" s="43" t="s">
        <v>60</v>
      </c>
      <c r="B1008" s="66">
        <v>101.76000000000013</v>
      </c>
      <c r="C1008" s="66">
        <v>30.99</v>
      </c>
      <c r="D1008" s="66">
        <v>12.62</v>
      </c>
      <c r="E1008" s="66">
        <v>27.25</v>
      </c>
      <c r="F1008" s="66">
        <v>6.83</v>
      </c>
      <c r="G1008" s="65">
        <v>179.45000000000016</v>
      </c>
      <c r="H1008" s="54">
        <v>9.2000000000000028</v>
      </c>
      <c r="I1008" s="35"/>
    </row>
    <row r="1009" spans="1:9" x14ac:dyDescent="0.2">
      <c r="A1009" s="43" t="s">
        <v>61</v>
      </c>
      <c r="B1009" s="66">
        <v>98.780000000000129</v>
      </c>
      <c r="C1009" s="66">
        <v>29.99</v>
      </c>
      <c r="D1009" s="66">
        <v>12.62</v>
      </c>
      <c r="E1009" s="66">
        <v>27.25</v>
      </c>
      <c r="F1009" s="66">
        <v>6.83</v>
      </c>
      <c r="G1009" s="65">
        <v>175.47000000000014</v>
      </c>
      <c r="H1009" s="54">
        <v>9.2000000000000028</v>
      </c>
      <c r="I1009" s="35"/>
    </row>
    <row r="1010" spans="1:9" x14ac:dyDescent="0.2">
      <c r="A1010" s="43" t="s">
        <v>62</v>
      </c>
      <c r="B1010" s="66">
        <v>91.980000000000132</v>
      </c>
      <c r="C1010" s="66">
        <v>27.71</v>
      </c>
      <c r="D1010" s="66">
        <v>12.62</v>
      </c>
      <c r="E1010" s="66">
        <v>27.25</v>
      </c>
      <c r="F1010" s="66">
        <v>6.83</v>
      </c>
      <c r="G1010" s="65">
        <v>166.39000000000016</v>
      </c>
      <c r="H1010" s="54">
        <v>9.2000000000000028</v>
      </c>
      <c r="I1010" s="35"/>
    </row>
    <row r="1011" spans="1:9" x14ac:dyDescent="0.2">
      <c r="A1011" s="43" t="s">
        <v>63</v>
      </c>
      <c r="B1011" s="66">
        <v>91.710000000000136</v>
      </c>
      <c r="C1011" s="66">
        <v>27.62</v>
      </c>
      <c r="D1011" s="66">
        <v>12.62</v>
      </c>
      <c r="E1011" s="66">
        <v>27.25</v>
      </c>
      <c r="F1011" s="66">
        <v>6.83</v>
      </c>
      <c r="G1011" s="65">
        <v>166.03000000000014</v>
      </c>
      <c r="H1011" s="54">
        <v>9.2000000000000028</v>
      </c>
      <c r="I1011" s="35"/>
    </row>
    <row r="1012" spans="1:9" x14ac:dyDescent="0.2">
      <c r="A1012" s="43" t="s">
        <v>64</v>
      </c>
      <c r="B1012" s="66">
        <v>75.960000000000136</v>
      </c>
      <c r="C1012" s="66">
        <v>22.36</v>
      </c>
      <c r="D1012" s="66">
        <v>12.62</v>
      </c>
      <c r="E1012" s="66">
        <v>27.25</v>
      </c>
      <c r="F1012" s="66">
        <v>6.83</v>
      </c>
      <c r="G1012" s="65">
        <v>145.02000000000015</v>
      </c>
      <c r="H1012" s="54">
        <v>9.2000000000000028</v>
      </c>
      <c r="I1012" s="35"/>
    </row>
    <row r="1013" spans="1:9" x14ac:dyDescent="0.2">
      <c r="A1013" s="43" t="s">
        <v>65</v>
      </c>
      <c r="B1013" s="66">
        <v>70.60000000000008</v>
      </c>
      <c r="C1013" s="66">
        <v>20.55</v>
      </c>
      <c r="D1013" s="66">
        <v>12.62</v>
      </c>
      <c r="E1013" s="66">
        <v>27.25</v>
      </c>
      <c r="F1013" s="66">
        <v>6.83</v>
      </c>
      <c r="G1013" s="65">
        <v>137.85000000000011</v>
      </c>
      <c r="H1013" s="54">
        <v>9.2000000000000028</v>
      </c>
      <c r="I1013" s="35"/>
    </row>
    <row r="1014" spans="1:9" x14ac:dyDescent="0.2">
      <c r="A1014" s="43" t="s">
        <v>66</v>
      </c>
      <c r="B1014" s="66">
        <v>67.550000000000026</v>
      </c>
      <c r="C1014" s="66">
        <v>19.54</v>
      </c>
      <c r="D1014" s="66">
        <v>12.62</v>
      </c>
      <c r="E1014" s="66">
        <v>27.25</v>
      </c>
      <c r="F1014" s="66">
        <v>6.83</v>
      </c>
      <c r="G1014" s="65">
        <v>133.79000000000005</v>
      </c>
      <c r="H1014" s="54">
        <v>9.2000000000000028</v>
      </c>
      <c r="I1014" s="35"/>
    </row>
    <row r="1015" spans="1:9" x14ac:dyDescent="0.2">
      <c r="A1015" s="43" t="s">
        <v>67</v>
      </c>
      <c r="B1015" s="66">
        <v>63.32999999999997</v>
      </c>
      <c r="C1015" s="66">
        <v>18.13</v>
      </c>
      <c r="D1015" s="66">
        <v>12.62</v>
      </c>
      <c r="E1015" s="66">
        <v>27.25</v>
      </c>
      <c r="F1015" s="66">
        <v>6.83</v>
      </c>
      <c r="G1015" s="65">
        <v>128.15999999999997</v>
      </c>
      <c r="H1015" s="54">
        <v>9.2000000000000028</v>
      </c>
      <c r="I1015" s="35"/>
    </row>
    <row r="1016" spans="1:9" x14ac:dyDescent="0.2">
      <c r="A1016" s="43" t="s">
        <v>68</v>
      </c>
      <c r="B1016" s="66">
        <v>58.819999999999965</v>
      </c>
      <c r="C1016" s="66">
        <v>16.62</v>
      </c>
      <c r="D1016" s="66">
        <v>12.62</v>
      </c>
      <c r="E1016" s="66">
        <v>27.25</v>
      </c>
      <c r="F1016" s="66">
        <v>6.83</v>
      </c>
      <c r="G1016" s="65">
        <v>122.13999999999997</v>
      </c>
      <c r="H1016" s="54">
        <v>9.2000000000000028</v>
      </c>
      <c r="I1016" s="35"/>
    </row>
    <row r="1017" spans="1:9" x14ac:dyDescent="0.2">
      <c r="A1017" s="43" t="s">
        <v>69</v>
      </c>
      <c r="B1017" s="66">
        <v>53.749999999999964</v>
      </c>
      <c r="C1017" s="66">
        <v>14.91</v>
      </c>
      <c r="D1017" s="66">
        <v>12.62</v>
      </c>
      <c r="E1017" s="66">
        <v>27.25</v>
      </c>
      <c r="F1017" s="66">
        <v>6.83</v>
      </c>
      <c r="G1017" s="65">
        <v>115.35999999999997</v>
      </c>
      <c r="H1017" s="54">
        <v>9.2000000000000028</v>
      </c>
      <c r="I1017" s="35"/>
    </row>
    <row r="1018" spans="1:9" x14ac:dyDescent="0.2">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
      <c r="A1019" s="43" t="s">
        <v>71</v>
      </c>
      <c r="B1019" s="66">
        <v>53.21999999999997</v>
      </c>
      <c r="C1019" s="66">
        <v>14.73</v>
      </c>
      <c r="D1019" s="66">
        <v>12.62</v>
      </c>
      <c r="E1019" s="66">
        <v>27.25</v>
      </c>
      <c r="F1019" s="66">
        <v>6.83</v>
      </c>
      <c r="G1019" s="65">
        <v>114.64999999999998</v>
      </c>
      <c r="H1019" s="54">
        <v>9.2000000000000028</v>
      </c>
      <c r="I1019" s="35"/>
    </row>
    <row r="1020" spans="1:9" x14ac:dyDescent="0.2">
      <c r="A1020" s="43" t="s">
        <v>72</v>
      </c>
      <c r="B1020" s="66">
        <v>46.359999999999964</v>
      </c>
      <c r="C1020" s="66">
        <v>12.44</v>
      </c>
      <c r="D1020" s="66">
        <v>12.62</v>
      </c>
      <c r="E1020" s="66">
        <v>27.25</v>
      </c>
      <c r="F1020" s="66">
        <v>6.83</v>
      </c>
      <c r="G1020" s="65">
        <v>105.49999999999996</v>
      </c>
      <c r="H1020" s="54">
        <v>9.2000000000000028</v>
      </c>
      <c r="I1020" s="35"/>
    </row>
    <row r="1021" spans="1:9" x14ac:dyDescent="0.2">
      <c r="A1021" s="43" t="s">
        <v>73</v>
      </c>
      <c r="B1021" s="66">
        <v>42.629999999999967</v>
      </c>
      <c r="C1021" s="66">
        <v>11.19</v>
      </c>
      <c r="D1021" s="66">
        <v>12.62</v>
      </c>
      <c r="E1021" s="66">
        <v>27.25</v>
      </c>
      <c r="F1021" s="66">
        <v>6.83</v>
      </c>
      <c r="G1021" s="65">
        <v>100.51999999999997</v>
      </c>
      <c r="H1021" s="54">
        <v>9.2000000000000028</v>
      </c>
      <c r="I1021" s="35"/>
    </row>
    <row r="1022" spans="1:9" x14ac:dyDescent="0.2">
      <c r="A1022" s="43" t="s">
        <v>74</v>
      </c>
      <c r="B1022" s="66">
        <v>57.419999999999966</v>
      </c>
      <c r="C1022" s="66">
        <v>16.14</v>
      </c>
      <c r="D1022" s="66">
        <v>12.62</v>
      </c>
      <c r="E1022" s="66">
        <v>27.25</v>
      </c>
      <c r="F1022" s="66">
        <v>6.83</v>
      </c>
      <c r="G1022" s="65">
        <v>120.25999999999998</v>
      </c>
      <c r="H1022" s="54">
        <v>9.2000000000000028</v>
      </c>
      <c r="I1022" s="35"/>
    </row>
    <row r="1023" spans="1:9" x14ac:dyDescent="0.2">
      <c r="A1023" s="43" t="s">
        <v>75</v>
      </c>
      <c r="B1023" s="66">
        <v>49.50999999999997</v>
      </c>
      <c r="C1023" s="66">
        <v>13.5</v>
      </c>
      <c r="D1023" s="66">
        <v>12.62</v>
      </c>
      <c r="E1023" s="66">
        <v>27.25</v>
      </c>
      <c r="F1023" s="66">
        <v>6.83</v>
      </c>
      <c r="G1023" s="65">
        <v>109.70999999999997</v>
      </c>
      <c r="H1023" s="54">
        <v>9.2000000000000028</v>
      </c>
      <c r="I1023" s="35"/>
    </row>
    <row r="1024" spans="1:9" x14ac:dyDescent="0.2">
      <c r="A1024" s="43" t="s">
        <v>76</v>
      </c>
      <c r="B1024" s="66">
        <v>45.00999999999997</v>
      </c>
      <c r="C1024" s="66">
        <v>11.99</v>
      </c>
      <c r="D1024" s="66">
        <v>12.62</v>
      </c>
      <c r="E1024" s="66">
        <v>27.25</v>
      </c>
      <c r="F1024" s="66">
        <v>6.83</v>
      </c>
      <c r="G1024" s="65">
        <v>103.69999999999997</v>
      </c>
      <c r="H1024" s="54">
        <v>9.2000000000000028</v>
      </c>
      <c r="I1024" s="35"/>
    </row>
    <row r="1025" spans="1:9" x14ac:dyDescent="0.2">
      <c r="A1025" s="43" t="s">
        <v>77</v>
      </c>
      <c r="B1025" s="66">
        <v>38.269999999999968</v>
      </c>
      <c r="C1025" s="66">
        <v>9.74</v>
      </c>
      <c r="D1025" s="66">
        <v>12.62</v>
      </c>
      <c r="E1025" s="66">
        <v>27.25</v>
      </c>
      <c r="F1025" s="66">
        <v>6.83</v>
      </c>
      <c r="G1025" s="65">
        <v>94.709999999999965</v>
      </c>
      <c r="H1025" s="54">
        <v>9.2000000000000028</v>
      </c>
      <c r="I1025" s="35"/>
    </row>
    <row r="1026" spans="1:9" x14ac:dyDescent="0.2">
      <c r="A1026" s="43" t="s">
        <v>78</v>
      </c>
      <c r="B1026" s="66">
        <v>63.819999999999965</v>
      </c>
      <c r="C1026" s="66">
        <v>18.29</v>
      </c>
      <c r="D1026" s="66">
        <v>12.62</v>
      </c>
      <c r="E1026" s="66">
        <v>27.25</v>
      </c>
      <c r="F1026" s="66">
        <v>6.83</v>
      </c>
      <c r="G1026" s="65">
        <v>128.80999999999997</v>
      </c>
      <c r="H1026" s="54">
        <v>9.2000000000000028</v>
      </c>
      <c r="I1026" s="35"/>
    </row>
    <row r="1027" spans="1:9" x14ac:dyDescent="0.2">
      <c r="A1027" s="43" t="s">
        <v>79</v>
      </c>
      <c r="B1027" s="66">
        <v>58.919999999999966</v>
      </c>
      <c r="C1027" s="66">
        <v>16.64</v>
      </c>
      <c r="D1027" s="66">
        <v>12.62</v>
      </c>
      <c r="E1027" s="66">
        <v>27.25</v>
      </c>
      <c r="F1027" s="66">
        <v>6.83</v>
      </c>
      <c r="G1027" s="65">
        <v>122.25999999999998</v>
      </c>
      <c r="H1027" s="54">
        <v>9.2000000000000028</v>
      </c>
      <c r="I1027" s="35"/>
    </row>
    <row r="1028" spans="1:9" x14ac:dyDescent="0.2">
      <c r="A1028" s="43" t="s">
        <v>80</v>
      </c>
      <c r="B1028" s="66">
        <v>60.109999999999964</v>
      </c>
      <c r="C1028" s="66">
        <v>17.04</v>
      </c>
      <c r="D1028" s="66">
        <v>12.62</v>
      </c>
      <c r="E1028" s="66">
        <v>27.25</v>
      </c>
      <c r="F1028" s="66">
        <v>6.83</v>
      </c>
      <c r="G1028" s="65">
        <v>123.84999999999997</v>
      </c>
      <c r="H1028" s="54">
        <v>9.2000000000000028</v>
      </c>
      <c r="I1028" s="35"/>
    </row>
    <row r="1029" spans="1:9" x14ac:dyDescent="0.2">
      <c r="A1029" s="43" t="s">
        <v>53</v>
      </c>
      <c r="B1029" s="66">
        <v>55.049999999999969</v>
      </c>
      <c r="C1029" s="66">
        <v>15.35</v>
      </c>
      <c r="D1029" s="66">
        <v>12.62</v>
      </c>
      <c r="E1029" s="66">
        <v>27.25</v>
      </c>
      <c r="F1029" s="66">
        <v>6.83</v>
      </c>
      <c r="G1029" s="65">
        <v>117.09999999999997</v>
      </c>
      <c r="H1029" s="54">
        <v>9.2000000000000028</v>
      </c>
      <c r="I1029" s="35"/>
    </row>
    <row r="1030" spans="1:9" x14ac:dyDescent="0.2">
      <c r="A1030" s="43" t="s">
        <v>81</v>
      </c>
      <c r="B1030" s="66">
        <v>52.89999999999997</v>
      </c>
      <c r="C1030" s="66">
        <v>14.63</v>
      </c>
      <c r="D1030" s="66">
        <v>12.62</v>
      </c>
      <c r="E1030" s="66">
        <v>27.25</v>
      </c>
      <c r="F1030" s="66">
        <v>6.83</v>
      </c>
      <c r="G1030" s="65">
        <v>114.22999999999998</v>
      </c>
      <c r="H1030" s="54">
        <v>9.2000000000000028</v>
      </c>
      <c r="I1030" s="35"/>
    </row>
    <row r="1031" spans="1:9" x14ac:dyDescent="0.2">
      <c r="A1031" s="43" t="s">
        <v>82</v>
      </c>
      <c r="B1031" s="66">
        <v>49.669999999999966</v>
      </c>
      <c r="C1031" s="66">
        <v>13.55</v>
      </c>
      <c r="D1031" s="66">
        <v>12.62</v>
      </c>
      <c r="E1031" s="66">
        <v>27.25</v>
      </c>
      <c r="F1031" s="66">
        <v>6.83</v>
      </c>
      <c r="G1031" s="65">
        <v>109.91999999999997</v>
      </c>
      <c r="H1031" s="54">
        <v>9.2000000000000028</v>
      </c>
      <c r="I1031" s="35"/>
    </row>
    <row r="1032" spans="1:9" x14ac:dyDescent="0.2">
      <c r="A1032" s="43" t="s">
        <v>83</v>
      </c>
      <c r="B1032" s="66">
        <v>47.679999999999964</v>
      </c>
      <c r="C1032" s="66">
        <v>12.88</v>
      </c>
      <c r="D1032" s="66">
        <v>12.62</v>
      </c>
      <c r="E1032" s="66">
        <v>27.25</v>
      </c>
      <c r="F1032" s="66">
        <v>6.83</v>
      </c>
      <c r="G1032" s="65">
        <v>107.25999999999996</v>
      </c>
      <c r="H1032" s="54">
        <v>9.2000000000000028</v>
      </c>
      <c r="I1032" s="35"/>
    </row>
    <row r="1033" spans="1:9" x14ac:dyDescent="0.2">
      <c r="A1033" s="43" t="s">
        <v>84</v>
      </c>
      <c r="B1033" s="66">
        <v>44.119999999999969</v>
      </c>
      <c r="C1033" s="66">
        <v>11.69</v>
      </c>
      <c r="D1033" s="66">
        <v>12.62</v>
      </c>
      <c r="E1033" s="66">
        <v>27.25</v>
      </c>
      <c r="F1033" s="66">
        <v>6.83</v>
      </c>
      <c r="G1033" s="65">
        <v>102.50999999999996</v>
      </c>
      <c r="H1033" s="54">
        <v>9.2000000000000028</v>
      </c>
      <c r="I1033" s="35"/>
    </row>
    <row r="1034" spans="1:9" x14ac:dyDescent="0.2">
      <c r="A1034" s="43" t="s">
        <v>85</v>
      </c>
      <c r="B1034" s="66">
        <v>39.769999999999968</v>
      </c>
      <c r="C1034" s="66">
        <v>10.23</v>
      </c>
      <c r="D1034" s="66">
        <v>12.62</v>
      </c>
      <c r="E1034" s="66">
        <v>27.25</v>
      </c>
      <c r="F1034" s="66">
        <v>6.83</v>
      </c>
      <c r="G1034" s="65">
        <v>96.699999999999974</v>
      </c>
      <c r="H1034" s="54">
        <v>9.2000000000000028</v>
      </c>
      <c r="I1034" s="35"/>
    </row>
    <row r="1035" spans="1:9" x14ac:dyDescent="0.2">
      <c r="A1035" s="43" t="s">
        <v>86</v>
      </c>
      <c r="B1035" s="66">
        <v>36.059999999999967</v>
      </c>
      <c r="C1035" s="66">
        <v>9</v>
      </c>
      <c r="D1035" s="66">
        <v>12.62</v>
      </c>
      <c r="E1035" s="66">
        <v>27.25</v>
      </c>
      <c r="F1035" s="66">
        <v>6.83</v>
      </c>
      <c r="G1035" s="65">
        <v>91.759999999999962</v>
      </c>
      <c r="H1035" s="54">
        <v>9.2000000000000028</v>
      </c>
      <c r="I1035" s="35"/>
    </row>
    <row r="1036" spans="1:9" x14ac:dyDescent="0.2">
      <c r="A1036" s="45" t="s">
        <v>87</v>
      </c>
      <c r="B1036" s="66">
        <v>36.059999999999967</v>
      </c>
      <c r="C1036" s="66">
        <v>9</v>
      </c>
      <c r="D1036" s="66">
        <v>12.62</v>
      </c>
      <c r="E1036" s="66">
        <v>27.25</v>
      </c>
      <c r="F1036" s="66">
        <v>6.83</v>
      </c>
      <c r="G1036" s="65">
        <v>91.759999999999962</v>
      </c>
      <c r="H1036" s="54">
        <v>9.2000000000000028</v>
      </c>
      <c r="I1036" s="35"/>
    </row>
    <row r="1037" spans="1:9" x14ac:dyDescent="0.2">
      <c r="A1037" s="45" t="s">
        <v>88</v>
      </c>
      <c r="B1037" s="66">
        <v>36.059999999999967</v>
      </c>
      <c r="C1037" s="66">
        <v>9</v>
      </c>
      <c r="D1037" s="66">
        <v>12.62</v>
      </c>
      <c r="E1037" s="66">
        <v>27.25</v>
      </c>
      <c r="F1037" s="66">
        <v>6.83</v>
      </c>
      <c r="G1037" s="65">
        <v>91.759999999999962</v>
      </c>
      <c r="H1037" s="54">
        <v>9.2000000000000028</v>
      </c>
      <c r="I1037" s="35"/>
    </row>
    <row r="1038" spans="1:9" x14ac:dyDescent="0.2">
      <c r="A1038" s="55"/>
      <c r="B1038" s="56"/>
      <c r="C1038" s="33"/>
      <c r="D1038" s="33"/>
      <c r="E1038" s="33"/>
      <c r="F1038" s="33"/>
      <c r="G1038" s="57"/>
      <c r="H1038" s="54"/>
      <c r="I1038" s="33"/>
    </row>
    <row r="1039" spans="1:9" x14ac:dyDescent="0.2">
      <c r="A1039" s="58" t="s">
        <v>119</v>
      </c>
      <c r="B1039" s="64">
        <v>96.81</v>
      </c>
      <c r="C1039" s="64">
        <v>31.81</v>
      </c>
      <c r="D1039" s="49"/>
      <c r="E1039" s="49"/>
      <c r="F1039" s="49"/>
      <c r="G1039" s="50">
        <v>128.62</v>
      </c>
      <c r="H1039" s="54">
        <v>0</v>
      </c>
      <c r="I1039" s="33"/>
    </row>
    <row r="1040" spans="1:9" x14ac:dyDescent="0.2">
      <c r="A1040" s="51" t="s">
        <v>120</v>
      </c>
      <c r="B1040" s="64">
        <v>38.72</v>
      </c>
      <c r="C1040" s="64">
        <v>12.73</v>
      </c>
      <c r="D1040" s="49"/>
      <c r="E1040" s="49"/>
      <c r="F1040" s="49"/>
      <c r="G1040" s="50">
        <v>51.45</v>
      </c>
      <c r="H1040" s="54">
        <v>0</v>
      </c>
      <c r="I1040" s="33"/>
    </row>
    <row r="1041" spans="1:9" x14ac:dyDescent="0.2">
      <c r="A1041" s="59" t="s">
        <v>121</v>
      </c>
      <c r="B1041" s="64">
        <v>58.09</v>
      </c>
      <c r="C1041" s="64">
        <v>19.079999999999998</v>
      </c>
      <c r="D1041" s="49"/>
      <c r="E1041" s="49"/>
      <c r="F1041" s="49"/>
      <c r="G1041" s="50">
        <v>77.17</v>
      </c>
      <c r="H1041" s="54">
        <v>0</v>
      </c>
      <c r="I1041" s="33"/>
    </row>
    <row r="1043" spans="1:9" ht="15.75" x14ac:dyDescent="0.25">
      <c r="A1043" s="41" t="s">
        <v>168</v>
      </c>
      <c r="B1043" s="42"/>
      <c r="C1043" s="42"/>
      <c r="D1043" s="42"/>
      <c r="E1043" s="42"/>
      <c r="F1043" s="42"/>
      <c r="G1043" s="42"/>
      <c r="H1043" s="52"/>
      <c r="I1043" s="33"/>
    </row>
    <row r="1044" spans="1:9" ht="76.5" x14ac:dyDescent="0.2">
      <c r="A1044" s="37" t="s">
        <v>92</v>
      </c>
      <c r="B1044" s="61" t="s">
        <v>114</v>
      </c>
      <c r="C1044" s="61" t="s">
        <v>115</v>
      </c>
      <c r="D1044" s="62" t="s">
        <v>116</v>
      </c>
      <c r="E1044" s="61" t="s">
        <v>117</v>
      </c>
      <c r="F1044" s="61" t="s">
        <v>118</v>
      </c>
      <c r="G1044" s="62" t="s">
        <v>15</v>
      </c>
      <c r="H1044" s="53" t="s">
        <v>169</v>
      </c>
      <c r="I1044" s="33"/>
    </row>
    <row r="1045" spans="1:9" x14ac:dyDescent="0.2">
      <c r="A1045" s="43" t="s">
        <v>54</v>
      </c>
      <c r="B1045" s="66">
        <v>119.47000000000014</v>
      </c>
      <c r="C1045" s="66">
        <v>36.79</v>
      </c>
      <c r="D1045" s="66">
        <v>12.62</v>
      </c>
      <c r="E1045" s="66">
        <v>27.25</v>
      </c>
      <c r="F1045" s="66">
        <v>6.83</v>
      </c>
      <c r="G1045" s="65">
        <v>202.96000000000015</v>
      </c>
      <c r="H1045" s="54">
        <v>9.6000000000000032</v>
      </c>
      <c r="I1045" s="35"/>
    </row>
    <row r="1046" spans="1:9" x14ac:dyDescent="0.2">
      <c r="A1046" s="43" t="s">
        <v>55</v>
      </c>
      <c r="B1046" s="66">
        <v>102.57000000000014</v>
      </c>
      <c r="C1046" s="66">
        <v>31.12</v>
      </c>
      <c r="D1046" s="66">
        <v>12.62</v>
      </c>
      <c r="E1046" s="66">
        <v>27.25</v>
      </c>
      <c r="F1046" s="66">
        <v>6.83</v>
      </c>
      <c r="G1046" s="65">
        <v>180.39000000000016</v>
      </c>
      <c r="H1046" s="54">
        <v>9.6000000000000032</v>
      </c>
      <c r="I1046" s="35"/>
    </row>
    <row r="1047" spans="1:9" x14ac:dyDescent="0.2">
      <c r="A1047" s="43" t="s">
        <v>56</v>
      </c>
      <c r="B1047" s="66">
        <v>94.780000000000143</v>
      </c>
      <c r="C1047" s="66">
        <v>28.52</v>
      </c>
      <c r="D1047" s="66">
        <v>12.62</v>
      </c>
      <c r="E1047" s="66">
        <v>27.25</v>
      </c>
      <c r="F1047" s="66">
        <v>6.83</v>
      </c>
      <c r="G1047" s="65">
        <v>170.00000000000014</v>
      </c>
      <c r="H1047" s="54">
        <v>9.6000000000000032</v>
      </c>
      <c r="I1047" s="35"/>
    </row>
    <row r="1048" spans="1:9" x14ac:dyDescent="0.2">
      <c r="A1048" s="43" t="s">
        <v>57</v>
      </c>
      <c r="B1048" s="66">
        <v>80.300000000000139</v>
      </c>
      <c r="C1048" s="66">
        <v>23.67</v>
      </c>
      <c r="D1048" s="66">
        <v>12.62</v>
      </c>
      <c r="E1048" s="66">
        <v>27.25</v>
      </c>
      <c r="F1048" s="66">
        <v>6.83</v>
      </c>
      <c r="G1048" s="65">
        <v>150.67000000000016</v>
      </c>
      <c r="H1048" s="54">
        <v>9.6000000000000032</v>
      </c>
      <c r="I1048" s="35"/>
    </row>
    <row r="1049" spans="1:9" x14ac:dyDescent="0.2">
      <c r="A1049" s="43" t="s">
        <v>58</v>
      </c>
      <c r="B1049" s="66">
        <v>147.62000000000015</v>
      </c>
      <c r="C1049" s="66">
        <v>46.21</v>
      </c>
      <c r="D1049" s="66">
        <v>12.62</v>
      </c>
      <c r="E1049" s="66">
        <v>27.25</v>
      </c>
      <c r="F1049" s="66">
        <v>6.83</v>
      </c>
      <c r="G1049" s="65">
        <v>240.53000000000017</v>
      </c>
      <c r="H1049" s="54">
        <v>9.6000000000000032</v>
      </c>
      <c r="I1049" s="35"/>
    </row>
    <row r="1050" spans="1:9" x14ac:dyDescent="0.2">
      <c r="A1050" s="43" t="s">
        <v>59</v>
      </c>
      <c r="B1050" s="66">
        <v>121.50000000000014</v>
      </c>
      <c r="C1050" s="66">
        <v>37.47</v>
      </c>
      <c r="D1050" s="66">
        <v>12.62</v>
      </c>
      <c r="E1050" s="66">
        <v>27.25</v>
      </c>
      <c r="F1050" s="66">
        <v>6.83</v>
      </c>
      <c r="G1050" s="65">
        <v>205.67000000000016</v>
      </c>
      <c r="H1050" s="54">
        <v>9.6000000000000032</v>
      </c>
      <c r="I1050" s="35"/>
    </row>
    <row r="1051" spans="1:9" x14ac:dyDescent="0.2">
      <c r="A1051" s="43" t="s">
        <v>60</v>
      </c>
      <c r="B1051" s="66">
        <v>102.16000000000014</v>
      </c>
      <c r="C1051" s="66">
        <v>30.99</v>
      </c>
      <c r="D1051" s="66">
        <v>12.62</v>
      </c>
      <c r="E1051" s="66">
        <v>27.25</v>
      </c>
      <c r="F1051" s="66">
        <v>6.83</v>
      </c>
      <c r="G1051" s="65">
        <v>179.85000000000016</v>
      </c>
      <c r="H1051" s="54">
        <v>9.6000000000000032</v>
      </c>
      <c r="I1051" s="35"/>
    </row>
    <row r="1052" spans="1:9" x14ac:dyDescent="0.2">
      <c r="A1052" s="43" t="s">
        <v>61</v>
      </c>
      <c r="B1052" s="66">
        <v>99.180000000000135</v>
      </c>
      <c r="C1052" s="66">
        <v>29.99</v>
      </c>
      <c r="D1052" s="66">
        <v>12.62</v>
      </c>
      <c r="E1052" s="66">
        <v>27.25</v>
      </c>
      <c r="F1052" s="66">
        <v>6.83</v>
      </c>
      <c r="G1052" s="65">
        <v>175.87000000000015</v>
      </c>
      <c r="H1052" s="54">
        <v>9.6000000000000032</v>
      </c>
      <c r="I1052" s="35"/>
    </row>
    <row r="1053" spans="1:9" x14ac:dyDescent="0.2">
      <c r="A1053" s="43" t="s">
        <v>62</v>
      </c>
      <c r="B1053" s="66">
        <v>92.380000000000138</v>
      </c>
      <c r="C1053" s="66">
        <v>27.71</v>
      </c>
      <c r="D1053" s="66">
        <v>12.62</v>
      </c>
      <c r="E1053" s="66">
        <v>27.25</v>
      </c>
      <c r="F1053" s="66">
        <v>6.83</v>
      </c>
      <c r="G1053" s="65">
        <v>166.79000000000016</v>
      </c>
      <c r="H1053" s="54">
        <v>9.6000000000000032</v>
      </c>
      <c r="I1053" s="35"/>
    </row>
    <row r="1054" spans="1:9" x14ac:dyDescent="0.2">
      <c r="A1054" s="43" t="s">
        <v>63</v>
      </c>
      <c r="B1054" s="66">
        <v>92.110000000000142</v>
      </c>
      <c r="C1054" s="66">
        <v>27.62</v>
      </c>
      <c r="D1054" s="66">
        <v>12.62</v>
      </c>
      <c r="E1054" s="66">
        <v>27.25</v>
      </c>
      <c r="F1054" s="66">
        <v>6.83</v>
      </c>
      <c r="G1054" s="65">
        <v>166.43000000000015</v>
      </c>
      <c r="H1054" s="54">
        <v>9.6000000000000032</v>
      </c>
      <c r="I1054" s="35"/>
    </row>
    <row r="1055" spans="1:9" x14ac:dyDescent="0.2">
      <c r="A1055" s="43" t="s">
        <v>64</v>
      </c>
      <c r="B1055" s="66">
        <v>76.360000000000142</v>
      </c>
      <c r="C1055" s="66">
        <v>22.36</v>
      </c>
      <c r="D1055" s="66">
        <v>12.62</v>
      </c>
      <c r="E1055" s="66">
        <v>27.25</v>
      </c>
      <c r="F1055" s="66">
        <v>6.83</v>
      </c>
      <c r="G1055" s="65">
        <v>145.42000000000016</v>
      </c>
      <c r="H1055" s="54">
        <v>9.6000000000000032</v>
      </c>
      <c r="I1055" s="35"/>
    </row>
    <row r="1056" spans="1:9" x14ac:dyDescent="0.2">
      <c r="A1056" s="43" t="s">
        <v>65</v>
      </c>
      <c r="B1056" s="66">
        <v>71.000000000000085</v>
      </c>
      <c r="C1056" s="66">
        <v>20.55</v>
      </c>
      <c r="D1056" s="66">
        <v>12.62</v>
      </c>
      <c r="E1056" s="66">
        <v>27.25</v>
      </c>
      <c r="F1056" s="66">
        <v>6.83</v>
      </c>
      <c r="G1056" s="65">
        <v>138.25000000000009</v>
      </c>
      <c r="H1056" s="54">
        <v>9.6000000000000032</v>
      </c>
      <c r="I1056" s="35"/>
    </row>
    <row r="1057" spans="1:9" x14ac:dyDescent="0.2">
      <c r="A1057" s="43" t="s">
        <v>66</v>
      </c>
      <c r="B1057" s="66">
        <v>67.950000000000031</v>
      </c>
      <c r="C1057" s="66">
        <v>19.54</v>
      </c>
      <c r="D1057" s="66">
        <v>12.62</v>
      </c>
      <c r="E1057" s="66">
        <v>27.25</v>
      </c>
      <c r="F1057" s="66">
        <v>6.83</v>
      </c>
      <c r="G1057" s="65">
        <v>134.19000000000005</v>
      </c>
      <c r="H1057" s="54">
        <v>9.6000000000000032</v>
      </c>
      <c r="I1057" s="35"/>
    </row>
    <row r="1058" spans="1:9" x14ac:dyDescent="0.2">
      <c r="A1058" s="43" t="s">
        <v>67</v>
      </c>
      <c r="B1058" s="66">
        <v>63.729999999999968</v>
      </c>
      <c r="C1058" s="66">
        <v>18.13</v>
      </c>
      <c r="D1058" s="66">
        <v>12.62</v>
      </c>
      <c r="E1058" s="66">
        <v>27.25</v>
      </c>
      <c r="F1058" s="66">
        <v>6.83</v>
      </c>
      <c r="G1058" s="65">
        <v>128.55999999999997</v>
      </c>
      <c r="H1058" s="54">
        <v>9.6000000000000032</v>
      </c>
      <c r="I1058" s="35"/>
    </row>
    <row r="1059" spans="1:9" x14ac:dyDescent="0.2">
      <c r="A1059" s="43" t="s">
        <v>68</v>
      </c>
      <c r="B1059" s="66">
        <v>59.219999999999963</v>
      </c>
      <c r="C1059" s="66">
        <v>16.62</v>
      </c>
      <c r="D1059" s="66">
        <v>12.62</v>
      </c>
      <c r="E1059" s="66">
        <v>27.25</v>
      </c>
      <c r="F1059" s="66">
        <v>6.83</v>
      </c>
      <c r="G1059" s="65">
        <v>122.53999999999996</v>
      </c>
      <c r="H1059" s="54">
        <v>9.6000000000000032</v>
      </c>
      <c r="I1059" s="35"/>
    </row>
    <row r="1060" spans="1:9" x14ac:dyDescent="0.2">
      <c r="A1060" s="43" t="s">
        <v>69</v>
      </c>
      <c r="B1060" s="66">
        <v>54.149999999999963</v>
      </c>
      <c r="C1060" s="66">
        <v>14.91</v>
      </c>
      <c r="D1060" s="66">
        <v>12.62</v>
      </c>
      <c r="E1060" s="66">
        <v>27.25</v>
      </c>
      <c r="F1060" s="66">
        <v>6.83</v>
      </c>
      <c r="G1060" s="65">
        <v>115.75999999999996</v>
      </c>
      <c r="H1060" s="54">
        <v>9.6000000000000032</v>
      </c>
      <c r="I1060" s="35"/>
    </row>
    <row r="1061" spans="1:9" x14ac:dyDescent="0.2">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
      <c r="A1062" s="43" t="s">
        <v>71</v>
      </c>
      <c r="B1062" s="66">
        <v>53.619999999999969</v>
      </c>
      <c r="C1062" s="66">
        <v>14.73</v>
      </c>
      <c r="D1062" s="66">
        <v>12.62</v>
      </c>
      <c r="E1062" s="66">
        <v>27.25</v>
      </c>
      <c r="F1062" s="66">
        <v>6.83</v>
      </c>
      <c r="G1062" s="65">
        <v>115.04999999999997</v>
      </c>
      <c r="H1062" s="54">
        <v>9.6000000000000032</v>
      </c>
      <c r="I1062" s="35"/>
    </row>
    <row r="1063" spans="1:9" x14ac:dyDescent="0.2">
      <c r="A1063" s="43" t="s">
        <v>72</v>
      </c>
      <c r="B1063" s="66">
        <v>46.759999999999962</v>
      </c>
      <c r="C1063" s="66">
        <v>12.44</v>
      </c>
      <c r="D1063" s="66">
        <v>12.62</v>
      </c>
      <c r="E1063" s="66">
        <v>27.25</v>
      </c>
      <c r="F1063" s="66">
        <v>6.83</v>
      </c>
      <c r="G1063" s="65">
        <v>105.89999999999996</v>
      </c>
      <c r="H1063" s="54">
        <v>9.6000000000000032</v>
      </c>
      <c r="I1063" s="35"/>
    </row>
    <row r="1064" spans="1:9" x14ac:dyDescent="0.2">
      <c r="A1064" s="43" t="s">
        <v>73</v>
      </c>
      <c r="B1064" s="66">
        <v>43.029999999999966</v>
      </c>
      <c r="C1064" s="66">
        <v>11.19</v>
      </c>
      <c r="D1064" s="66">
        <v>12.62</v>
      </c>
      <c r="E1064" s="66">
        <v>27.25</v>
      </c>
      <c r="F1064" s="66">
        <v>6.83</v>
      </c>
      <c r="G1064" s="65">
        <v>100.91999999999996</v>
      </c>
      <c r="H1064" s="54">
        <v>9.6000000000000032</v>
      </c>
      <c r="I1064" s="35"/>
    </row>
    <row r="1065" spans="1:9" x14ac:dyDescent="0.2">
      <c r="A1065" s="43" t="s">
        <v>74</v>
      </c>
      <c r="B1065" s="66">
        <v>57.819999999999965</v>
      </c>
      <c r="C1065" s="66">
        <v>16.14</v>
      </c>
      <c r="D1065" s="66">
        <v>12.62</v>
      </c>
      <c r="E1065" s="66">
        <v>27.25</v>
      </c>
      <c r="F1065" s="66">
        <v>6.83</v>
      </c>
      <c r="G1065" s="65">
        <v>120.65999999999997</v>
      </c>
      <c r="H1065" s="54">
        <v>9.6000000000000032</v>
      </c>
      <c r="I1065" s="35"/>
    </row>
    <row r="1066" spans="1:9" x14ac:dyDescent="0.2">
      <c r="A1066" s="43" t="s">
        <v>75</v>
      </c>
      <c r="B1066" s="66">
        <v>49.909999999999968</v>
      </c>
      <c r="C1066" s="66">
        <v>13.5</v>
      </c>
      <c r="D1066" s="66">
        <v>12.62</v>
      </c>
      <c r="E1066" s="66">
        <v>27.25</v>
      </c>
      <c r="F1066" s="66">
        <v>6.83</v>
      </c>
      <c r="G1066" s="65">
        <v>110.10999999999997</v>
      </c>
      <c r="H1066" s="54">
        <v>9.6000000000000032</v>
      </c>
      <c r="I1066" s="35"/>
    </row>
    <row r="1067" spans="1:9" x14ac:dyDescent="0.2">
      <c r="A1067" s="43" t="s">
        <v>76</v>
      </c>
      <c r="B1067" s="66">
        <v>45.409999999999968</v>
      </c>
      <c r="C1067" s="66">
        <v>11.99</v>
      </c>
      <c r="D1067" s="66">
        <v>12.62</v>
      </c>
      <c r="E1067" s="66">
        <v>27.25</v>
      </c>
      <c r="F1067" s="66">
        <v>6.83</v>
      </c>
      <c r="G1067" s="65">
        <v>104.09999999999997</v>
      </c>
      <c r="H1067" s="54">
        <v>9.6000000000000032</v>
      </c>
      <c r="I1067" s="35"/>
    </row>
    <row r="1068" spans="1:9" x14ac:dyDescent="0.2">
      <c r="A1068" s="43" t="s">
        <v>77</v>
      </c>
      <c r="B1068" s="66">
        <v>38.669999999999966</v>
      </c>
      <c r="C1068" s="66">
        <v>9.74</v>
      </c>
      <c r="D1068" s="66">
        <v>12.62</v>
      </c>
      <c r="E1068" s="66">
        <v>27.25</v>
      </c>
      <c r="F1068" s="66">
        <v>6.83</v>
      </c>
      <c r="G1068" s="65">
        <v>95.109999999999971</v>
      </c>
      <c r="H1068" s="54">
        <v>9.6000000000000032</v>
      </c>
      <c r="I1068" s="35"/>
    </row>
    <row r="1069" spans="1:9" x14ac:dyDescent="0.2">
      <c r="A1069" s="43" t="s">
        <v>78</v>
      </c>
      <c r="B1069" s="66">
        <v>64.21999999999997</v>
      </c>
      <c r="C1069" s="66">
        <v>18.29</v>
      </c>
      <c r="D1069" s="66">
        <v>12.62</v>
      </c>
      <c r="E1069" s="66">
        <v>27.25</v>
      </c>
      <c r="F1069" s="66">
        <v>6.83</v>
      </c>
      <c r="G1069" s="65">
        <v>129.20999999999998</v>
      </c>
      <c r="H1069" s="54">
        <v>9.6000000000000032</v>
      </c>
      <c r="I1069" s="35"/>
    </row>
    <row r="1070" spans="1:9" x14ac:dyDescent="0.2">
      <c r="A1070" s="43" t="s">
        <v>79</v>
      </c>
      <c r="B1070" s="66">
        <v>59.319999999999965</v>
      </c>
      <c r="C1070" s="66">
        <v>16.64</v>
      </c>
      <c r="D1070" s="66">
        <v>12.62</v>
      </c>
      <c r="E1070" s="66">
        <v>27.25</v>
      </c>
      <c r="F1070" s="66">
        <v>6.83</v>
      </c>
      <c r="G1070" s="65">
        <v>122.65999999999997</v>
      </c>
      <c r="H1070" s="54">
        <v>9.6000000000000032</v>
      </c>
      <c r="I1070" s="35"/>
    </row>
    <row r="1071" spans="1:9" x14ac:dyDescent="0.2">
      <c r="A1071" s="43" t="s">
        <v>80</v>
      </c>
      <c r="B1071" s="66">
        <v>60.509999999999962</v>
      </c>
      <c r="C1071" s="66">
        <v>17.04</v>
      </c>
      <c r="D1071" s="66">
        <v>12.62</v>
      </c>
      <c r="E1071" s="66">
        <v>27.25</v>
      </c>
      <c r="F1071" s="66">
        <v>6.83</v>
      </c>
      <c r="G1071" s="65">
        <v>124.24999999999996</v>
      </c>
      <c r="H1071" s="54">
        <v>9.6000000000000032</v>
      </c>
      <c r="I1071" s="35"/>
    </row>
    <row r="1072" spans="1:9" x14ac:dyDescent="0.2">
      <c r="A1072" s="43" t="s">
        <v>53</v>
      </c>
      <c r="B1072" s="66">
        <v>55.449999999999967</v>
      </c>
      <c r="C1072" s="66">
        <v>15.35</v>
      </c>
      <c r="D1072" s="66">
        <v>12.62</v>
      </c>
      <c r="E1072" s="66">
        <v>27.25</v>
      </c>
      <c r="F1072" s="66">
        <v>6.83</v>
      </c>
      <c r="G1072" s="65">
        <v>117.49999999999997</v>
      </c>
      <c r="H1072" s="54">
        <v>9.6000000000000032</v>
      </c>
      <c r="I1072" s="35"/>
    </row>
    <row r="1073" spans="1:9" x14ac:dyDescent="0.2">
      <c r="A1073" s="43" t="s">
        <v>81</v>
      </c>
      <c r="B1073" s="66">
        <v>53.299999999999969</v>
      </c>
      <c r="C1073" s="66">
        <v>14.63</v>
      </c>
      <c r="D1073" s="66">
        <v>12.62</v>
      </c>
      <c r="E1073" s="66">
        <v>27.25</v>
      </c>
      <c r="F1073" s="66">
        <v>6.83</v>
      </c>
      <c r="G1073" s="65">
        <v>114.62999999999997</v>
      </c>
      <c r="H1073" s="54">
        <v>9.6000000000000032</v>
      </c>
      <c r="I1073" s="35"/>
    </row>
    <row r="1074" spans="1:9" x14ac:dyDescent="0.2">
      <c r="A1074" s="43" t="s">
        <v>82</v>
      </c>
      <c r="B1074" s="66">
        <v>50.069999999999965</v>
      </c>
      <c r="C1074" s="66">
        <v>13.55</v>
      </c>
      <c r="D1074" s="66">
        <v>12.62</v>
      </c>
      <c r="E1074" s="66">
        <v>27.25</v>
      </c>
      <c r="F1074" s="66">
        <v>6.83</v>
      </c>
      <c r="G1074" s="65">
        <v>110.31999999999996</v>
      </c>
      <c r="H1074" s="54">
        <v>9.6000000000000032</v>
      </c>
      <c r="I1074" s="35"/>
    </row>
    <row r="1075" spans="1:9" x14ac:dyDescent="0.2">
      <c r="A1075" s="43" t="s">
        <v>83</v>
      </c>
      <c r="B1075" s="66">
        <v>48.079999999999963</v>
      </c>
      <c r="C1075" s="66">
        <v>12.88</v>
      </c>
      <c r="D1075" s="66">
        <v>12.62</v>
      </c>
      <c r="E1075" s="66">
        <v>27.25</v>
      </c>
      <c r="F1075" s="66">
        <v>6.83</v>
      </c>
      <c r="G1075" s="65">
        <v>107.65999999999997</v>
      </c>
      <c r="H1075" s="54">
        <v>9.6000000000000032</v>
      </c>
      <c r="I1075" s="35"/>
    </row>
    <row r="1076" spans="1:9" x14ac:dyDescent="0.2">
      <c r="A1076" s="43" t="s">
        <v>84</v>
      </c>
      <c r="B1076" s="66">
        <v>44.519999999999968</v>
      </c>
      <c r="C1076" s="66">
        <v>11.69</v>
      </c>
      <c r="D1076" s="66">
        <v>12.62</v>
      </c>
      <c r="E1076" s="66">
        <v>27.25</v>
      </c>
      <c r="F1076" s="66">
        <v>6.83</v>
      </c>
      <c r="G1076" s="65">
        <v>102.90999999999997</v>
      </c>
      <c r="H1076" s="54">
        <v>9.6000000000000032</v>
      </c>
      <c r="I1076" s="35"/>
    </row>
    <row r="1077" spans="1:9" x14ac:dyDescent="0.2">
      <c r="A1077" s="43" t="s">
        <v>85</v>
      </c>
      <c r="B1077" s="66">
        <v>40.169999999999966</v>
      </c>
      <c r="C1077" s="66">
        <v>10.23</v>
      </c>
      <c r="D1077" s="66">
        <v>12.62</v>
      </c>
      <c r="E1077" s="66">
        <v>27.25</v>
      </c>
      <c r="F1077" s="66">
        <v>6.83</v>
      </c>
      <c r="G1077" s="65">
        <v>97.099999999999952</v>
      </c>
      <c r="H1077" s="54">
        <v>9.6000000000000032</v>
      </c>
      <c r="I1077" s="35"/>
    </row>
    <row r="1078" spans="1:9" x14ac:dyDescent="0.2">
      <c r="A1078" s="43" t="s">
        <v>86</v>
      </c>
      <c r="B1078" s="66">
        <v>36.459999999999965</v>
      </c>
      <c r="C1078" s="66">
        <v>9</v>
      </c>
      <c r="D1078" s="66">
        <v>12.62</v>
      </c>
      <c r="E1078" s="66">
        <v>27.25</v>
      </c>
      <c r="F1078" s="66">
        <v>6.83</v>
      </c>
      <c r="G1078" s="65">
        <v>92.159999999999954</v>
      </c>
      <c r="H1078" s="54">
        <v>9.6000000000000032</v>
      </c>
      <c r="I1078" s="35"/>
    </row>
    <row r="1079" spans="1:9" x14ac:dyDescent="0.2">
      <c r="A1079" s="45" t="s">
        <v>87</v>
      </c>
      <c r="B1079" s="66">
        <v>36.459999999999965</v>
      </c>
      <c r="C1079" s="66">
        <v>9</v>
      </c>
      <c r="D1079" s="66">
        <v>12.62</v>
      </c>
      <c r="E1079" s="66">
        <v>27.25</v>
      </c>
      <c r="F1079" s="66">
        <v>6.83</v>
      </c>
      <c r="G1079" s="65">
        <v>92.159999999999954</v>
      </c>
      <c r="H1079" s="54">
        <v>9.6000000000000032</v>
      </c>
      <c r="I1079" s="35"/>
    </row>
    <row r="1080" spans="1:9" x14ac:dyDescent="0.2">
      <c r="A1080" s="45" t="s">
        <v>88</v>
      </c>
      <c r="B1080" s="66">
        <v>36.459999999999965</v>
      </c>
      <c r="C1080" s="66">
        <v>9</v>
      </c>
      <c r="D1080" s="66">
        <v>12.62</v>
      </c>
      <c r="E1080" s="66">
        <v>27.25</v>
      </c>
      <c r="F1080" s="66">
        <v>6.83</v>
      </c>
      <c r="G1080" s="65">
        <v>92.159999999999954</v>
      </c>
      <c r="H1080" s="54">
        <v>9.6000000000000032</v>
      </c>
      <c r="I1080" s="35"/>
    </row>
    <row r="1081" spans="1:9" x14ac:dyDescent="0.2">
      <c r="A1081" s="55"/>
      <c r="B1081" s="56"/>
      <c r="C1081" s="33"/>
      <c r="D1081" s="33"/>
      <c r="E1081" s="33"/>
      <c r="F1081" s="33"/>
      <c r="G1081" s="57"/>
      <c r="H1081" s="54"/>
      <c r="I1081" s="33"/>
    </row>
    <row r="1082" spans="1:9" x14ac:dyDescent="0.2">
      <c r="A1082" s="58" t="s">
        <v>119</v>
      </c>
      <c r="B1082" s="64">
        <v>96.81</v>
      </c>
      <c r="C1082" s="64">
        <v>31.81</v>
      </c>
      <c r="D1082" s="49"/>
      <c r="E1082" s="49"/>
      <c r="F1082" s="49"/>
      <c r="G1082" s="50">
        <v>128.62</v>
      </c>
      <c r="H1082" s="54">
        <v>0</v>
      </c>
      <c r="I1082" s="33"/>
    </row>
    <row r="1083" spans="1:9" x14ac:dyDescent="0.2">
      <c r="A1083" s="51" t="s">
        <v>120</v>
      </c>
      <c r="B1083" s="64">
        <v>38.72</v>
      </c>
      <c r="C1083" s="64">
        <v>12.73</v>
      </c>
      <c r="D1083" s="49"/>
      <c r="E1083" s="49"/>
      <c r="F1083" s="49"/>
      <c r="G1083" s="50">
        <v>51.45</v>
      </c>
      <c r="H1083" s="54">
        <v>0</v>
      </c>
      <c r="I1083" s="33"/>
    </row>
    <row r="1084" spans="1:9" x14ac:dyDescent="0.2">
      <c r="A1084" s="59" t="s">
        <v>121</v>
      </c>
      <c r="B1084" s="64">
        <v>58.09</v>
      </c>
      <c r="C1084" s="64">
        <v>19.079999999999998</v>
      </c>
      <c r="D1084" s="49"/>
      <c r="E1084" s="49"/>
      <c r="F1084" s="49"/>
      <c r="G1084" s="50">
        <v>77.17</v>
      </c>
      <c r="H1084" s="54">
        <v>0</v>
      </c>
      <c r="I1084" s="33"/>
    </row>
    <row r="1086" spans="1:9" ht="15.75" x14ac:dyDescent="0.25">
      <c r="A1086" s="41" t="s">
        <v>170</v>
      </c>
      <c r="B1086" s="42"/>
      <c r="C1086" s="42"/>
      <c r="D1086" s="42"/>
      <c r="E1086" s="42"/>
      <c r="F1086" s="42"/>
      <c r="G1086" s="42"/>
      <c r="H1086" s="52"/>
      <c r="I1086" s="33"/>
    </row>
    <row r="1087" spans="1:9" ht="76.5" x14ac:dyDescent="0.2">
      <c r="A1087" s="37" t="s">
        <v>92</v>
      </c>
      <c r="B1087" s="61" t="s">
        <v>114</v>
      </c>
      <c r="C1087" s="61" t="s">
        <v>115</v>
      </c>
      <c r="D1087" s="62" t="s">
        <v>116</v>
      </c>
      <c r="E1087" s="61" t="s">
        <v>117</v>
      </c>
      <c r="F1087" s="61" t="s">
        <v>118</v>
      </c>
      <c r="G1087" s="62" t="s">
        <v>15</v>
      </c>
      <c r="H1087" s="53" t="s">
        <v>171</v>
      </c>
      <c r="I1087" s="33"/>
    </row>
    <row r="1088" spans="1:9" x14ac:dyDescent="0.2">
      <c r="A1088" s="43" t="s">
        <v>54</v>
      </c>
      <c r="B1088" s="66">
        <v>119.87000000000015</v>
      </c>
      <c r="C1088" s="66">
        <v>36.79</v>
      </c>
      <c r="D1088" s="66">
        <v>12.62</v>
      </c>
      <c r="E1088" s="66">
        <v>27.25</v>
      </c>
      <c r="F1088" s="66">
        <v>6.83</v>
      </c>
      <c r="G1088" s="65">
        <v>203.36000000000016</v>
      </c>
      <c r="H1088" s="54">
        <v>10.000000000000004</v>
      </c>
      <c r="I1088" s="35"/>
    </row>
    <row r="1089" spans="1:9" x14ac:dyDescent="0.2">
      <c r="A1089" s="43" t="s">
        <v>55</v>
      </c>
      <c r="B1089" s="66">
        <v>102.97000000000014</v>
      </c>
      <c r="C1089" s="66">
        <v>31.12</v>
      </c>
      <c r="D1089" s="66">
        <v>12.62</v>
      </c>
      <c r="E1089" s="66">
        <v>27.25</v>
      </c>
      <c r="F1089" s="66">
        <v>6.83</v>
      </c>
      <c r="G1089" s="65">
        <v>180.79000000000016</v>
      </c>
      <c r="H1089" s="54">
        <v>10.000000000000004</v>
      </c>
      <c r="I1089" s="35"/>
    </row>
    <row r="1090" spans="1:9" x14ac:dyDescent="0.2">
      <c r="A1090" s="43" t="s">
        <v>56</v>
      </c>
      <c r="B1090" s="66">
        <v>95.180000000000149</v>
      </c>
      <c r="C1090" s="66">
        <v>28.52</v>
      </c>
      <c r="D1090" s="66">
        <v>12.62</v>
      </c>
      <c r="E1090" s="66">
        <v>27.25</v>
      </c>
      <c r="F1090" s="66">
        <v>6.83</v>
      </c>
      <c r="G1090" s="65">
        <v>170.40000000000015</v>
      </c>
      <c r="H1090" s="54">
        <v>10.000000000000004</v>
      </c>
      <c r="I1090" s="35"/>
    </row>
    <row r="1091" spans="1:9" x14ac:dyDescent="0.2">
      <c r="A1091" s="43" t="s">
        <v>57</v>
      </c>
      <c r="B1091" s="66">
        <v>80.700000000000145</v>
      </c>
      <c r="C1091" s="66">
        <v>23.67</v>
      </c>
      <c r="D1091" s="66">
        <v>12.62</v>
      </c>
      <c r="E1091" s="66">
        <v>27.25</v>
      </c>
      <c r="F1091" s="66">
        <v>6.83</v>
      </c>
      <c r="G1091" s="65">
        <v>151.07000000000016</v>
      </c>
      <c r="H1091" s="54">
        <v>10.000000000000004</v>
      </c>
      <c r="I1091" s="35"/>
    </row>
    <row r="1092" spans="1:9" x14ac:dyDescent="0.2">
      <c r="A1092" s="43" t="s">
        <v>58</v>
      </c>
      <c r="B1092" s="66">
        <v>148.02000000000015</v>
      </c>
      <c r="C1092" s="66">
        <v>46.21</v>
      </c>
      <c r="D1092" s="66">
        <v>12.62</v>
      </c>
      <c r="E1092" s="66">
        <v>27.25</v>
      </c>
      <c r="F1092" s="66">
        <v>6.83</v>
      </c>
      <c r="G1092" s="65">
        <v>240.93000000000018</v>
      </c>
      <c r="H1092" s="54">
        <v>10.000000000000004</v>
      </c>
      <c r="I1092" s="35"/>
    </row>
    <row r="1093" spans="1:9" x14ac:dyDescent="0.2">
      <c r="A1093" s="43" t="s">
        <v>59</v>
      </c>
      <c r="B1093" s="66">
        <v>121.90000000000015</v>
      </c>
      <c r="C1093" s="66">
        <v>37.47</v>
      </c>
      <c r="D1093" s="66">
        <v>12.62</v>
      </c>
      <c r="E1093" s="66">
        <v>27.25</v>
      </c>
      <c r="F1093" s="66">
        <v>6.83</v>
      </c>
      <c r="G1093" s="65">
        <v>206.07000000000016</v>
      </c>
      <c r="H1093" s="54">
        <v>10.000000000000004</v>
      </c>
      <c r="I1093" s="35"/>
    </row>
    <row r="1094" spans="1:9" x14ac:dyDescent="0.2">
      <c r="A1094" s="43" t="s">
        <v>60</v>
      </c>
      <c r="B1094" s="66">
        <v>102.56000000000014</v>
      </c>
      <c r="C1094" s="66">
        <v>30.99</v>
      </c>
      <c r="D1094" s="66">
        <v>12.62</v>
      </c>
      <c r="E1094" s="66">
        <v>27.25</v>
      </c>
      <c r="F1094" s="66">
        <v>6.83</v>
      </c>
      <c r="G1094" s="65">
        <v>180.25000000000017</v>
      </c>
      <c r="H1094" s="54">
        <v>10.000000000000004</v>
      </c>
      <c r="I1094" s="35"/>
    </row>
    <row r="1095" spans="1:9" x14ac:dyDescent="0.2">
      <c r="A1095" s="43" t="s">
        <v>61</v>
      </c>
      <c r="B1095" s="66">
        <v>99.58000000000014</v>
      </c>
      <c r="C1095" s="66">
        <v>29.99</v>
      </c>
      <c r="D1095" s="66">
        <v>12.62</v>
      </c>
      <c r="E1095" s="66">
        <v>27.25</v>
      </c>
      <c r="F1095" s="66">
        <v>6.83</v>
      </c>
      <c r="G1095" s="65">
        <v>176.27000000000015</v>
      </c>
      <c r="H1095" s="54">
        <v>10.000000000000004</v>
      </c>
      <c r="I1095" s="35"/>
    </row>
    <row r="1096" spans="1:9" x14ac:dyDescent="0.2">
      <c r="A1096" s="43" t="s">
        <v>62</v>
      </c>
      <c r="B1096" s="66">
        <v>92.780000000000143</v>
      </c>
      <c r="C1096" s="66">
        <v>27.71</v>
      </c>
      <c r="D1096" s="66">
        <v>12.62</v>
      </c>
      <c r="E1096" s="66">
        <v>27.25</v>
      </c>
      <c r="F1096" s="66">
        <v>6.83</v>
      </c>
      <c r="G1096" s="65">
        <v>167.19000000000017</v>
      </c>
      <c r="H1096" s="54">
        <v>10.000000000000004</v>
      </c>
      <c r="I1096" s="35"/>
    </row>
    <row r="1097" spans="1:9" x14ac:dyDescent="0.2">
      <c r="A1097" s="43" t="s">
        <v>63</v>
      </c>
      <c r="B1097" s="66">
        <v>92.510000000000147</v>
      </c>
      <c r="C1097" s="66">
        <v>27.62</v>
      </c>
      <c r="D1097" s="66">
        <v>12.62</v>
      </c>
      <c r="E1097" s="66">
        <v>27.25</v>
      </c>
      <c r="F1097" s="66">
        <v>6.83</v>
      </c>
      <c r="G1097" s="65">
        <v>166.83000000000015</v>
      </c>
      <c r="H1097" s="54">
        <v>10.000000000000004</v>
      </c>
      <c r="I1097" s="35"/>
    </row>
    <row r="1098" spans="1:9" x14ac:dyDescent="0.2">
      <c r="A1098" s="43" t="s">
        <v>64</v>
      </c>
      <c r="B1098" s="66">
        <v>76.760000000000147</v>
      </c>
      <c r="C1098" s="66">
        <v>22.36</v>
      </c>
      <c r="D1098" s="66">
        <v>12.62</v>
      </c>
      <c r="E1098" s="66">
        <v>27.25</v>
      </c>
      <c r="F1098" s="66">
        <v>6.83</v>
      </c>
      <c r="G1098" s="65">
        <v>145.82000000000016</v>
      </c>
      <c r="H1098" s="54">
        <v>10.000000000000004</v>
      </c>
      <c r="I1098" s="35"/>
    </row>
    <row r="1099" spans="1:9" x14ac:dyDescent="0.2">
      <c r="A1099" s="43" t="s">
        <v>65</v>
      </c>
      <c r="B1099" s="66">
        <v>71.400000000000091</v>
      </c>
      <c r="C1099" s="66">
        <v>20.55</v>
      </c>
      <c r="D1099" s="66">
        <v>12.62</v>
      </c>
      <c r="E1099" s="66">
        <v>27.25</v>
      </c>
      <c r="F1099" s="66">
        <v>6.83</v>
      </c>
      <c r="G1099" s="65">
        <v>138.65000000000012</v>
      </c>
      <c r="H1099" s="54">
        <v>10.000000000000004</v>
      </c>
      <c r="I1099" s="35"/>
    </row>
    <row r="1100" spans="1:9" x14ac:dyDescent="0.2">
      <c r="A1100" s="43" t="s">
        <v>66</v>
      </c>
      <c r="B1100" s="66">
        <v>68.350000000000037</v>
      </c>
      <c r="C1100" s="66">
        <v>19.54</v>
      </c>
      <c r="D1100" s="66">
        <v>12.62</v>
      </c>
      <c r="E1100" s="66">
        <v>27.25</v>
      </c>
      <c r="F1100" s="66">
        <v>6.83</v>
      </c>
      <c r="G1100" s="65">
        <v>134.59000000000006</v>
      </c>
      <c r="H1100" s="54">
        <v>10.000000000000004</v>
      </c>
      <c r="I1100" s="35"/>
    </row>
    <row r="1101" spans="1:9" x14ac:dyDescent="0.2">
      <c r="A1101" s="43" t="s">
        <v>67</v>
      </c>
      <c r="B1101" s="66">
        <v>64.129999999999967</v>
      </c>
      <c r="C1101" s="66">
        <v>18.13</v>
      </c>
      <c r="D1101" s="66">
        <v>12.62</v>
      </c>
      <c r="E1101" s="66">
        <v>27.25</v>
      </c>
      <c r="F1101" s="66">
        <v>6.83</v>
      </c>
      <c r="G1101" s="65">
        <v>128.95999999999998</v>
      </c>
      <c r="H1101" s="54">
        <v>10.000000000000004</v>
      </c>
      <c r="I1101" s="35"/>
    </row>
    <row r="1102" spans="1:9" x14ac:dyDescent="0.2">
      <c r="A1102" s="43" t="s">
        <v>68</v>
      </c>
      <c r="B1102" s="66">
        <v>59.619999999999962</v>
      </c>
      <c r="C1102" s="66">
        <v>16.62</v>
      </c>
      <c r="D1102" s="66">
        <v>12.62</v>
      </c>
      <c r="E1102" s="66">
        <v>27.25</v>
      </c>
      <c r="F1102" s="66">
        <v>6.83</v>
      </c>
      <c r="G1102" s="65">
        <v>122.93999999999997</v>
      </c>
      <c r="H1102" s="54">
        <v>10.000000000000004</v>
      </c>
      <c r="I1102" s="35"/>
    </row>
    <row r="1103" spans="1:9" x14ac:dyDescent="0.2">
      <c r="A1103" s="43" t="s">
        <v>69</v>
      </c>
      <c r="B1103" s="66">
        <v>54.549999999999962</v>
      </c>
      <c r="C1103" s="66">
        <v>14.91</v>
      </c>
      <c r="D1103" s="66">
        <v>12.62</v>
      </c>
      <c r="E1103" s="66">
        <v>27.25</v>
      </c>
      <c r="F1103" s="66">
        <v>6.83</v>
      </c>
      <c r="G1103" s="65">
        <v>116.15999999999997</v>
      </c>
      <c r="H1103" s="54">
        <v>10.000000000000004</v>
      </c>
      <c r="I1103" s="35"/>
    </row>
    <row r="1104" spans="1:9" x14ac:dyDescent="0.2">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
      <c r="A1105" s="43" t="s">
        <v>71</v>
      </c>
      <c r="B1105" s="66">
        <v>54.019999999999968</v>
      </c>
      <c r="C1105" s="66">
        <v>14.73</v>
      </c>
      <c r="D1105" s="66">
        <v>12.62</v>
      </c>
      <c r="E1105" s="66">
        <v>27.25</v>
      </c>
      <c r="F1105" s="66">
        <v>6.83</v>
      </c>
      <c r="G1105" s="65">
        <v>115.44999999999997</v>
      </c>
      <c r="H1105" s="54">
        <v>10.000000000000004</v>
      </c>
      <c r="I1105" s="35"/>
    </row>
    <row r="1106" spans="1:9" x14ac:dyDescent="0.2">
      <c r="A1106" s="43" t="s">
        <v>72</v>
      </c>
      <c r="B1106" s="66">
        <v>47.159999999999961</v>
      </c>
      <c r="C1106" s="66">
        <v>12.44</v>
      </c>
      <c r="D1106" s="66">
        <v>12.62</v>
      </c>
      <c r="E1106" s="66">
        <v>27.25</v>
      </c>
      <c r="F1106" s="66">
        <v>6.83</v>
      </c>
      <c r="G1106" s="65">
        <v>106.29999999999995</v>
      </c>
      <c r="H1106" s="54">
        <v>10.000000000000004</v>
      </c>
      <c r="I1106" s="35"/>
    </row>
    <row r="1107" spans="1:9" x14ac:dyDescent="0.2">
      <c r="A1107" s="43" t="s">
        <v>73</v>
      </c>
      <c r="B1107" s="66">
        <v>43.429999999999964</v>
      </c>
      <c r="C1107" s="66">
        <v>11.19</v>
      </c>
      <c r="D1107" s="66">
        <v>12.62</v>
      </c>
      <c r="E1107" s="66">
        <v>27.25</v>
      </c>
      <c r="F1107" s="66">
        <v>6.83</v>
      </c>
      <c r="G1107" s="65">
        <v>101.31999999999996</v>
      </c>
      <c r="H1107" s="54">
        <v>10.000000000000004</v>
      </c>
      <c r="I1107" s="35"/>
    </row>
    <row r="1108" spans="1:9" x14ac:dyDescent="0.2">
      <c r="A1108" s="43" t="s">
        <v>74</v>
      </c>
      <c r="B1108" s="66">
        <v>58.219999999999963</v>
      </c>
      <c r="C1108" s="66">
        <v>16.14</v>
      </c>
      <c r="D1108" s="66">
        <v>12.62</v>
      </c>
      <c r="E1108" s="66">
        <v>27.25</v>
      </c>
      <c r="F1108" s="66">
        <v>6.83</v>
      </c>
      <c r="G1108" s="65">
        <v>121.05999999999996</v>
      </c>
      <c r="H1108" s="54">
        <v>10.000000000000004</v>
      </c>
      <c r="I1108" s="35"/>
    </row>
    <row r="1109" spans="1:9" x14ac:dyDescent="0.2">
      <c r="A1109" s="43" t="s">
        <v>75</v>
      </c>
      <c r="B1109" s="66">
        <v>50.309999999999967</v>
      </c>
      <c r="C1109" s="66">
        <v>13.5</v>
      </c>
      <c r="D1109" s="66">
        <v>12.62</v>
      </c>
      <c r="E1109" s="66">
        <v>27.25</v>
      </c>
      <c r="F1109" s="66">
        <v>6.83</v>
      </c>
      <c r="G1109" s="65">
        <v>110.50999999999996</v>
      </c>
      <c r="H1109" s="54">
        <v>10.000000000000004</v>
      </c>
      <c r="I1109" s="35"/>
    </row>
    <row r="1110" spans="1:9" x14ac:dyDescent="0.2">
      <c r="A1110" s="43" t="s">
        <v>76</v>
      </c>
      <c r="B1110" s="66">
        <v>45.809999999999967</v>
      </c>
      <c r="C1110" s="66">
        <v>11.99</v>
      </c>
      <c r="D1110" s="66">
        <v>12.62</v>
      </c>
      <c r="E1110" s="66">
        <v>27.25</v>
      </c>
      <c r="F1110" s="66">
        <v>6.83</v>
      </c>
      <c r="G1110" s="65">
        <v>104.49999999999997</v>
      </c>
      <c r="H1110" s="54">
        <v>10.000000000000004</v>
      </c>
      <c r="I1110" s="35"/>
    </row>
    <row r="1111" spans="1:9" x14ac:dyDescent="0.2">
      <c r="A1111" s="43" t="s">
        <v>77</v>
      </c>
      <c r="B1111" s="66">
        <v>39.069999999999965</v>
      </c>
      <c r="C1111" s="66">
        <v>9.74</v>
      </c>
      <c r="D1111" s="66">
        <v>12.62</v>
      </c>
      <c r="E1111" s="66">
        <v>27.25</v>
      </c>
      <c r="F1111" s="66">
        <v>6.83</v>
      </c>
      <c r="G1111" s="65">
        <v>95.509999999999962</v>
      </c>
      <c r="H1111" s="54">
        <v>10.000000000000004</v>
      </c>
      <c r="I1111" s="35"/>
    </row>
    <row r="1112" spans="1:9" x14ac:dyDescent="0.2">
      <c r="A1112" s="43" t="s">
        <v>78</v>
      </c>
      <c r="B1112" s="66">
        <v>64.619999999999976</v>
      </c>
      <c r="C1112" s="66">
        <v>18.29</v>
      </c>
      <c r="D1112" s="66">
        <v>12.62</v>
      </c>
      <c r="E1112" s="66">
        <v>27.25</v>
      </c>
      <c r="F1112" s="66">
        <v>6.83</v>
      </c>
      <c r="G1112" s="65">
        <v>129.60999999999999</v>
      </c>
      <c r="H1112" s="54">
        <v>10.000000000000004</v>
      </c>
      <c r="I1112" s="35"/>
    </row>
    <row r="1113" spans="1:9" x14ac:dyDescent="0.2">
      <c r="A1113" s="43" t="s">
        <v>79</v>
      </c>
      <c r="B1113" s="66">
        <v>59.719999999999963</v>
      </c>
      <c r="C1113" s="66">
        <v>16.64</v>
      </c>
      <c r="D1113" s="66">
        <v>12.62</v>
      </c>
      <c r="E1113" s="66">
        <v>27.25</v>
      </c>
      <c r="F1113" s="66">
        <v>6.83</v>
      </c>
      <c r="G1113" s="65">
        <v>123.05999999999996</v>
      </c>
      <c r="H1113" s="54">
        <v>10.000000000000004</v>
      </c>
      <c r="I1113" s="35"/>
    </row>
    <row r="1114" spans="1:9" x14ac:dyDescent="0.2">
      <c r="A1114" s="43" t="s">
        <v>80</v>
      </c>
      <c r="B1114" s="66">
        <v>60.909999999999961</v>
      </c>
      <c r="C1114" s="66">
        <v>17.04</v>
      </c>
      <c r="D1114" s="66">
        <v>12.62</v>
      </c>
      <c r="E1114" s="66">
        <v>27.25</v>
      </c>
      <c r="F1114" s="66">
        <v>6.83</v>
      </c>
      <c r="G1114" s="65">
        <v>124.64999999999996</v>
      </c>
      <c r="H1114" s="54">
        <v>10.000000000000004</v>
      </c>
      <c r="I1114" s="35"/>
    </row>
    <row r="1115" spans="1:9" x14ac:dyDescent="0.2">
      <c r="A1115" s="43" t="s">
        <v>53</v>
      </c>
      <c r="B1115" s="66">
        <v>55.849999999999966</v>
      </c>
      <c r="C1115" s="66">
        <v>15.35</v>
      </c>
      <c r="D1115" s="66">
        <v>12.62</v>
      </c>
      <c r="E1115" s="66">
        <v>27.25</v>
      </c>
      <c r="F1115" s="66">
        <v>6.83</v>
      </c>
      <c r="G1115" s="65">
        <v>117.89999999999996</v>
      </c>
      <c r="H1115" s="54">
        <v>10.000000000000004</v>
      </c>
      <c r="I1115" s="35"/>
    </row>
    <row r="1116" spans="1:9" x14ac:dyDescent="0.2">
      <c r="A1116" s="43" t="s">
        <v>81</v>
      </c>
      <c r="B1116" s="66">
        <v>53.699999999999967</v>
      </c>
      <c r="C1116" s="66">
        <v>14.63</v>
      </c>
      <c r="D1116" s="66">
        <v>12.62</v>
      </c>
      <c r="E1116" s="66">
        <v>27.25</v>
      </c>
      <c r="F1116" s="66">
        <v>6.83</v>
      </c>
      <c r="G1116" s="65">
        <v>115.02999999999997</v>
      </c>
      <c r="H1116" s="54">
        <v>10.000000000000004</v>
      </c>
      <c r="I1116" s="35"/>
    </row>
    <row r="1117" spans="1:9" x14ac:dyDescent="0.2">
      <c r="A1117" s="43" t="s">
        <v>82</v>
      </c>
      <c r="B1117" s="66">
        <v>50.469999999999963</v>
      </c>
      <c r="C1117" s="66">
        <v>13.55</v>
      </c>
      <c r="D1117" s="66">
        <v>12.62</v>
      </c>
      <c r="E1117" s="66">
        <v>27.25</v>
      </c>
      <c r="F1117" s="66">
        <v>6.83</v>
      </c>
      <c r="G1117" s="65">
        <v>110.71999999999997</v>
      </c>
      <c r="H1117" s="54">
        <v>10.000000000000004</v>
      </c>
      <c r="I1117" s="35"/>
    </row>
    <row r="1118" spans="1:9" x14ac:dyDescent="0.2">
      <c r="A1118" s="43" t="s">
        <v>83</v>
      </c>
      <c r="B1118" s="66">
        <v>48.479999999999961</v>
      </c>
      <c r="C1118" s="66">
        <v>12.88</v>
      </c>
      <c r="D1118" s="66">
        <v>12.62</v>
      </c>
      <c r="E1118" s="66">
        <v>27.25</v>
      </c>
      <c r="F1118" s="66">
        <v>6.83</v>
      </c>
      <c r="G1118" s="65">
        <v>108.05999999999996</v>
      </c>
      <c r="H1118" s="54">
        <v>10.000000000000004</v>
      </c>
      <c r="I1118" s="35"/>
    </row>
    <row r="1119" spans="1:9" x14ac:dyDescent="0.2">
      <c r="A1119" s="43" t="s">
        <v>84</v>
      </c>
      <c r="B1119" s="66">
        <v>44.919999999999966</v>
      </c>
      <c r="C1119" s="66">
        <v>11.69</v>
      </c>
      <c r="D1119" s="66">
        <v>12.62</v>
      </c>
      <c r="E1119" s="66">
        <v>27.25</v>
      </c>
      <c r="F1119" s="66">
        <v>6.83</v>
      </c>
      <c r="G1119" s="65">
        <v>103.30999999999996</v>
      </c>
      <c r="H1119" s="54">
        <v>10.000000000000004</v>
      </c>
      <c r="I1119" s="35"/>
    </row>
    <row r="1120" spans="1:9" x14ac:dyDescent="0.2">
      <c r="A1120" s="43" t="s">
        <v>85</v>
      </c>
      <c r="B1120" s="66">
        <v>40.569999999999965</v>
      </c>
      <c r="C1120" s="66">
        <v>10.23</v>
      </c>
      <c r="D1120" s="66">
        <v>12.62</v>
      </c>
      <c r="E1120" s="66">
        <v>27.25</v>
      </c>
      <c r="F1120" s="66">
        <v>6.83</v>
      </c>
      <c r="G1120" s="65">
        <v>97.499999999999957</v>
      </c>
      <c r="H1120" s="54">
        <v>10.000000000000004</v>
      </c>
      <c r="I1120" s="35"/>
    </row>
    <row r="1121" spans="1:9" x14ac:dyDescent="0.2">
      <c r="A1121" s="43" t="s">
        <v>86</v>
      </c>
      <c r="B1121" s="66">
        <v>36.859999999999964</v>
      </c>
      <c r="C1121" s="66">
        <v>9</v>
      </c>
      <c r="D1121" s="66">
        <v>12.62</v>
      </c>
      <c r="E1121" s="66">
        <v>27.25</v>
      </c>
      <c r="F1121" s="66">
        <v>6.83</v>
      </c>
      <c r="G1121" s="65">
        <v>92.55999999999996</v>
      </c>
      <c r="H1121" s="54">
        <v>10.000000000000004</v>
      </c>
      <c r="I1121" s="35"/>
    </row>
    <row r="1122" spans="1:9" x14ac:dyDescent="0.2">
      <c r="A1122" s="45" t="s">
        <v>87</v>
      </c>
      <c r="B1122" s="66">
        <v>36.859999999999964</v>
      </c>
      <c r="C1122" s="66">
        <v>9</v>
      </c>
      <c r="D1122" s="66">
        <v>12.62</v>
      </c>
      <c r="E1122" s="66">
        <v>27.25</v>
      </c>
      <c r="F1122" s="66">
        <v>6.83</v>
      </c>
      <c r="G1122" s="65">
        <v>92.55999999999996</v>
      </c>
      <c r="H1122" s="54">
        <v>10.000000000000004</v>
      </c>
      <c r="I1122" s="35"/>
    </row>
    <row r="1123" spans="1:9" x14ac:dyDescent="0.2">
      <c r="A1123" s="45" t="s">
        <v>88</v>
      </c>
      <c r="B1123" s="66">
        <v>36.859999999999964</v>
      </c>
      <c r="C1123" s="66">
        <v>9</v>
      </c>
      <c r="D1123" s="66">
        <v>12.62</v>
      </c>
      <c r="E1123" s="66">
        <v>27.25</v>
      </c>
      <c r="F1123" s="66">
        <v>6.83</v>
      </c>
      <c r="G1123" s="65">
        <v>92.55999999999996</v>
      </c>
      <c r="H1123" s="54">
        <v>10.000000000000004</v>
      </c>
      <c r="I1123" s="35"/>
    </row>
    <row r="1124" spans="1:9" x14ac:dyDescent="0.2">
      <c r="A1124" s="55"/>
      <c r="B1124" s="56"/>
      <c r="C1124" s="33"/>
      <c r="D1124" s="33"/>
      <c r="E1124" s="33"/>
      <c r="F1124" s="33"/>
      <c r="G1124" s="57"/>
      <c r="H1124" s="54"/>
      <c r="I1124" s="33"/>
    </row>
    <row r="1125" spans="1:9" x14ac:dyDescent="0.2">
      <c r="A1125" s="58" t="s">
        <v>119</v>
      </c>
      <c r="B1125" s="64">
        <v>96.81</v>
      </c>
      <c r="C1125" s="64">
        <v>31.81</v>
      </c>
      <c r="D1125" s="49"/>
      <c r="E1125" s="49"/>
      <c r="F1125" s="49"/>
      <c r="G1125" s="50">
        <v>128.62</v>
      </c>
      <c r="H1125" s="54">
        <v>0</v>
      </c>
      <c r="I1125" s="33"/>
    </row>
    <row r="1126" spans="1:9" x14ac:dyDescent="0.2">
      <c r="A1126" s="51" t="s">
        <v>120</v>
      </c>
      <c r="B1126" s="64">
        <v>38.72</v>
      </c>
      <c r="C1126" s="64">
        <v>12.73</v>
      </c>
      <c r="D1126" s="49"/>
      <c r="E1126" s="49"/>
      <c r="F1126" s="49"/>
      <c r="G1126" s="50">
        <v>51.45</v>
      </c>
      <c r="H1126" s="54">
        <v>0</v>
      </c>
      <c r="I1126" s="33"/>
    </row>
    <row r="1127" spans="1:9" x14ac:dyDescent="0.2">
      <c r="A1127" s="59" t="s">
        <v>121</v>
      </c>
      <c r="B1127" s="64">
        <v>58.09</v>
      </c>
      <c r="C1127" s="64">
        <v>19.079999999999998</v>
      </c>
      <c r="D1127" s="49"/>
      <c r="E1127" s="49"/>
      <c r="F1127" s="49"/>
      <c r="G1127" s="50">
        <v>77.17</v>
      </c>
      <c r="H1127" s="54">
        <v>0</v>
      </c>
      <c r="I1127" s="33"/>
    </row>
    <row r="1129" spans="1:9" ht="15.75" x14ac:dyDescent="0.25">
      <c r="A1129" s="41" t="s">
        <v>172</v>
      </c>
      <c r="B1129" s="42"/>
      <c r="C1129" s="42"/>
      <c r="D1129" s="42"/>
      <c r="E1129" s="42"/>
      <c r="F1129" s="42"/>
      <c r="G1129" s="42"/>
      <c r="H1129" s="52"/>
      <c r="I1129" s="33"/>
    </row>
    <row r="1130" spans="1:9" ht="76.5" x14ac:dyDescent="0.2">
      <c r="A1130" s="37" t="s">
        <v>92</v>
      </c>
      <c r="B1130" s="61" t="s">
        <v>114</v>
      </c>
      <c r="C1130" s="61" t="s">
        <v>115</v>
      </c>
      <c r="D1130" s="62" t="s">
        <v>116</v>
      </c>
      <c r="E1130" s="61" t="s">
        <v>117</v>
      </c>
      <c r="F1130" s="61" t="s">
        <v>118</v>
      </c>
      <c r="G1130" s="62" t="s">
        <v>15</v>
      </c>
      <c r="H1130" s="53" t="s">
        <v>173</v>
      </c>
      <c r="I1130" s="33"/>
    </row>
    <row r="1131" spans="1:9" x14ac:dyDescent="0.2">
      <c r="A1131" s="43" t="s">
        <v>54</v>
      </c>
      <c r="B1131" s="66">
        <v>120.27000000000015</v>
      </c>
      <c r="C1131" s="66">
        <v>36.79</v>
      </c>
      <c r="D1131" s="66">
        <v>12.62</v>
      </c>
      <c r="E1131" s="66">
        <v>27.25</v>
      </c>
      <c r="F1131" s="66">
        <v>6.83</v>
      </c>
      <c r="G1131" s="65">
        <v>203.76000000000016</v>
      </c>
      <c r="H1131" s="54">
        <v>10.400000000000004</v>
      </c>
      <c r="I1131" s="35"/>
    </row>
    <row r="1132" spans="1:9" x14ac:dyDescent="0.2">
      <c r="A1132" s="43" t="s">
        <v>55</v>
      </c>
      <c r="B1132" s="66">
        <v>103.37000000000015</v>
      </c>
      <c r="C1132" s="66">
        <v>31.12</v>
      </c>
      <c r="D1132" s="66">
        <v>12.62</v>
      </c>
      <c r="E1132" s="66">
        <v>27.25</v>
      </c>
      <c r="F1132" s="66">
        <v>6.83</v>
      </c>
      <c r="G1132" s="65">
        <v>181.19000000000017</v>
      </c>
      <c r="H1132" s="54">
        <v>10.400000000000004</v>
      </c>
      <c r="I1132" s="35"/>
    </row>
    <row r="1133" spans="1:9" x14ac:dyDescent="0.2">
      <c r="A1133" s="43" t="s">
        <v>56</v>
      </c>
      <c r="B1133" s="66">
        <v>95.580000000000155</v>
      </c>
      <c r="C1133" s="66">
        <v>28.52</v>
      </c>
      <c r="D1133" s="66">
        <v>12.62</v>
      </c>
      <c r="E1133" s="66">
        <v>27.25</v>
      </c>
      <c r="F1133" s="66">
        <v>6.83</v>
      </c>
      <c r="G1133" s="65">
        <v>170.80000000000015</v>
      </c>
      <c r="H1133" s="54">
        <v>10.400000000000004</v>
      </c>
      <c r="I1133" s="35"/>
    </row>
    <row r="1134" spans="1:9" x14ac:dyDescent="0.2">
      <c r="A1134" s="43" t="s">
        <v>57</v>
      </c>
      <c r="B1134" s="66">
        <v>81.100000000000151</v>
      </c>
      <c r="C1134" s="66">
        <v>23.67</v>
      </c>
      <c r="D1134" s="66">
        <v>12.62</v>
      </c>
      <c r="E1134" s="66">
        <v>27.25</v>
      </c>
      <c r="F1134" s="66">
        <v>6.83</v>
      </c>
      <c r="G1134" s="65">
        <v>151.47000000000017</v>
      </c>
      <c r="H1134" s="54">
        <v>10.400000000000004</v>
      </c>
      <c r="I1134" s="35"/>
    </row>
    <row r="1135" spans="1:9" x14ac:dyDescent="0.2">
      <c r="A1135" s="43" t="s">
        <v>58</v>
      </c>
      <c r="B1135" s="66">
        <v>148.42000000000016</v>
      </c>
      <c r="C1135" s="66">
        <v>46.21</v>
      </c>
      <c r="D1135" s="66">
        <v>12.62</v>
      </c>
      <c r="E1135" s="66">
        <v>27.25</v>
      </c>
      <c r="F1135" s="66">
        <v>6.83</v>
      </c>
      <c r="G1135" s="65">
        <v>241.33000000000018</v>
      </c>
      <c r="H1135" s="54">
        <v>10.400000000000004</v>
      </c>
      <c r="I1135" s="35"/>
    </row>
    <row r="1136" spans="1:9" x14ac:dyDescent="0.2">
      <c r="A1136" s="43" t="s">
        <v>59</v>
      </c>
      <c r="B1136" s="66">
        <v>122.30000000000015</v>
      </c>
      <c r="C1136" s="66">
        <v>37.47</v>
      </c>
      <c r="D1136" s="66">
        <v>12.62</v>
      </c>
      <c r="E1136" s="66">
        <v>27.25</v>
      </c>
      <c r="F1136" s="66">
        <v>6.83</v>
      </c>
      <c r="G1136" s="65">
        <v>206.47000000000017</v>
      </c>
      <c r="H1136" s="54">
        <v>10.400000000000004</v>
      </c>
      <c r="I1136" s="35"/>
    </row>
    <row r="1137" spans="1:9" x14ac:dyDescent="0.2">
      <c r="A1137" s="43" t="s">
        <v>60</v>
      </c>
      <c r="B1137" s="66">
        <v>102.96000000000015</v>
      </c>
      <c r="C1137" s="66">
        <v>30.99</v>
      </c>
      <c r="D1137" s="66">
        <v>12.62</v>
      </c>
      <c r="E1137" s="66">
        <v>27.25</v>
      </c>
      <c r="F1137" s="66">
        <v>6.83</v>
      </c>
      <c r="G1137" s="65">
        <v>180.65000000000018</v>
      </c>
      <c r="H1137" s="54">
        <v>10.400000000000004</v>
      </c>
      <c r="I1137" s="35"/>
    </row>
    <row r="1138" spans="1:9" x14ac:dyDescent="0.2">
      <c r="A1138" s="43" t="s">
        <v>61</v>
      </c>
      <c r="B1138" s="66">
        <v>99.980000000000146</v>
      </c>
      <c r="C1138" s="66">
        <v>29.99</v>
      </c>
      <c r="D1138" s="66">
        <v>12.62</v>
      </c>
      <c r="E1138" s="66">
        <v>27.25</v>
      </c>
      <c r="F1138" s="66">
        <v>6.83</v>
      </c>
      <c r="G1138" s="65">
        <v>176.67000000000016</v>
      </c>
      <c r="H1138" s="54">
        <v>10.400000000000004</v>
      </c>
      <c r="I1138" s="35"/>
    </row>
    <row r="1139" spans="1:9" x14ac:dyDescent="0.2">
      <c r="A1139" s="43" t="s">
        <v>62</v>
      </c>
      <c r="B1139" s="66">
        <v>93.180000000000149</v>
      </c>
      <c r="C1139" s="66">
        <v>27.71</v>
      </c>
      <c r="D1139" s="66">
        <v>12.62</v>
      </c>
      <c r="E1139" s="66">
        <v>27.25</v>
      </c>
      <c r="F1139" s="66">
        <v>6.83</v>
      </c>
      <c r="G1139" s="65">
        <v>167.59000000000017</v>
      </c>
      <c r="H1139" s="54">
        <v>10.400000000000004</v>
      </c>
      <c r="I1139" s="35"/>
    </row>
    <row r="1140" spans="1:9" x14ac:dyDescent="0.2">
      <c r="A1140" s="43" t="s">
        <v>63</v>
      </c>
      <c r="B1140" s="66">
        <v>92.910000000000153</v>
      </c>
      <c r="C1140" s="66">
        <v>27.62</v>
      </c>
      <c r="D1140" s="66">
        <v>12.62</v>
      </c>
      <c r="E1140" s="66">
        <v>27.25</v>
      </c>
      <c r="F1140" s="66">
        <v>6.83</v>
      </c>
      <c r="G1140" s="65">
        <v>167.23000000000016</v>
      </c>
      <c r="H1140" s="54">
        <v>10.400000000000004</v>
      </c>
      <c r="I1140" s="35"/>
    </row>
    <row r="1141" spans="1:9" x14ac:dyDescent="0.2">
      <c r="A1141" s="43" t="s">
        <v>64</v>
      </c>
      <c r="B1141" s="66">
        <v>77.160000000000153</v>
      </c>
      <c r="C1141" s="66">
        <v>22.36</v>
      </c>
      <c r="D1141" s="66">
        <v>12.62</v>
      </c>
      <c r="E1141" s="66">
        <v>27.25</v>
      </c>
      <c r="F1141" s="66">
        <v>6.83</v>
      </c>
      <c r="G1141" s="65">
        <v>146.22000000000017</v>
      </c>
      <c r="H1141" s="54">
        <v>10.400000000000004</v>
      </c>
      <c r="I1141" s="35"/>
    </row>
    <row r="1142" spans="1:9" x14ac:dyDescent="0.2">
      <c r="A1142" s="43" t="s">
        <v>65</v>
      </c>
      <c r="B1142" s="66">
        <v>71.800000000000097</v>
      </c>
      <c r="C1142" s="66">
        <v>20.55</v>
      </c>
      <c r="D1142" s="66">
        <v>12.62</v>
      </c>
      <c r="E1142" s="66">
        <v>27.25</v>
      </c>
      <c r="F1142" s="66">
        <v>6.83</v>
      </c>
      <c r="G1142" s="65">
        <v>139.0500000000001</v>
      </c>
      <c r="H1142" s="54">
        <v>10.400000000000004</v>
      </c>
      <c r="I1142" s="35"/>
    </row>
    <row r="1143" spans="1:9" x14ac:dyDescent="0.2">
      <c r="A1143" s="43" t="s">
        <v>66</v>
      </c>
      <c r="B1143" s="66">
        <v>68.750000000000043</v>
      </c>
      <c r="C1143" s="66">
        <v>19.54</v>
      </c>
      <c r="D1143" s="66">
        <v>12.62</v>
      </c>
      <c r="E1143" s="66">
        <v>27.25</v>
      </c>
      <c r="F1143" s="66">
        <v>6.83</v>
      </c>
      <c r="G1143" s="65">
        <v>134.99000000000007</v>
      </c>
      <c r="H1143" s="54">
        <v>10.400000000000004</v>
      </c>
      <c r="I1143" s="35"/>
    </row>
    <row r="1144" spans="1:9" x14ac:dyDescent="0.2">
      <c r="A1144" s="43" t="s">
        <v>67</v>
      </c>
      <c r="B1144" s="66">
        <v>64.529999999999973</v>
      </c>
      <c r="C1144" s="66">
        <v>18.13</v>
      </c>
      <c r="D1144" s="66">
        <v>12.62</v>
      </c>
      <c r="E1144" s="66">
        <v>27.25</v>
      </c>
      <c r="F1144" s="66">
        <v>6.83</v>
      </c>
      <c r="G1144" s="65">
        <v>129.35999999999999</v>
      </c>
      <c r="H1144" s="54">
        <v>10.400000000000004</v>
      </c>
      <c r="I1144" s="35"/>
    </row>
    <row r="1145" spans="1:9" x14ac:dyDescent="0.2">
      <c r="A1145" s="43" t="s">
        <v>68</v>
      </c>
      <c r="B1145" s="66">
        <v>60.01999999999996</v>
      </c>
      <c r="C1145" s="66">
        <v>16.62</v>
      </c>
      <c r="D1145" s="66">
        <v>12.62</v>
      </c>
      <c r="E1145" s="66">
        <v>27.25</v>
      </c>
      <c r="F1145" s="66">
        <v>6.83</v>
      </c>
      <c r="G1145" s="65">
        <v>123.33999999999996</v>
      </c>
      <c r="H1145" s="54">
        <v>10.400000000000004</v>
      </c>
      <c r="I1145" s="35"/>
    </row>
    <row r="1146" spans="1:9" x14ac:dyDescent="0.2">
      <c r="A1146" s="43" t="s">
        <v>69</v>
      </c>
      <c r="B1146" s="66">
        <v>54.94999999999996</v>
      </c>
      <c r="C1146" s="66">
        <v>14.91</v>
      </c>
      <c r="D1146" s="66">
        <v>12.62</v>
      </c>
      <c r="E1146" s="66">
        <v>27.25</v>
      </c>
      <c r="F1146" s="66">
        <v>6.83</v>
      </c>
      <c r="G1146" s="65">
        <v>116.55999999999996</v>
      </c>
      <c r="H1146" s="54">
        <v>10.400000000000004</v>
      </c>
      <c r="I1146" s="35"/>
    </row>
    <row r="1147" spans="1:9" x14ac:dyDescent="0.2">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
      <c r="A1148" s="43" t="s">
        <v>71</v>
      </c>
      <c r="B1148" s="66">
        <v>54.419999999999966</v>
      </c>
      <c r="C1148" s="66">
        <v>14.73</v>
      </c>
      <c r="D1148" s="66">
        <v>12.62</v>
      </c>
      <c r="E1148" s="66">
        <v>27.25</v>
      </c>
      <c r="F1148" s="66">
        <v>6.83</v>
      </c>
      <c r="G1148" s="65">
        <v>115.84999999999997</v>
      </c>
      <c r="H1148" s="54">
        <v>10.400000000000004</v>
      </c>
      <c r="I1148" s="35"/>
    </row>
    <row r="1149" spans="1:9" x14ac:dyDescent="0.2">
      <c r="A1149" s="43" t="s">
        <v>72</v>
      </c>
      <c r="B1149" s="66">
        <v>47.55999999999996</v>
      </c>
      <c r="C1149" s="66">
        <v>12.44</v>
      </c>
      <c r="D1149" s="66">
        <v>12.62</v>
      </c>
      <c r="E1149" s="66">
        <v>27.25</v>
      </c>
      <c r="F1149" s="66">
        <v>6.83</v>
      </c>
      <c r="G1149" s="65">
        <v>106.69999999999996</v>
      </c>
      <c r="H1149" s="54">
        <v>10.400000000000004</v>
      </c>
      <c r="I1149" s="35"/>
    </row>
    <row r="1150" spans="1:9" x14ac:dyDescent="0.2">
      <c r="A1150" s="43" t="s">
        <v>73</v>
      </c>
      <c r="B1150" s="66">
        <v>43.829999999999963</v>
      </c>
      <c r="C1150" s="66">
        <v>11.19</v>
      </c>
      <c r="D1150" s="66">
        <v>12.62</v>
      </c>
      <c r="E1150" s="66">
        <v>27.25</v>
      </c>
      <c r="F1150" s="66">
        <v>6.83</v>
      </c>
      <c r="G1150" s="65">
        <v>101.71999999999996</v>
      </c>
      <c r="H1150" s="54">
        <v>10.400000000000004</v>
      </c>
      <c r="I1150" s="35"/>
    </row>
    <row r="1151" spans="1:9" x14ac:dyDescent="0.2">
      <c r="A1151" s="43" t="s">
        <v>74</v>
      </c>
      <c r="B1151" s="66">
        <v>58.619999999999962</v>
      </c>
      <c r="C1151" s="66">
        <v>16.14</v>
      </c>
      <c r="D1151" s="66">
        <v>12.62</v>
      </c>
      <c r="E1151" s="66">
        <v>27.25</v>
      </c>
      <c r="F1151" s="66">
        <v>6.83</v>
      </c>
      <c r="G1151" s="65">
        <v>121.45999999999997</v>
      </c>
      <c r="H1151" s="54">
        <v>10.400000000000004</v>
      </c>
      <c r="I1151" s="35"/>
    </row>
    <row r="1152" spans="1:9" x14ac:dyDescent="0.2">
      <c r="A1152" s="43" t="s">
        <v>75</v>
      </c>
      <c r="B1152" s="66">
        <v>50.709999999999965</v>
      </c>
      <c r="C1152" s="66">
        <v>13.5</v>
      </c>
      <c r="D1152" s="66">
        <v>12.62</v>
      </c>
      <c r="E1152" s="66">
        <v>27.25</v>
      </c>
      <c r="F1152" s="66">
        <v>6.83</v>
      </c>
      <c r="G1152" s="65">
        <v>110.90999999999997</v>
      </c>
      <c r="H1152" s="54">
        <v>10.400000000000004</v>
      </c>
      <c r="I1152" s="35"/>
    </row>
    <row r="1153" spans="1:9" x14ac:dyDescent="0.2">
      <c r="A1153" s="43" t="s">
        <v>76</v>
      </c>
      <c r="B1153" s="66">
        <v>46.209999999999965</v>
      </c>
      <c r="C1153" s="66">
        <v>11.99</v>
      </c>
      <c r="D1153" s="66">
        <v>12.62</v>
      </c>
      <c r="E1153" s="66">
        <v>27.25</v>
      </c>
      <c r="F1153" s="66">
        <v>6.83</v>
      </c>
      <c r="G1153" s="65">
        <v>104.89999999999996</v>
      </c>
      <c r="H1153" s="54">
        <v>10.400000000000004</v>
      </c>
      <c r="I1153" s="35"/>
    </row>
    <row r="1154" spans="1:9" x14ac:dyDescent="0.2">
      <c r="A1154" s="43" t="s">
        <v>77</v>
      </c>
      <c r="B1154" s="66">
        <v>39.469999999999963</v>
      </c>
      <c r="C1154" s="66">
        <v>9.74</v>
      </c>
      <c r="D1154" s="66">
        <v>12.62</v>
      </c>
      <c r="E1154" s="66">
        <v>27.25</v>
      </c>
      <c r="F1154" s="66">
        <v>6.83</v>
      </c>
      <c r="G1154" s="65">
        <v>95.909999999999954</v>
      </c>
      <c r="H1154" s="54">
        <v>10.400000000000004</v>
      </c>
      <c r="I1154" s="35"/>
    </row>
    <row r="1155" spans="1:9" x14ac:dyDescent="0.2">
      <c r="A1155" s="43" t="s">
        <v>78</v>
      </c>
      <c r="B1155" s="66">
        <v>65.019999999999982</v>
      </c>
      <c r="C1155" s="66">
        <v>18.29</v>
      </c>
      <c r="D1155" s="66">
        <v>12.62</v>
      </c>
      <c r="E1155" s="66">
        <v>27.25</v>
      </c>
      <c r="F1155" s="66">
        <v>6.83</v>
      </c>
      <c r="G1155" s="65">
        <v>130.01</v>
      </c>
      <c r="H1155" s="54">
        <v>10.400000000000004</v>
      </c>
      <c r="I1155" s="35"/>
    </row>
    <row r="1156" spans="1:9" x14ac:dyDescent="0.2">
      <c r="A1156" s="43" t="s">
        <v>79</v>
      </c>
      <c r="B1156" s="66">
        <v>60.119999999999962</v>
      </c>
      <c r="C1156" s="66">
        <v>16.64</v>
      </c>
      <c r="D1156" s="66">
        <v>12.62</v>
      </c>
      <c r="E1156" s="66">
        <v>27.25</v>
      </c>
      <c r="F1156" s="66">
        <v>6.83</v>
      </c>
      <c r="G1156" s="65">
        <v>123.45999999999997</v>
      </c>
      <c r="H1156" s="54">
        <v>10.400000000000004</v>
      </c>
      <c r="I1156" s="35"/>
    </row>
    <row r="1157" spans="1:9" x14ac:dyDescent="0.2">
      <c r="A1157" s="43" t="s">
        <v>80</v>
      </c>
      <c r="B1157" s="66">
        <v>61.30999999999996</v>
      </c>
      <c r="C1157" s="66">
        <v>17.04</v>
      </c>
      <c r="D1157" s="66">
        <v>12.62</v>
      </c>
      <c r="E1157" s="66">
        <v>27.25</v>
      </c>
      <c r="F1157" s="66">
        <v>6.83</v>
      </c>
      <c r="G1157" s="65">
        <v>125.04999999999997</v>
      </c>
      <c r="H1157" s="54">
        <v>10.400000000000004</v>
      </c>
      <c r="I1157" s="35"/>
    </row>
    <row r="1158" spans="1:9" x14ac:dyDescent="0.2">
      <c r="A1158" s="43" t="s">
        <v>53</v>
      </c>
      <c r="B1158" s="66">
        <v>56.249999999999964</v>
      </c>
      <c r="C1158" s="66">
        <v>15.35</v>
      </c>
      <c r="D1158" s="66">
        <v>12.62</v>
      </c>
      <c r="E1158" s="66">
        <v>27.25</v>
      </c>
      <c r="F1158" s="66">
        <v>6.83</v>
      </c>
      <c r="G1158" s="65">
        <v>118.29999999999997</v>
      </c>
      <c r="H1158" s="54">
        <v>10.400000000000004</v>
      </c>
      <c r="I1158" s="35"/>
    </row>
    <row r="1159" spans="1:9" x14ac:dyDescent="0.2">
      <c r="A1159" s="43" t="s">
        <v>81</v>
      </c>
      <c r="B1159" s="66">
        <v>54.099999999999966</v>
      </c>
      <c r="C1159" s="66">
        <v>14.63</v>
      </c>
      <c r="D1159" s="66">
        <v>12.62</v>
      </c>
      <c r="E1159" s="66">
        <v>27.25</v>
      </c>
      <c r="F1159" s="66">
        <v>6.83</v>
      </c>
      <c r="G1159" s="65">
        <v>115.42999999999996</v>
      </c>
      <c r="H1159" s="54">
        <v>10.400000000000004</v>
      </c>
      <c r="I1159" s="35"/>
    </row>
    <row r="1160" spans="1:9" x14ac:dyDescent="0.2">
      <c r="A1160" s="43" t="s">
        <v>82</v>
      </c>
      <c r="B1160" s="66">
        <v>50.869999999999962</v>
      </c>
      <c r="C1160" s="66">
        <v>13.55</v>
      </c>
      <c r="D1160" s="66">
        <v>12.62</v>
      </c>
      <c r="E1160" s="66">
        <v>27.25</v>
      </c>
      <c r="F1160" s="66">
        <v>6.83</v>
      </c>
      <c r="G1160" s="65">
        <v>111.11999999999996</v>
      </c>
      <c r="H1160" s="54">
        <v>10.400000000000004</v>
      </c>
      <c r="I1160" s="35"/>
    </row>
    <row r="1161" spans="1:9" x14ac:dyDescent="0.2">
      <c r="A1161" s="43" t="s">
        <v>83</v>
      </c>
      <c r="B1161" s="66">
        <v>48.87999999999996</v>
      </c>
      <c r="C1161" s="66">
        <v>12.88</v>
      </c>
      <c r="D1161" s="66">
        <v>12.62</v>
      </c>
      <c r="E1161" s="66">
        <v>27.25</v>
      </c>
      <c r="F1161" s="66">
        <v>6.83</v>
      </c>
      <c r="G1161" s="65">
        <v>108.45999999999997</v>
      </c>
      <c r="H1161" s="54">
        <v>10.400000000000004</v>
      </c>
      <c r="I1161" s="35"/>
    </row>
    <row r="1162" spans="1:9" x14ac:dyDescent="0.2">
      <c r="A1162" s="43" t="s">
        <v>84</v>
      </c>
      <c r="B1162" s="66">
        <v>45.319999999999965</v>
      </c>
      <c r="C1162" s="66">
        <v>11.69</v>
      </c>
      <c r="D1162" s="66">
        <v>12.62</v>
      </c>
      <c r="E1162" s="66">
        <v>27.25</v>
      </c>
      <c r="F1162" s="66">
        <v>6.83</v>
      </c>
      <c r="G1162" s="65">
        <v>103.70999999999997</v>
      </c>
      <c r="H1162" s="54">
        <v>10.400000000000004</v>
      </c>
      <c r="I1162" s="35"/>
    </row>
    <row r="1163" spans="1:9" x14ac:dyDescent="0.2">
      <c r="A1163" s="43" t="s">
        <v>85</v>
      </c>
      <c r="B1163" s="66">
        <v>40.969999999999963</v>
      </c>
      <c r="C1163" s="66">
        <v>10.23</v>
      </c>
      <c r="D1163" s="66">
        <v>12.62</v>
      </c>
      <c r="E1163" s="66">
        <v>27.25</v>
      </c>
      <c r="F1163" s="66">
        <v>6.83</v>
      </c>
      <c r="G1163" s="65">
        <v>97.899999999999963</v>
      </c>
      <c r="H1163" s="54">
        <v>10.400000000000004</v>
      </c>
      <c r="I1163" s="35"/>
    </row>
    <row r="1164" spans="1:9" x14ac:dyDescent="0.2">
      <c r="A1164" s="43" t="s">
        <v>86</v>
      </c>
      <c r="B1164" s="66">
        <v>37.259999999999962</v>
      </c>
      <c r="C1164" s="66">
        <v>9</v>
      </c>
      <c r="D1164" s="66">
        <v>12.62</v>
      </c>
      <c r="E1164" s="66">
        <v>27.25</v>
      </c>
      <c r="F1164" s="66">
        <v>6.83</v>
      </c>
      <c r="G1164" s="65">
        <v>92.959999999999965</v>
      </c>
      <c r="H1164" s="54">
        <v>10.400000000000004</v>
      </c>
      <c r="I1164" s="35"/>
    </row>
    <row r="1165" spans="1:9" x14ac:dyDescent="0.2">
      <c r="A1165" s="45" t="s">
        <v>87</v>
      </c>
      <c r="B1165" s="66">
        <v>37.259999999999962</v>
      </c>
      <c r="C1165" s="66">
        <v>9</v>
      </c>
      <c r="D1165" s="66">
        <v>12.62</v>
      </c>
      <c r="E1165" s="66">
        <v>27.25</v>
      </c>
      <c r="F1165" s="66">
        <v>6.83</v>
      </c>
      <c r="G1165" s="65">
        <v>92.959999999999965</v>
      </c>
      <c r="H1165" s="54">
        <v>10.400000000000004</v>
      </c>
      <c r="I1165" s="35"/>
    </row>
    <row r="1166" spans="1:9" x14ac:dyDescent="0.2">
      <c r="A1166" s="45" t="s">
        <v>88</v>
      </c>
      <c r="B1166" s="66">
        <v>37.259999999999962</v>
      </c>
      <c r="C1166" s="66">
        <v>9</v>
      </c>
      <c r="D1166" s="66">
        <v>12.62</v>
      </c>
      <c r="E1166" s="66">
        <v>27.25</v>
      </c>
      <c r="F1166" s="66">
        <v>6.83</v>
      </c>
      <c r="G1166" s="65">
        <v>92.959999999999965</v>
      </c>
      <c r="H1166" s="54">
        <v>10.400000000000004</v>
      </c>
      <c r="I1166" s="35"/>
    </row>
    <row r="1167" spans="1:9" x14ac:dyDescent="0.2">
      <c r="A1167" s="55"/>
      <c r="B1167" s="56"/>
      <c r="C1167" s="33"/>
      <c r="D1167" s="33"/>
      <c r="E1167" s="33"/>
      <c r="F1167" s="33"/>
      <c r="G1167" s="57"/>
      <c r="H1167" s="54"/>
      <c r="I1167" s="33"/>
    </row>
    <row r="1168" spans="1:9" x14ac:dyDescent="0.2">
      <c r="A1168" s="58" t="s">
        <v>119</v>
      </c>
      <c r="B1168" s="64">
        <v>96.81</v>
      </c>
      <c r="C1168" s="64">
        <v>31.81</v>
      </c>
      <c r="D1168" s="49"/>
      <c r="E1168" s="49"/>
      <c r="F1168" s="49"/>
      <c r="G1168" s="50">
        <v>128.62</v>
      </c>
      <c r="H1168" s="54">
        <v>0</v>
      </c>
      <c r="I1168" s="33"/>
    </row>
    <row r="1169" spans="1:10" x14ac:dyDescent="0.2">
      <c r="A1169" s="51" t="s">
        <v>120</v>
      </c>
      <c r="B1169" s="64">
        <v>38.72</v>
      </c>
      <c r="C1169" s="64">
        <v>12.73</v>
      </c>
      <c r="D1169" s="49"/>
      <c r="E1169" s="49"/>
      <c r="F1169" s="49"/>
      <c r="G1169" s="50">
        <v>51.45</v>
      </c>
      <c r="H1169" s="54">
        <v>0</v>
      </c>
      <c r="I1169" s="33"/>
      <c r="J1169" s="36"/>
    </row>
    <row r="1170" spans="1:10" x14ac:dyDescent="0.2">
      <c r="A1170" s="59" t="s">
        <v>121</v>
      </c>
      <c r="B1170" s="64">
        <v>58.09</v>
      </c>
      <c r="C1170" s="64">
        <v>19.079999999999998</v>
      </c>
      <c r="D1170" s="49"/>
      <c r="E1170" s="49"/>
      <c r="F1170" s="49"/>
      <c r="G1170" s="50">
        <v>77.17</v>
      </c>
      <c r="H1170" s="54">
        <v>0</v>
      </c>
      <c r="I1170" s="33"/>
      <c r="J1170" s="36"/>
    </row>
    <row r="1172" spans="1:10" ht="15.75" x14ac:dyDescent="0.25">
      <c r="A1172" s="41" t="s">
        <v>174</v>
      </c>
      <c r="B1172" s="42"/>
      <c r="C1172" s="42"/>
      <c r="D1172" s="42"/>
      <c r="E1172" s="42"/>
      <c r="F1172" s="42"/>
      <c r="G1172" s="42"/>
      <c r="H1172" s="52"/>
      <c r="I1172" s="33"/>
      <c r="J1172" s="25"/>
    </row>
    <row r="1173" spans="1:10" ht="76.5" x14ac:dyDescent="0.2">
      <c r="A1173" s="37" t="s">
        <v>92</v>
      </c>
      <c r="B1173" s="61" t="s">
        <v>114</v>
      </c>
      <c r="C1173" s="61" t="s">
        <v>115</v>
      </c>
      <c r="D1173" s="62" t="s">
        <v>116</v>
      </c>
      <c r="E1173" s="61" t="s">
        <v>117</v>
      </c>
      <c r="F1173" s="61" t="s">
        <v>118</v>
      </c>
      <c r="G1173" s="62" t="s">
        <v>15</v>
      </c>
      <c r="H1173" s="53" t="s">
        <v>175</v>
      </c>
      <c r="I1173" s="33"/>
      <c r="J1173" s="36"/>
    </row>
    <row r="1174" spans="1:10" x14ac:dyDescent="0.2">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
      <c r="A1187" s="43" t="s">
        <v>67</v>
      </c>
      <c r="B1187" s="66">
        <v>64.929999999999978</v>
      </c>
      <c r="C1187" s="66">
        <v>18.13</v>
      </c>
      <c r="D1187" s="66">
        <v>12.62</v>
      </c>
      <c r="E1187" s="66">
        <v>27.25</v>
      </c>
      <c r="F1187" s="66">
        <v>6.83</v>
      </c>
      <c r="G1187" s="65">
        <v>129.76</v>
      </c>
      <c r="H1187" s="54">
        <v>10.800000000000004</v>
      </c>
      <c r="I1187" s="35"/>
      <c r="J1187" s="31"/>
    </row>
    <row r="1188" spans="1:10" x14ac:dyDescent="0.2">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
      <c r="A1197" s="43" t="s">
        <v>77</v>
      </c>
      <c r="B1197" s="66">
        <v>39.869999999999962</v>
      </c>
      <c r="C1197" s="66">
        <v>9.74</v>
      </c>
      <c r="D1197" s="66">
        <v>12.62</v>
      </c>
      <c r="E1197" s="66">
        <v>27.25</v>
      </c>
      <c r="F1197" s="66">
        <v>6.83</v>
      </c>
      <c r="G1197" s="65">
        <v>96.30999999999996</v>
      </c>
      <c r="H1197" s="54">
        <v>10.800000000000004</v>
      </c>
      <c r="I1197" s="35"/>
      <c r="J1197" s="31"/>
    </row>
    <row r="1198" spans="1:10" x14ac:dyDescent="0.2">
      <c r="A1198" s="43" t="s">
        <v>78</v>
      </c>
      <c r="B1198" s="66">
        <v>65.419999999999987</v>
      </c>
      <c r="C1198" s="66">
        <v>18.29</v>
      </c>
      <c r="D1198" s="66">
        <v>12.62</v>
      </c>
      <c r="E1198" s="66">
        <v>27.25</v>
      </c>
      <c r="F1198" s="66">
        <v>6.83</v>
      </c>
      <c r="G1198" s="65">
        <v>130.41</v>
      </c>
      <c r="H1198" s="54">
        <v>10.800000000000004</v>
      </c>
      <c r="I1198" s="35"/>
      <c r="J1198" s="31"/>
    </row>
    <row r="1199" spans="1:10" x14ac:dyDescent="0.2">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
      <c r="A1207" s="43" t="s">
        <v>86</v>
      </c>
      <c r="B1207" s="66">
        <v>37.659999999999961</v>
      </c>
      <c r="C1207" s="66">
        <v>9</v>
      </c>
      <c r="D1207" s="66">
        <v>12.62</v>
      </c>
      <c r="E1207" s="66">
        <v>27.25</v>
      </c>
      <c r="F1207" s="66">
        <v>6.83</v>
      </c>
      <c r="G1207" s="65">
        <v>93.359999999999957</v>
      </c>
      <c r="H1207" s="54">
        <v>10.800000000000004</v>
      </c>
      <c r="I1207" s="35"/>
      <c r="J1207" s="31"/>
    </row>
    <row r="1208" spans="1:10" x14ac:dyDescent="0.2">
      <c r="A1208" s="45" t="s">
        <v>87</v>
      </c>
      <c r="B1208" s="66">
        <v>37.659999999999961</v>
      </c>
      <c r="C1208" s="66">
        <v>9</v>
      </c>
      <c r="D1208" s="66">
        <v>12.62</v>
      </c>
      <c r="E1208" s="66">
        <v>27.25</v>
      </c>
      <c r="F1208" s="66">
        <v>6.83</v>
      </c>
      <c r="G1208" s="65">
        <v>93.359999999999957</v>
      </c>
      <c r="H1208" s="54">
        <v>10.800000000000004</v>
      </c>
      <c r="I1208" s="35"/>
      <c r="J1208" s="31"/>
    </row>
    <row r="1209" spans="1:10" x14ac:dyDescent="0.2">
      <c r="A1209" s="45" t="s">
        <v>88</v>
      </c>
      <c r="B1209" s="66">
        <v>37.659999999999961</v>
      </c>
      <c r="C1209" s="66">
        <v>9</v>
      </c>
      <c r="D1209" s="66">
        <v>12.62</v>
      </c>
      <c r="E1209" s="66">
        <v>27.25</v>
      </c>
      <c r="F1209" s="66">
        <v>6.83</v>
      </c>
      <c r="G1209" s="65">
        <v>93.359999999999957</v>
      </c>
      <c r="H1209" s="54">
        <v>10.800000000000004</v>
      </c>
      <c r="I1209" s="35"/>
      <c r="J1209" s="31"/>
    </row>
    <row r="1210" spans="1:10" x14ac:dyDescent="0.2">
      <c r="A1210" s="55"/>
      <c r="B1210" s="56"/>
      <c r="C1210" s="33"/>
      <c r="D1210" s="33"/>
      <c r="E1210" s="33"/>
      <c r="F1210" s="33"/>
      <c r="G1210" s="57"/>
      <c r="H1210" s="54"/>
      <c r="I1210" s="33"/>
      <c r="J1210" s="36"/>
    </row>
    <row r="1211" spans="1:10" x14ac:dyDescent="0.2">
      <c r="A1211" s="58" t="s">
        <v>119</v>
      </c>
      <c r="B1211" s="64">
        <v>96.81</v>
      </c>
      <c r="C1211" s="64">
        <v>31.81</v>
      </c>
      <c r="D1211" s="49"/>
      <c r="E1211" s="49"/>
      <c r="F1211" s="49"/>
      <c r="G1211" s="50">
        <v>128.62</v>
      </c>
      <c r="H1211" s="54">
        <v>0</v>
      </c>
      <c r="I1211" s="33"/>
      <c r="J1211" s="36"/>
    </row>
    <row r="1212" spans="1:10" x14ac:dyDescent="0.2">
      <c r="A1212" s="51" t="s">
        <v>120</v>
      </c>
      <c r="B1212" s="64">
        <v>38.72</v>
      </c>
      <c r="C1212" s="64">
        <v>12.73</v>
      </c>
      <c r="D1212" s="49"/>
      <c r="E1212" s="49"/>
      <c r="F1212" s="49"/>
      <c r="G1212" s="50">
        <v>51.45</v>
      </c>
      <c r="H1212" s="54">
        <v>0</v>
      </c>
      <c r="I1212" s="33"/>
      <c r="J1212" s="36"/>
    </row>
    <row r="1213" spans="1:10" x14ac:dyDescent="0.2">
      <c r="A1213" s="59" t="s">
        <v>121</v>
      </c>
      <c r="B1213" s="64">
        <v>58.09</v>
      </c>
      <c r="C1213" s="64">
        <v>19.079999999999998</v>
      </c>
      <c r="D1213" s="49"/>
      <c r="E1213" s="49"/>
      <c r="F1213" s="49"/>
      <c r="G1213" s="50">
        <v>77.17</v>
      </c>
      <c r="H1213" s="54">
        <v>0</v>
      </c>
      <c r="I1213" s="33"/>
      <c r="J1213" s="36"/>
    </row>
  </sheetData>
  <sheetProtection algorithmName="SHA-512" hashValue="NjPOy0lWxmBRBdaeBb5i0/Sr3nIDbTOGJUrqXJCRWSQh8bXhFO7o5HZRoEc8GHUjvK03H6uRepgA9L1sPiQ1Hg==" saltValue="QxjTzVz17FEjQf4NSp16ug=="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Y2PHC7Y2YW5Y-1871477060-106</_dlc_DocId>
    <_dlc_DocIdUrl xmlns="ea37a463-b99d-470c-8a85-4153a11441a9">
      <Url>https://txhhs.sharepoint.com/sites/hhsc/fs/ra/ltss/_layouts/15/DocIdRedir.aspx?ID=Y2PHC7Y2YW5Y-1871477060-106</Url>
      <Description>Y2PHC7Y2YW5Y-1871477060-106</Description>
    </_dlc_DocIdUrl>
    <SharedWithUsers xmlns="ea37a463-b99d-470c-8a85-4153a11441a9">
      <UserInfo>
        <DisplayName>Duban,Sascha (HHSC)</DisplayName>
        <AccountId>2208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CC20AE1-FA89-41FE-8679-E1D4214D0418}">
  <ds:schemaRefs>
    <ds:schemaRef ds:uri="892c8f4f-e050-4044-8793-43ed188ab5b7"/>
    <ds:schemaRef ds:uri="ea37a463-b99d-470c-8a85-4153a11441a9"/>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3.xml><?xml version="1.0" encoding="utf-8"?>
<ds:datastoreItem xmlns:ds="http://schemas.openxmlformats.org/officeDocument/2006/customXml" ds:itemID="{AB90DEC1-FC2A-4BE6-B32F-FB01971CBC61}"/>
</file>

<file path=customXml/itemProps4.xml><?xml version="1.0" encoding="utf-8"?>
<ds:datastoreItem xmlns:ds="http://schemas.openxmlformats.org/officeDocument/2006/customXml" ds:itemID="{D654FEA3-FB1C-4528-841A-2AE1E79CF1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Staffing</vt:lpstr>
      <vt:lpstr>Spending</vt:lpstr>
      <vt:lpstr>Direct Care</vt:lpstr>
      <vt:lpstr>Dietary</vt:lpstr>
      <vt:lpstr>Facility</vt:lpstr>
      <vt:lpstr>Summary Report </vt:lpstr>
      <vt:lpstr>Revenues</vt:lpstr>
      <vt:lpstr>9-1-2014 Rates to current</vt:lpstr>
      <vt:lpstr>Dietary!Print_Area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McDonald</dc:creator>
  <cp:lastModifiedBy>Diacont,Joseph (HHSC)</cp:lastModifiedBy>
  <cp:lastPrinted>2019-09-04T18:15:40Z</cp:lastPrinted>
  <dcterms:created xsi:type="dcterms:W3CDTF">2002-03-12T19:26:05Z</dcterms:created>
  <dcterms:modified xsi:type="dcterms:W3CDTF">2021-11-03T19:29:18Z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bbc835c4-2323-4703-b8f7-3a04168052f3</vt:lpwstr>
  </property>
</Properties>
</file>