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Dutcher01\Desktop\"/>
    </mc:Choice>
  </mc:AlternateContent>
  <xr:revisionPtr revIDLastSave="0" documentId="8_{4BA3C314-1657-46F9-AF64-52E3677D91A5}" xr6:coauthVersionLast="47" xr6:coauthVersionMax="47" xr10:uidLastSave="{00000000-0000-0000-0000-000000000000}"/>
  <bookViews>
    <workbookView xWindow="-16140" yWindow="9405" windowWidth="16185" windowHeight="11835" xr2:uid="{00000000-000D-0000-FFFF-FFFF00000000}"/>
  </bookViews>
  <sheets>
    <sheet name="GME Private Calc" sheetId="3" r:id="rId1"/>
    <sheet name="Reference" sheetId="2" r:id="rId2"/>
    <sheet name="HCRIS Data" sheetId="1" r:id="rId3"/>
    <sheet name="Market Basket" sheetId="5" r:id="rId4"/>
    <sheet name="Previous Private GME Estimate" sheetId="6" r:id="rId5"/>
  </sheets>
  <definedNames>
    <definedName name="_xlnm._FilterDatabase" localSheetId="0" hidden="1">'GME Private Calc'!$A$2:$N$51</definedName>
    <definedName name="_xlnm._FilterDatabase" localSheetId="2">'HCRIS Data'!$A$1:$O$69</definedName>
    <definedName name="_xlnm._FilterDatabase" localSheetId="4" hidden="1">'Previous Private GME Estimate'!$A$1:$AU$59</definedName>
    <definedName name="_xlnm.Print_Area" localSheetId="3">'Market Basket'!$A$1:$X$76</definedName>
    <definedName name="_xlnm.Print_Area" localSheetId="4">'Previous Private GME Estimate'!$A$1:$N$60</definedName>
    <definedName name="_xlnm.Print_Titles" localSheetId="3">'Market Basket'!$1:$2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 l="1"/>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3" i="3"/>
  <c r="G65" i="3" l="1"/>
  <c r="G57" i="3"/>
  <c r="G49" i="3"/>
  <c r="G47" i="3"/>
  <c r="G41" i="3"/>
  <c r="G36" i="3"/>
  <c r="G33" i="3"/>
  <c r="G28" i="3"/>
  <c r="G25" i="3"/>
  <c r="G20" i="3"/>
  <c r="G17" i="3"/>
  <c r="G15" i="3"/>
  <c r="G14" i="3"/>
  <c r="G12" i="3"/>
  <c r="G9" i="3"/>
  <c r="G7" i="3"/>
  <c r="G6" i="3"/>
  <c r="G4" i="3"/>
  <c r="G3" i="3"/>
  <c r="G5" i="3"/>
  <c r="G8" i="3"/>
  <c r="G10" i="3"/>
  <c r="G11" i="3"/>
  <c r="G13" i="3"/>
  <c r="G16" i="3"/>
  <c r="G18" i="3"/>
  <c r="G19" i="3"/>
  <c r="G21" i="3"/>
  <c r="G22" i="3"/>
  <c r="G23" i="3"/>
  <c r="G24" i="3"/>
  <c r="G26" i="3"/>
  <c r="G27" i="3"/>
  <c r="G29" i="3"/>
  <c r="G30" i="3"/>
  <c r="G31" i="3"/>
  <c r="G32" i="3"/>
  <c r="G34" i="3"/>
  <c r="G35" i="3"/>
  <c r="G37" i="3"/>
  <c r="G38" i="3"/>
  <c r="G39" i="3"/>
  <c r="G40" i="3"/>
  <c r="G42" i="3"/>
  <c r="G43" i="3"/>
  <c r="G44" i="3"/>
  <c r="G45" i="3"/>
  <c r="G46" i="3"/>
  <c r="G48" i="3"/>
  <c r="G50" i="3"/>
  <c r="G51" i="3"/>
  <c r="G52" i="3"/>
  <c r="G53" i="3"/>
  <c r="G54" i="3"/>
  <c r="G55" i="3"/>
  <c r="G56" i="3"/>
  <c r="G58" i="3"/>
  <c r="G59" i="3"/>
  <c r="G60" i="3"/>
  <c r="G61" i="3"/>
  <c r="G62" i="3"/>
  <c r="G63" i="3"/>
  <c r="G64" i="3"/>
  <c r="G66" i="3"/>
  <c r="G67" i="3"/>
  <c r="G68" i="3"/>
  <c r="G69" i="3"/>
  <c r="G70" i="3"/>
  <c r="W3" i="1" l="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2" i="1"/>
  <c r="H2" i="6" l="1"/>
  <c r="I2" i="6"/>
  <c r="J2" i="6"/>
  <c r="F3" i="6"/>
  <c r="H3" i="6" s="1"/>
  <c r="I3" i="6"/>
  <c r="J3" i="6"/>
  <c r="H4" i="6"/>
  <c r="I4" i="6"/>
  <c r="K4" i="6" s="1"/>
  <c r="J4" i="6"/>
  <c r="H5" i="6"/>
  <c r="I5" i="6"/>
  <c r="K5" i="6" s="1"/>
  <c r="J5" i="6"/>
  <c r="H6" i="6"/>
  <c r="I6" i="6"/>
  <c r="J6" i="6"/>
  <c r="H7" i="6"/>
  <c r="I7" i="6"/>
  <c r="J7" i="6"/>
  <c r="K7" i="6"/>
  <c r="H8" i="6"/>
  <c r="I8" i="6"/>
  <c r="J8" i="6"/>
  <c r="K8" i="6"/>
  <c r="H9" i="6"/>
  <c r="L9" i="6" s="1"/>
  <c r="M9" i="6" s="1"/>
  <c r="I9" i="6"/>
  <c r="J9" i="6"/>
  <c r="K9" i="6"/>
  <c r="H10" i="6"/>
  <c r="I10" i="6"/>
  <c r="J10" i="6"/>
  <c r="K10" i="6" s="1"/>
  <c r="H11" i="6"/>
  <c r="I11" i="6"/>
  <c r="J11" i="6"/>
  <c r="H12" i="6"/>
  <c r="I12" i="6"/>
  <c r="J12" i="6"/>
  <c r="F13" i="6"/>
  <c r="H13" i="6"/>
  <c r="I13" i="6"/>
  <c r="J13" i="6"/>
  <c r="H14" i="6"/>
  <c r="I14" i="6"/>
  <c r="J14" i="6"/>
  <c r="H15" i="6"/>
  <c r="I15" i="6"/>
  <c r="J15" i="6"/>
  <c r="H16" i="6"/>
  <c r="I16" i="6"/>
  <c r="K16" i="6" s="1"/>
  <c r="J16" i="6"/>
  <c r="H17" i="6"/>
  <c r="L17" i="6" s="1"/>
  <c r="M17" i="6" s="1"/>
  <c r="I17" i="6"/>
  <c r="J17" i="6"/>
  <c r="K17" i="6"/>
  <c r="H18" i="6"/>
  <c r="I18" i="6"/>
  <c r="K18" i="6" s="1"/>
  <c r="J18" i="6"/>
  <c r="H19" i="6"/>
  <c r="I19" i="6"/>
  <c r="J19" i="6"/>
  <c r="K19" i="6" s="1"/>
  <c r="H20" i="6"/>
  <c r="I20" i="6"/>
  <c r="J20" i="6"/>
  <c r="H21" i="6"/>
  <c r="I21" i="6"/>
  <c r="J21" i="6"/>
  <c r="H22" i="6"/>
  <c r="I22" i="6"/>
  <c r="K22" i="6" s="1"/>
  <c r="J22" i="6"/>
  <c r="H23" i="6"/>
  <c r="I23" i="6"/>
  <c r="K23" i="6" s="1"/>
  <c r="L23" i="6" s="1"/>
  <c r="J23" i="6"/>
  <c r="H24" i="6"/>
  <c r="I24" i="6"/>
  <c r="J24" i="6"/>
  <c r="K24" i="6"/>
  <c r="H25" i="6"/>
  <c r="I25" i="6"/>
  <c r="K25" i="6" s="1"/>
  <c r="J25" i="6"/>
  <c r="H26" i="6"/>
  <c r="L26" i="6" s="1"/>
  <c r="I26" i="6"/>
  <c r="J26" i="6"/>
  <c r="K26" i="6"/>
  <c r="H27" i="6"/>
  <c r="I27" i="6"/>
  <c r="J27" i="6"/>
  <c r="H28" i="6"/>
  <c r="I28" i="6"/>
  <c r="J28" i="6"/>
  <c r="H29" i="6"/>
  <c r="L29" i="6" s="1"/>
  <c r="I29" i="6"/>
  <c r="J29" i="6"/>
  <c r="K29" i="6" s="1"/>
  <c r="H30" i="6"/>
  <c r="I30" i="6"/>
  <c r="K30" i="6" s="1"/>
  <c r="J30" i="6"/>
  <c r="H31" i="6"/>
  <c r="I31" i="6"/>
  <c r="J31" i="6"/>
  <c r="H32" i="6"/>
  <c r="I32" i="6"/>
  <c r="J32" i="6"/>
  <c r="K32" i="6" s="1"/>
  <c r="H33" i="6"/>
  <c r="L33" i="6" s="1"/>
  <c r="M33" i="6" s="1"/>
  <c r="I33" i="6"/>
  <c r="J33" i="6"/>
  <c r="K33" i="6"/>
  <c r="H34" i="6"/>
  <c r="I34" i="6"/>
  <c r="K34" i="6" s="1"/>
  <c r="L34" i="6" s="1"/>
  <c r="M34" i="6" s="1"/>
  <c r="J34" i="6"/>
  <c r="H35" i="6"/>
  <c r="I35" i="6"/>
  <c r="J35" i="6"/>
  <c r="K35" i="6" s="1"/>
  <c r="H36" i="6"/>
  <c r="I36" i="6"/>
  <c r="J36" i="6"/>
  <c r="H37" i="6"/>
  <c r="I37" i="6"/>
  <c r="J37" i="6"/>
  <c r="K37" i="6" s="1"/>
  <c r="H38" i="6"/>
  <c r="I38" i="6"/>
  <c r="J38" i="6"/>
  <c r="H39" i="6"/>
  <c r="I39" i="6"/>
  <c r="J39" i="6"/>
  <c r="H40" i="6"/>
  <c r="I40" i="6"/>
  <c r="K40" i="6" s="1"/>
  <c r="J40" i="6"/>
  <c r="H41" i="6"/>
  <c r="L41" i="6" s="1"/>
  <c r="M41" i="6" s="1"/>
  <c r="I41" i="6"/>
  <c r="J41" i="6"/>
  <c r="K41" i="6"/>
  <c r="H42" i="6"/>
  <c r="L42" i="6" s="1"/>
  <c r="I42" i="6"/>
  <c r="J42" i="6"/>
  <c r="K42" i="6"/>
  <c r="H43" i="6"/>
  <c r="I43" i="6"/>
  <c r="J43" i="6"/>
  <c r="K43" i="6" s="1"/>
  <c r="H44" i="6"/>
  <c r="I44" i="6"/>
  <c r="K44" i="6" s="1"/>
  <c r="J44" i="6"/>
  <c r="H45" i="6"/>
  <c r="I45" i="6"/>
  <c r="J45" i="6"/>
  <c r="H46" i="6"/>
  <c r="I46" i="6"/>
  <c r="J46" i="6"/>
  <c r="H47" i="6"/>
  <c r="I47" i="6"/>
  <c r="K47" i="6" s="1"/>
  <c r="J47" i="6"/>
  <c r="H48" i="6"/>
  <c r="I48" i="6"/>
  <c r="J48" i="6"/>
  <c r="K48" i="6"/>
  <c r="H49" i="6"/>
  <c r="I49" i="6"/>
  <c r="J49" i="6"/>
  <c r="K49" i="6"/>
  <c r="L49" i="6" s="1"/>
  <c r="M49" i="6" s="1"/>
  <c r="H50" i="6"/>
  <c r="I50" i="6"/>
  <c r="J50" i="6"/>
  <c r="K50" i="6" s="1"/>
  <c r="H51" i="6"/>
  <c r="I51" i="6"/>
  <c r="J51" i="6"/>
  <c r="H52" i="6"/>
  <c r="K52" i="6"/>
  <c r="M53" i="6"/>
  <c r="N53" i="6" s="1"/>
  <c r="M54" i="6"/>
  <c r="N54" i="6" s="1"/>
  <c r="M55" i="6"/>
  <c r="N55" i="6" s="1"/>
  <c r="M56" i="6"/>
  <c r="N56" i="6" s="1"/>
  <c r="M57" i="6"/>
  <c r="N57" i="6"/>
  <c r="M58" i="6"/>
  <c r="N58" i="6" s="1"/>
  <c r="K31" i="6" l="1"/>
  <c r="K15" i="6"/>
  <c r="K46" i="6"/>
  <c r="K28" i="6"/>
  <c r="L28" i="6" s="1"/>
  <c r="M28" i="6" s="1"/>
  <c r="N28" i="6" s="1"/>
  <c r="L19" i="6"/>
  <c r="K6" i="6"/>
  <c r="L6" i="6" s="1"/>
  <c r="M6" i="6" s="1"/>
  <c r="N6" i="6" s="1"/>
  <c r="L46" i="6"/>
  <c r="K39" i="6"/>
  <c r="L24" i="6"/>
  <c r="K21" i="6"/>
  <c r="K12" i="6"/>
  <c r="K3" i="6"/>
  <c r="L40" i="6"/>
  <c r="J59" i="6"/>
  <c r="K45" i="6"/>
  <c r="K36" i="6"/>
  <c r="L36" i="6" s="1"/>
  <c r="M36" i="6" s="1"/>
  <c r="N36" i="6" s="1"/>
  <c r="K27" i="6"/>
  <c r="K14" i="6"/>
  <c r="L8" i="6"/>
  <c r="L14" i="6"/>
  <c r="K38" i="6"/>
  <c r="K20" i="6"/>
  <c r="L20" i="6" s="1"/>
  <c r="L18" i="6"/>
  <c r="M18" i="6" s="1"/>
  <c r="N18" i="6" s="1"/>
  <c r="K11" i="6"/>
  <c r="L11" i="6" s="1"/>
  <c r="M11" i="6" s="1"/>
  <c r="N11" i="6" s="1"/>
  <c r="K2" i="6"/>
  <c r="K51" i="6"/>
  <c r="L47" i="6"/>
  <c r="L38" i="6"/>
  <c r="L25" i="6"/>
  <c r="M25" i="6" s="1"/>
  <c r="K13" i="6"/>
  <c r="M8" i="6"/>
  <c r="N8" i="6" s="1"/>
  <c r="M42" i="6"/>
  <c r="N42" i="6" s="1"/>
  <c r="N9" i="6"/>
  <c r="N34" i="6"/>
  <c r="L52" i="6"/>
  <c r="M52" i="6" s="1"/>
  <c r="N52" i="6" s="1"/>
  <c r="L44" i="6"/>
  <c r="M44" i="6" s="1"/>
  <c r="N44" i="6" s="1"/>
  <c r="L7" i="6"/>
  <c r="N7" i="6" s="1"/>
  <c r="L32" i="6"/>
  <c r="M32" i="6" s="1"/>
  <c r="L31" i="6"/>
  <c r="L21" i="6"/>
  <c r="L15" i="6"/>
  <c r="M15" i="6" s="1"/>
  <c r="N15" i="6" s="1"/>
  <c r="L48" i="6"/>
  <c r="L16" i="6"/>
  <c r="L50" i="6"/>
  <c r="M50" i="6" s="1"/>
  <c r="N50" i="6" s="1"/>
  <c r="L39" i="6"/>
  <c r="M26" i="6"/>
  <c r="N26" i="6" s="1"/>
  <c r="L12" i="6"/>
  <c r="L51" i="6"/>
  <c r="L37" i="6"/>
  <c r="L27" i="6"/>
  <c r="M24" i="6"/>
  <c r="N24" i="6" s="1"/>
  <c r="L22" i="6"/>
  <c r="L10" i="6"/>
  <c r="L35" i="6"/>
  <c r="M20" i="6"/>
  <c r="N20" i="6" s="1"/>
  <c r="M7" i="6"/>
  <c r="M29" i="6"/>
  <c r="N29" i="6" s="1"/>
  <c r="M47" i="6"/>
  <c r="N47" i="6" s="1"/>
  <c r="L45" i="6"/>
  <c r="M21" i="6"/>
  <c r="N21" i="6" s="1"/>
  <c r="L5" i="6"/>
  <c r="M38" i="6"/>
  <c r="N38" i="6" s="1"/>
  <c r="M48" i="6"/>
  <c r="N48" i="6" s="1"/>
  <c r="L30" i="6"/>
  <c r="M16" i="6"/>
  <c r="N16" i="6" s="1"/>
  <c r="M14" i="6"/>
  <c r="N14" i="6" s="1"/>
  <c r="L13" i="6"/>
  <c r="M23" i="6"/>
  <c r="N23" i="6" s="1"/>
  <c r="L43" i="6"/>
  <c r="M40" i="6"/>
  <c r="N40" i="6" s="1"/>
  <c r="M19" i="6"/>
  <c r="N19" i="6" s="1"/>
  <c r="L4" i="6"/>
  <c r="H59" i="6"/>
  <c r="L3" i="6"/>
  <c r="L2" i="6"/>
  <c r="I59" i="6"/>
  <c r="N49" i="6"/>
  <c r="N41" i="6"/>
  <c r="N33" i="6"/>
  <c r="N25" i="6"/>
  <c r="N17" i="6"/>
  <c r="M46" i="6" l="1"/>
  <c r="N46" i="6" s="1"/>
  <c r="M39" i="6"/>
  <c r="N39" i="6" s="1"/>
  <c r="M31" i="6"/>
  <c r="N31" i="6" s="1"/>
  <c r="N32" i="6"/>
  <c r="L60" i="6"/>
  <c r="M4" i="6"/>
  <c r="N4" i="6" s="1"/>
  <c r="M30" i="6"/>
  <c r="N30" i="6" s="1"/>
  <c r="M5" i="6"/>
  <c r="N5" i="6" s="1"/>
  <c r="M35" i="6"/>
  <c r="N35" i="6" s="1"/>
  <c r="M45" i="6"/>
  <c r="N45" i="6"/>
  <c r="M22" i="6"/>
  <c r="N22" i="6" s="1"/>
  <c r="M43" i="6"/>
  <c r="N43" i="6"/>
  <c r="M27" i="6"/>
  <c r="N27" i="6" s="1"/>
  <c r="M37" i="6"/>
  <c r="N37" i="6" s="1"/>
  <c r="M12" i="6"/>
  <c r="N12" i="6" s="1"/>
  <c r="M13" i="6"/>
  <c r="N13" i="6" s="1"/>
  <c r="L59" i="6"/>
  <c r="M2" i="6"/>
  <c r="N2" i="6" s="1"/>
  <c r="M3" i="6"/>
  <c r="N3" i="6" s="1"/>
  <c r="M10" i="6"/>
  <c r="N10" i="6" s="1"/>
  <c r="M51" i="6"/>
  <c r="N51" i="6" s="1"/>
  <c r="N59" i="6" l="1"/>
  <c r="M59" i="6"/>
  <c r="G72" i="3" l="1"/>
  <c r="E72" i="3"/>
  <c r="H72" i="3"/>
  <c r="I72" i="3"/>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L54" i="3" l="1"/>
  <c r="N54" i="3"/>
  <c r="L67" i="3"/>
  <c r="N67" i="3"/>
  <c r="L59" i="3"/>
  <c r="N59" i="3"/>
  <c r="L51" i="3"/>
  <c r="N51" i="3"/>
  <c r="L69" i="3"/>
  <c r="N69" i="3"/>
  <c r="L60" i="3"/>
  <c r="N60" i="3"/>
  <c r="N58" i="3"/>
  <c r="L58" i="3"/>
  <c r="N62" i="3"/>
  <c r="L62" i="3"/>
  <c r="L68" i="3"/>
  <c r="N68" i="3"/>
  <c r="N66" i="3"/>
  <c r="L66" i="3"/>
  <c r="N65" i="3"/>
  <c r="L65" i="3"/>
  <c r="N57" i="3"/>
  <c r="L57" i="3"/>
  <c r="L70" i="3"/>
  <c r="N70" i="3"/>
  <c r="L53" i="3"/>
  <c r="N53" i="3"/>
  <c r="N64" i="3"/>
  <c r="L64" i="3"/>
  <c r="N56" i="3"/>
  <c r="L56" i="3"/>
  <c r="M56" i="3" s="1"/>
  <c r="Q56" i="3" s="1"/>
  <c r="L61" i="3"/>
  <c r="N61" i="3"/>
  <c r="L52" i="3"/>
  <c r="N52" i="3"/>
  <c r="L63" i="3"/>
  <c r="N63" i="3"/>
  <c r="N55" i="3"/>
  <c r="L55" i="3"/>
  <c r="M70" i="3" l="1"/>
  <c r="Q70" i="3" s="1"/>
  <c r="O70" i="3"/>
  <c r="O56" i="3"/>
  <c r="O69" i="3"/>
  <c r="M69" i="3"/>
  <c r="Q69" i="3" s="1"/>
  <c r="O61" i="3"/>
  <c r="M61" i="3"/>
  <c r="Q61" i="3" s="1"/>
  <c r="M62" i="3"/>
  <c r="Q62" i="3" s="1"/>
  <c r="O62" i="3"/>
  <c r="O54" i="3"/>
  <c r="M54" i="3"/>
  <c r="Q54" i="3" s="1"/>
  <c r="M66" i="3"/>
  <c r="Q66" i="3" s="1"/>
  <c r="O66" i="3"/>
  <c r="O65" i="3"/>
  <c r="M65" i="3"/>
  <c r="Q65" i="3" s="1"/>
  <c r="M67" i="3"/>
  <c r="Q67" i="3" s="1"/>
  <c r="O67" i="3"/>
  <c r="M52" i="3"/>
  <c r="Q52" i="3" s="1"/>
  <c r="O52" i="3"/>
  <c r="M60" i="3"/>
  <c r="Q60" i="3" s="1"/>
  <c r="O60" i="3"/>
  <c r="M68" i="3"/>
  <c r="Q68" i="3" s="1"/>
  <c r="O68" i="3"/>
  <c r="O57" i="3"/>
  <c r="M57" i="3"/>
  <c r="Q57" i="3" s="1"/>
  <c r="O63" i="3"/>
  <c r="M63" i="3"/>
  <c r="Q63" i="3" s="1"/>
  <c r="O51" i="3"/>
  <c r="M51" i="3"/>
  <c r="Q51" i="3" s="1"/>
  <c r="O59" i="3"/>
  <c r="M59" i="3"/>
  <c r="Q59" i="3" s="1"/>
  <c r="M64" i="3"/>
  <c r="Q64" i="3" s="1"/>
  <c r="O64" i="3"/>
  <c r="M53" i="3"/>
  <c r="Q53" i="3" s="1"/>
  <c r="O53" i="3"/>
  <c r="O55" i="3"/>
  <c r="M55" i="3"/>
  <c r="Q55" i="3" s="1"/>
  <c r="M58" i="3"/>
  <c r="Q58" i="3" s="1"/>
  <c r="O58" i="3"/>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2" i="1"/>
  <c r="J48" i="3" l="1"/>
  <c r="K48" i="3" s="1"/>
  <c r="J46" i="3"/>
  <c r="K46" i="3" s="1"/>
  <c r="J45" i="3"/>
  <c r="K45" i="3" s="1"/>
  <c r="J44" i="3"/>
  <c r="K44" i="3" s="1"/>
  <c r="J43" i="3"/>
  <c r="K43" i="3" s="1"/>
  <c r="J40" i="3"/>
  <c r="K40" i="3" s="1"/>
  <c r="J39" i="3"/>
  <c r="K39" i="3" s="1"/>
  <c r="J38" i="3"/>
  <c r="K38" i="3" s="1"/>
  <c r="J36" i="3"/>
  <c r="K36" i="3" s="1"/>
  <c r="J35" i="3"/>
  <c r="K35" i="3" s="1"/>
  <c r="J30" i="3"/>
  <c r="K30" i="3" s="1"/>
  <c r="J28" i="3"/>
  <c r="K28" i="3" s="1"/>
  <c r="J27" i="3"/>
  <c r="K27" i="3" s="1"/>
  <c r="J26" i="3"/>
  <c r="K26" i="3" s="1"/>
  <c r="J23" i="3"/>
  <c r="K23" i="3" s="1"/>
  <c r="J21" i="3"/>
  <c r="K21" i="3" s="1"/>
  <c r="J20" i="3"/>
  <c r="K20" i="3" s="1"/>
  <c r="J15" i="3"/>
  <c r="K15" i="3" s="1"/>
  <c r="J13" i="3"/>
  <c r="K13" i="3" s="1"/>
  <c r="J12" i="3"/>
  <c r="K12" i="3" s="1"/>
  <c r="J11" i="3"/>
  <c r="K11" i="3" s="1"/>
  <c r="J10" i="3"/>
  <c r="K10" i="3" s="1"/>
  <c r="J7" i="3"/>
  <c r="K7" i="3" s="1"/>
  <c r="J5" i="3"/>
  <c r="K5" i="3" s="1"/>
  <c r="J4" i="3"/>
  <c r="K4" i="3" s="1"/>
  <c r="F30" i="1"/>
  <c r="F49" i="1"/>
  <c r="F32" i="1"/>
  <c r="F26" i="1"/>
  <c r="F28" i="1"/>
  <c r="F27" i="1"/>
  <c r="F22" i="1"/>
  <c r="F15" i="1"/>
  <c r="F47" i="1"/>
  <c r="F54" i="1"/>
  <c r="F33" i="1"/>
  <c r="F9" i="1"/>
  <c r="F53" i="1"/>
  <c r="F18" i="1"/>
  <c r="F24" i="1"/>
  <c r="F2" i="1"/>
  <c r="F38" i="1"/>
  <c r="F55" i="1"/>
  <c r="F13" i="1"/>
  <c r="F7" i="1"/>
  <c r="F35" i="1"/>
  <c r="F44" i="1"/>
  <c r="F50" i="1"/>
  <c r="F12" i="1"/>
  <c r="F29" i="1"/>
  <c r="F46" i="1"/>
  <c r="F20" i="1"/>
  <c r="F21" i="1"/>
  <c r="F39" i="1"/>
  <c r="F11" i="1"/>
  <c r="F68" i="1"/>
  <c r="F14" i="1"/>
  <c r="F16" i="1"/>
  <c r="F36" i="1"/>
  <c r="F56" i="1"/>
  <c r="F57" i="1"/>
  <c r="F6" i="1"/>
  <c r="F19" i="1"/>
  <c r="F5" i="1"/>
  <c r="F64" i="1"/>
  <c r="F40" i="1"/>
  <c r="F60" i="1"/>
  <c r="F3" i="1"/>
  <c r="F10" i="1"/>
  <c r="F23" i="1"/>
  <c r="F41" i="1"/>
  <c r="F59" i="1"/>
  <c r="F31" i="1"/>
  <c r="F17" i="1"/>
  <c r="F58" i="1"/>
  <c r="F63" i="1"/>
  <c r="F48" i="1"/>
  <c r="F25" i="1"/>
  <c r="F62" i="1"/>
  <c r="F69" i="1"/>
  <c r="F4" i="1"/>
  <c r="F42" i="1"/>
  <c r="F51" i="1"/>
  <c r="F52" i="1"/>
  <c r="F67" i="1"/>
  <c r="F66" i="1"/>
  <c r="F65" i="1"/>
  <c r="F34" i="1"/>
  <c r="F37" i="1"/>
  <c r="F61" i="1"/>
  <c r="F8" i="1"/>
  <c r="L21" i="3" l="1"/>
  <c r="N21" i="3"/>
  <c r="L43" i="3"/>
  <c r="N43" i="3"/>
  <c r="L5" i="3"/>
  <c r="N5" i="3"/>
  <c r="N7" i="3"/>
  <c r="L7" i="3"/>
  <c r="N10" i="3"/>
  <c r="L10" i="3"/>
  <c r="L11" i="3"/>
  <c r="N11" i="3"/>
  <c r="L28" i="3"/>
  <c r="N28" i="3"/>
  <c r="L44" i="3"/>
  <c r="N44" i="3"/>
  <c r="L38" i="3"/>
  <c r="N38" i="3"/>
  <c r="N23" i="3"/>
  <c r="L23" i="3"/>
  <c r="N40" i="3"/>
  <c r="L40" i="3"/>
  <c r="L12" i="3"/>
  <c r="N12" i="3"/>
  <c r="L13" i="3"/>
  <c r="N13" i="3"/>
  <c r="L30" i="3"/>
  <c r="N30" i="3"/>
  <c r="L45" i="3"/>
  <c r="N45" i="3"/>
  <c r="L26" i="3"/>
  <c r="N26" i="3"/>
  <c r="L15" i="3"/>
  <c r="N15" i="3"/>
  <c r="L35" i="3"/>
  <c r="N35" i="3"/>
  <c r="N46" i="3"/>
  <c r="L46" i="3"/>
  <c r="L39" i="3"/>
  <c r="N39" i="3"/>
  <c r="L27" i="3"/>
  <c r="N27" i="3"/>
  <c r="L4" i="3"/>
  <c r="N4" i="3"/>
  <c r="L20" i="3"/>
  <c r="N20" i="3"/>
  <c r="L36" i="3"/>
  <c r="N36" i="3"/>
  <c r="N48" i="3"/>
  <c r="L48" i="3"/>
  <c r="J3" i="3"/>
  <c r="K3" i="3" s="1"/>
  <c r="J14" i="3"/>
  <c r="K14" i="3" s="1"/>
  <c r="J16" i="3"/>
  <c r="K16" i="3" s="1"/>
  <c r="J18" i="3"/>
  <c r="K18" i="3" s="1"/>
  <c r="J25" i="3"/>
  <c r="K25" i="3" s="1"/>
  <c r="J32" i="3"/>
  <c r="K32" i="3" s="1"/>
  <c r="J41" i="3"/>
  <c r="K41" i="3" s="1"/>
  <c r="J19" i="3"/>
  <c r="K19" i="3" s="1"/>
  <c r="J37" i="3"/>
  <c r="K37" i="3" s="1"/>
  <c r="J42" i="3"/>
  <c r="K42" i="3" s="1"/>
  <c r="J49" i="3"/>
  <c r="K49" i="3" s="1"/>
  <c r="J6" i="3"/>
  <c r="K6" i="3" s="1"/>
  <c r="J8" i="3"/>
  <c r="K8" i="3" s="1"/>
  <c r="J17" i="3"/>
  <c r="K17" i="3" s="1"/>
  <c r="J33" i="3"/>
  <c r="K33" i="3" s="1"/>
  <c r="J47" i="3"/>
  <c r="K47" i="3" s="1"/>
  <c r="J24" i="3"/>
  <c r="K24" i="3" s="1"/>
  <c r="J31" i="3"/>
  <c r="K31" i="3" s="1"/>
  <c r="J50" i="3"/>
  <c r="K50" i="3" s="1"/>
  <c r="J9" i="3"/>
  <c r="K9" i="3" s="1"/>
  <c r="J22" i="3"/>
  <c r="K22" i="3" s="1"/>
  <c r="J29" i="3"/>
  <c r="K29" i="3" s="1"/>
  <c r="J34" i="3"/>
  <c r="K34" i="3" s="1"/>
  <c r="N25" i="3" l="1"/>
  <c r="L25" i="3"/>
  <c r="N9" i="3"/>
  <c r="L9" i="3"/>
  <c r="N6" i="3"/>
  <c r="L6" i="3"/>
  <c r="N18" i="3"/>
  <c r="L18" i="3"/>
  <c r="N8" i="3"/>
  <c r="L8" i="3"/>
  <c r="N49" i="3"/>
  <c r="L49" i="3"/>
  <c r="N42" i="3"/>
  <c r="L42" i="3"/>
  <c r="N14" i="3"/>
  <c r="L14" i="3"/>
  <c r="L22" i="3"/>
  <c r="N22" i="3"/>
  <c r="N16" i="3"/>
  <c r="L16" i="3"/>
  <c r="N24" i="3"/>
  <c r="L24" i="3"/>
  <c r="L37" i="3"/>
  <c r="N37" i="3"/>
  <c r="L3" i="3"/>
  <c r="N3" i="3"/>
  <c r="L29" i="3"/>
  <c r="N29" i="3"/>
  <c r="N31" i="3"/>
  <c r="L31" i="3"/>
  <c r="N47" i="3"/>
  <c r="L47" i="3"/>
  <c r="L19" i="3"/>
  <c r="N19" i="3"/>
  <c r="N17" i="3"/>
  <c r="L17" i="3"/>
  <c r="N50" i="3"/>
  <c r="L50" i="3"/>
  <c r="N34" i="3"/>
  <c r="L34" i="3"/>
  <c r="N33" i="3"/>
  <c r="L33" i="3"/>
  <c r="N41" i="3"/>
  <c r="L41" i="3"/>
  <c r="N32" i="3"/>
  <c r="L32" i="3"/>
  <c r="O47" i="3"/>
  <c r="M26" i="3"/>
  <c r="Q26" i="3" s="1"/>
  <c r="O26" i="3"/>
  <c r="M46" i="3" l="1"/>
  <c r="Q46" i="3" s="1"/>
  <c r="O46" i="3"/>
  <c r="M28" i="3"/>
  <c r="Q28" i="3" s="1"/>
  <c r="O28" i="3"/>
  <c r="M48" i="3"/>
  <c r="Q48" i="3" s="1"/>
  <c r="O48" i="3"/>
  <c r="O12" i="3"/>
  <c r="M12" i="3"/>
  <c r="Q12" i="3" s="1"/>
  <c r="M7" i="3"/>
  <c r="Q7" i="3" s="1"/>
  <c r="O7" i="3"/>
  <c r="M23" i="3"/>
  <c r="Q23" i="3" s="1"/>
  <c r="O23" i="3"/>
  <c r="M15" i="3"/>
  <c r="Q15" i="3" s="1"/>
  <c r="O15" i="3"/>
  <c r="M44" i="3"/>
  <c r="Q44" i="3" s="1"/>
  <c r="O44" i="3"/>
  <c r="M20" i="3"/>
  <c r="Q20" i="3" s="1"/>
  <c r="O20" i="3"/>
  <c r="O45" i="3"/>
  <c r="M45" i="3"/>
  <c r="Q45" i="3" s="1"/>
  <c r="O10" i="3"/>
  <c r="M10" i="3"/>
  <c r="Q10" i="3" s="1"/>
  <c r="M39" i="3"/>
  <c r="Q39" i="3" s="1"/>
  <c r="O39" i="3"/>
  <c r="M36" i="3"/>
  <c r="Q36" i="3" s="1"/>
  <c r="O36" i="3"/>
  <c r="M13" i="3"/>
  <c r="Q13" i="3" s="1"/>
  <c r="O13" i="3"/>
  <c r="M14" i="3"/>
  <c r="Q14" i="3" s="1"/>
  <c r="O14" i="3"/>
  <c r="M21" i="3"/>
  <c r="Q21" i="3" s="1"/>
  <c r="O21" i="3"/>
  <c r="M43" i="3"/>
  <c r="Q43" i="3" s="1"/>
  <c r="O43" i="3"/>
  <c r="M35" i="3"/>
  <c r="Q35" i="3" s="1"/>
  <c r="O35" i="3"/>
  <c r="M38" i="3"/>
  <c r="Q38" i="3" s="1"/>
  <c r="O38" i="3"/>
  <c r="O40" i="3"/>
  <c r="M40" i="3"/>
  <c r="Q40" i="3" s="1"/>
  <c r="M30" i="3"/>
  <c r="Q30" i="3" s="1"/>
  <c r="O30" i="3"/>
  <c r="O5" i="3"/>
  <c r="M5" i="3"/>
  <c r="Q5" i="3" s="1"/>
  <c r="M27" i="3"/>
  <c r="Q27" i="3" s="1"/>
  <c r="O27" i="3"/>
  <c r="M4" i="3"/>
  <c r="Q4" i="3" s="1"/>
  <c r="O4" i="3"/>
  <c r="M47" i="3"/>
  <c r="Q47" i="3" s="1"/>
  <c r="M33" i="3"/>
  <c r="Q33" i="3" s="1"/>
  <c r="O33" i="3"/>
  <c r="M16" i="3"/>
  <c r="Q16" i="3" s="1"/>
  <c r="O16" i="3"/>
  <c r="M37" i="3"/>
  <c r="Q37" i="3" s="1"/>
  <c r="O37" i="3"/>
  <c r="O19" i="3"/>
  <c r="M29" i="3"/>
  <c r="Q29" i="3" s="1"/>
  <c r="O29" i="3"/>
  <c r="O31" i="3"/>
  <c r="M41" i="3"/>
  <c r="Q41" i="3" s="1"/>
  <c r="O41" i="3"/>
  <c r="M49" i="3"/>
  <c r="Q49" i="3" s="1"/>
  <c r="O49" i="3"/>
  <c r="M8" i="3"/>
  <c r="Q8" i="3" s="1"/>
  <c r="O8" i="3"/>
  <c r="M22" i="3"/>
  <c r="Q22" i="3" s="1"/>
  <c r="O22" i="3"/>
  <c r="M6" i="3"/>
  <c r="Q6" i="3" s="1"/>
  <c r="O6" i="3"/>
  <c r="M42" i="3"/>
  <c r="Q42" i="3" s="1"/>
  <c r="O42" i="3"/>
  <c r="M32" i="3"/>
  <c r="Q32" i="3" s="1"/>
  <c r="O32" i="3"/>
  <c r="M18" i="3"/>
  <c r="Q18" i="3" s="1"/>
  <c r="O18" i="3"/>
  <c r="M24" i="3"/>
  <c r="Q24" i="3" s="1"/>
  <c r="O24" i="3"/>
  <c r="M50" i="3"/>
  <c r="Q50" i="3" s="1"/>
  <c r="O50" i="3"/>
  <c r="M17" i="3"/>
  <c r="Q17" i="3" s="1"/>
  <c r="O17" i="3"/>
  <c r="M34" i="3"/>
  <c r="Q34" i="3" s="1"/>
  <c r="O34" i="3"/>
  <c r="M25" i="3"/>
  <c r="Q25" i="3" s="1"/>
  <c r="O25" i="3"/>
  <c r="M9" i="3"/>
  <c r="Q9" i="3" s="1"/>
  <c r="O9" i="3"/>
  <c r="M3" i="3"/>
  <c r="K72" i="3"/>
  <c r="M31" i="3"/>
  <c r="Q31" i="3" s="1"/>
  <c r="M19" i="3"/>
  <c r="Q19" i="3" s="1"/>
  <c r="Q3" i="3" l="1"/>
  <c r="M11" i="3"/>
  <c r="O11" i="3"/>
  <c r="N72" i="3"/>
  <c r="L72" i="3"/>
  <c r="O3" i="3"/>
  <c r="O72" i="3" s="1"/>
  <c r="M72" i="3" l="1"/>
  <c r="Q11" i="3" l="1"/>
  <c r="Q72" i="3" s="1"/>
  <c r="P72" i="3"/>
</calcChain>
</file>

<file path=xl/sharedStrings.xml><?xml version="1.0" encoding="utf-8"?>
<sst xmlns="http://schemas.openxmlformats.org/spreadsheetml/2006/main" count="1256" uniqueCount="565">
  <si>
    <t>PRIVATE TEACHING HOSPITALS                                                                       Method - Calculated Per Resident Amount (PRA)</t>
  </si>
  <si>
    <t>Stimulus</t>
  </si>
  <si>
    <t>Blended</t>
  </si>
  <si>
    <t xml:space="preserve">Regular </t>
  </si>
  <si>
    <t>Provider Number</t>
  </si>
  <si>
    <t>Name</t>
  </si>
  <si>
    <t>County</t>
  </si>
  <si>
    <t>FYE in SFY 2020</t>
  </si>
  <si>
    <t>2020 Interns and Residents FTEs</t>
  </si>
  <si>
    <t>2020 Per Resident Amount  (PRA)</t>
  </si>
  <si>
    <t>2020 Estimated Hospital Medical Education Cost
(G*H)</t>
  </si>
  <si>
    <t>2020 Total Medicaid Days</t>
  </si>
  <si>
    <t xml:space="preserve"> 2020 Total Hospital Days</t>
  </si>
  <si>
    <t>2020 Percent Medicaid Days (Utilization)</t>
  </si>
  <si>
    <t>2020 Total Medicaid Estimated GME Cost</t>
  </si>
  <si>
    <t>2020
IGT Required (32.91%)</t>
  </si>
  <si>
    <t>2020
Federal Share (67.09%)</t>
  </si>
  <si>
    <t>2020
IGT Required (35.20%)</t>
  </si>
  <si>
    <t>2020
Federal Share (64.80%)</t>
  </si>
  <si>
    <t>2020
IGT Required (39.33%)</t>
  </si>
  <si>
    <t>2020
Federal Share (60.67%)</t>
  </si>
  <si>
    <t>450102</t>
  </si>
  <si>
    <t>CHRISTUS MOTHER FRANCES HOSP-TYLER</t>
  </si>
  <si>
    <t>SMITH</t>
  </si>
  <si>
    <t>450675</t>
  </si>
  <si>
    <t>MEDICAL CITY ARLINGTON</t>
  </si>
  <si>
    <t>TARRANT</t>
  </si>
  <si>
    <t>453300</t>
  </si>
  <si>
    <t>COOK CHILDRENS MEDICAL CENTER</t>
  </si>
  <si>
    <t>450647</t>
  </si>
  <si>
    <t>MEDICAL CITY DALLAS</t>
  </si>
  <si>
    <t>DALLAS</t>
  </si>
  <si>
    <t>450638</t>
  </si>
  <si>
    <t>HOUSTON NORTHWEST MEDICAL CENTER</t>
  </si>
  <si>
    <t>HARRIS</t>
  </si>
  <si>
    <t>450135</t>
  </si>
  <si>
    <t>TX HLTH HARRIS METHODIST HOSPITAL</t>
  </si>
  <si>
    <t>450002</t>
  </si>
  <si>
    <t>THE HOSPITALS OF PROVIDENCE - MEMORI</t>
  </si>
  <si>
    <t>EL PASO</t>
  </si>
  <si>
    <t>450058</t>
  </si>
  <si>
    <t>BAPTIST HEALTH SYSTEM</t>
  </si>
  <si>
    <t>BEXAR</t>
  </si>
  <si>
    <t>450697</t>
  </si>
  <si>
    <t>SOUTHWEST GENERAL HOSPITAL</t>
  </si>
  <si>
    <t>450324</t>
  </si>
  <si>
    <t>TEXOMA MEDICAL CENTER</t>
  </si>
  <si>
    <t>GRAYSON</t>
  </si>
  <si>
    <t>450200</t>
  </si>
  <si>
    <t>WADLEY REGIONAL MEDICAL CENTER</t>
  </si>
  <si>
    <t>BOWIE</t>
  </si>
  <si>
    <t>450128</t>
  </si>
  <si>
    <t>KNAPP MEDICAL CENTER</t>
  </si>
  <si>
    <t>HIDALGO</t>
  </si>
  <si>
    <t>450388</t>
  </si>
  <si>
    <t>METHODIST HOSPITAL</t>
  </si>
  <si>
    <t>450042</t>
  </si>
  <si>
    <t>ASCENSION PROVIDENCE</t>
  </si>
  <si>
    <t>MC LENNAN</t>
  </si>
  <si>
    <t>450424</t>
  </si>
  <si>
    <t>SAN JACINTO METHODIST HOSPITAL</t>
  </si>
  <si>
    <t>450801</t>
  </si>
  <si>
    <t>CHRISTUS ST MICHAEL</t>
  </si>
  <si>
    <t>450083</t>
  </si>
  <si>
    <t>UT HEALTH EAST TEXAS TYLER</t>
  </si>
  <si>
    <t>450644</t>
  </si>
  <si>
    <t>HCA HOUSTON HEALTHCARE WEST</t>
  </si>
  <si>
    <t>450222</t>
  </si>
  <si>
    <t>CONROE REGIONAL MEDICAL CENTER</t>
  </si>
  <si>
    <t>MONTGOMERY</t>
  </si>
  <si>
    <t>450231</t>
  </si>
  <si>
    <t>BAPTIST SAINT ANTHONYS HOSPITAL</t>
  </si>
  <si>
    <t>POTTER</t>
  </si>
  <si>
    <t>450040</t>
  </si>
  <si>
    <t>COVENANT MEDICAL CENTER</t>
  </si>
  <si>
    <t>LUBBOCK</t>
  </si>
  <si>
    <t>450723</t>
  </si>
  <si>
    <t>METHODIST CHARLTON MEDICAL CENTER</t>
  </si>
  <si>
    <t>450101</t>
  </si>
  <si>
    <t>HILLCREST BAPTIST MEDICAL CENTER</t>
  </si>
  <si>
    <t>453025</t>
  </si>
  <si>
    <t>MEMORIAL HERMANN TIRR</t>
  </si>
  <si>
    <t>450032</t>
  </si>
  <si>
    <t>GOOD SHEPHERD MEDICAL CENTER</t>
  </si>
  <si>
    <t>GREGG</t>
  </si>
  <si>
    <t>450035</t>
  </si>
  <si>
    <t>ST JOSEPH MEDICAL CENTER</t>
  </si>
  <si>
    <t>450033</t>
  </si>
  <si>
    <t>VALLEY BAPTIST MEDICAL CENTER</t>
  </si>
  <si>
    <t>CAMERON</t>
  </si>
  <si>
    <t>450203</t>
  </si>
  <si>
    <t>MEDICAL CITY WEATHERFORD</t>
  </si>
  <si>
    <t>PARKER</t>
  </si>
  <si>
    <t>450011</t>
  </si>
  <si>
    <t>ST. JOSEPH REGIONAL HEALTH CENTER</t>
  </si>
  <si>
    <t>BRAZOS</t>
  </si>
  <si>
    <t>450788</t>
  </si>
  <si>
    <t>CORPUS CHRISTI MEDICAL CENTER</t>
  </si>
  <si>
    <t>NUECES</t>
  </si>
  <si>
    <t>450029</t>
  </si>
  <si>
    <t>LAREDO MEDICAL CENTER</t>
  </si>
  <si>
    <t>WEBB</t>
  </si>
  <si>
    <t>450056</t>
  </si>
  <si>
    <t>ASCENSION SETON MEDICAL CENTER</t>
  </si>
  <si>
    <t>TRAVIS</t>
  </si>
  <si>
    <t>453315</t>
  </si>
  <si>
    <t>CHILDRENS HOSPITAL OF SAN ANTONIO</t>
  </si>
  <si>
    <t>450147</t>
  </si>
  <si>
    <t>DETAR HEALTHCARE SYSTEMS</t>
  </si>
  <si>
    <t>VICTORIA</t>
  </si>
  <si>
    <t>450462</t>
  </si>
  <si>
    <t>TEXAS HEALTH DALLAS</t>
  </si>
  <si>
    <t>670034</t>
  </si>
  <si>
    <t>ROUND ROCK HOSPITAL</t>
  </si>
  <si>
    <t>WILLIAMSON</t>
  </si>
  <si>
    <t>450107</t>
  </si>
  <si>
    <t>LAS PALMAS MEDICAL CENTER</t>
  </si>
  <si>
    <t>450237</t>
  </si>
  <si>
    <t>SANTA ROSA HEALTHCARE</t>
  </si>
  <si>
    <t>450672</t>
  </si>
  <si>
    <t>MEDICAL CITY FORT WORTH</t>
  </si>
  <si>
    <t>450775</t>
  </si>
  <si>
    <t>HCA HOUSTON HEALTHCARE KINGWOOD</t>
  </si>
  <si>
    <t>453301</t>
  </si>
  <si>
    <t>DRISCOLL CHILDRENS HOSPITAL</t>
  </si>
  <si>
    <t>450046</t>
  </si>
  <si>
    <t>CHRISTUS SPOHN HOSP CORPUS CHRISTI</t>
  </si>
  <si>
    <t>450184</t>
  </si>
  <si>
    <t>MEMORIAL HERMANN  HOSPITAL SYS</t>
  </si>
  <si>
    <t>450124</t>
  </si>
  <si>
    <t>DELL SETON MEDICAL CENTER AT THE UNI</t>
  </si>
  <si>
    <t>450209</t>
  </si>
  <si>
    <t>NORTHWEST TEXAS HOSPITAL</t>
  </si>
  <si>
    <t>450051</t>
  </si>
  <si>
    <t>METHODIST DALLAS MEDICAL CENTER</t>
  </si>
  <si>
    <t>450869</t>
  </si>
  <si>
    <t>DOCTORS HOSPITAL AT RENAISSANCE</t>
  </si>
  <si>
    <t>450021</t>
  </si>
  <si>
    <t>BAYLOR UNIVERSITY MEDICAL CTR</t>
  </si>
  <si>
    <t>450193</t>
  </si>
  <si>
    <t>CHI ST LUKES HEALTH BAYLOR MED CTR</t>
  </si>
  <si>
    <t>453302</t>
  </si>
  <si>
    <t>CHILDRENS MEDICAL CENTER OF DALLAS</t>
  </si>
  <si>
    <t>453304</t>
  </si>
  <si>
    <t>TEXAS CHILDRENS HOSPITAL</t>
  </si>
  <si>
    <t>450068</t>
  </si>
  <si>
    <t>MEMORIAL HERMANN TEXAS MEDICAL CNTR</t>
  </si>
  <si>
    <t>450054</t>
  </si>
  <si>
    <t>SCOTT AND WHITE MEMORIAL HOSPITAL</t>
  </si>
  <si>
    <t>BELL</t>
  </si>
  <si>
    <t>450119</t>
  </si>
  <si>
    <t>SOUTH TEXAS HEALTH SYSTEM</t>
  </si>
  <si>
    <t>450537</t>
  </si>
  <si>
    <t>METHODIST RICHARDSON MEDICAL CENTER</t>
  </si>
  <si>
    <t>450617</t>
  </si>
  <si>
    <t>CLEAR LAKE REG MED CTR</t>
  </si>
  <si>
    <t>450804</t>
  </si>
  <si>
    <t>TEXAS ORTHOPEDIC HOSPITA</t>
  </si>
  <si>
    <t>450780</t>
  </si>
  <si>
    <t>METHODIST AMBULATORY SURGICAL HOSPIT</t>
  </si>
  <si>
    <t>450674</t>
  </si>
  <si>
    <t>WOMANS HOSPITAL OF TEXAS</t>
  </si>
  <si>
    <t>670055</t>
  </si>
  <si>
    <t>METHODIST STONE OAK HOSPITAL</t>
  </si>
  <si>
    <t>453035</t>
  </si>
  <si>
    <t>SA WARM SPRINGS REHAB HOSP</t>
  </si>
  <si>
    <t>450851</t>
  </si>
  <si>
    <t>BAYLOR HEART AND VASCULAR HOSPITAL</t>
  </si>
  <si>
    <t>450651</t>
  </si>
  <si>
    <t>MEDICAL CITY PLANO</t>
  </si>
  <si>
    <t>COLLIN</t>
  </si>
  <si>
    <t>453313</t>
  </si>
  <si>
    <t>EL PASO CHILDRENS HOSPITAL</t>
  </si>
  <si>
    <t>453310</t>
  </si>
  <si>
    <t>DELL CHILDRENS MEDICAL CENTER</t>
  </si>
  <si>
    <t>453306</t>
  </si>
  <si>
    <t>COVENANT CHILDRENS HOSPITAL</t>
  </si>
  <si>
    <t>450358</t>
  </si>
  <si>
    <t>THE METHODIST HOSPITAL</t>
  </si>
  <si>
    <t>453036</t>
  </si>
  <si>
    <t>BAYLOR INSTITUTE FOR REHABILITATION</t>
  </si>
  <si>
    <t>Voluntary Nonprofit, Church</t>
  </si>
  <si>
    <t>Private</t>
  </si>
  <si>
    <t>State Fiscal Year (Sept - Aug)</t>
  </si>
  <si>
    <t>Voluntary Nonprofit, Other</t>
  </si>
  <si>
    <t>State Share</t>
  </si>
  <si>
    <t>Federal Share</t>
  </si>
  <si>
    <t>Proprietary, Individual</t>
  </si>
  <si>
    <t>FMAP</t>
  </si>
  <si>
    <t>EFMAP</t>
  </si>
  <si>
    <t>Proprietary, Corporation</t>
  </si>
  <si>
    <t>2003</t>
  </si>
  <si>
    <t>Proprietary, Partnership</t>
  </si>
  <si>
    <t>2004</t>
  </si>
  <si>
    <t>Proprietary, Other</t>
  </si>
  <si>
    <t>2005</t>
  </si>
  <si>
    <t>Governmental, Federal</t>
  </si>
  <si>
    <t>Public</t>
  </si>
  <si>
    <t>2006</t>
  </si>
  <si>
    <t>Governmental, City-County</t>
  </si>
  <si>
    <t>2007</t>
  </si>
  <si>
    <t>Governmental, County</t>
  </si>
  <si>
    <t>2008</t>
  </si>
  <si>
    <t>Governmental, State</t>
  </si>
  <si>
    <t>Public/SGO</t>
  </si>
  <si>
    <t>2009¹</t>
  </si>
  <si>
    <t>Governmental, Hospital District</t>
  </si>
  <si>
    <t>2010¹</t>
  </si>
  <si>
    <t>Governmental, City</t>
  </si>
  <si>
    <t>2011¹</t>
  </si>
  <si>
    <t>Governmental, Other</t>
  </si>
  <si>
    <t>2012</t>
  </si>
  <si>
    <t>2013</t>
  </si>
  <si>
    <t>2014</t>
  </si>
  <si>
    <t>2015</t>
  </si>
  <si>
    <t>2016²</t>
  </si>
  <si>
    <t>2017²</t>
  </si>
  <si>
    <t>2018²</t>
  </si>
  <si>
    <t>Created on 11/8/2021 7:49:05 AM Copyright (c) 2020 Health Financial Systems. All Rights Reserved.</t>
  </si>
  <si>
    <t>2019²</t>
  </si>
  <si>
    <t>Fiscal year: FYE 10/1/2019 to 10/31/2021</t>
  </si>
  <si>
    <t>2020²</t>
  </si>
  <si>
    <t>Only reports CMS published on: ALL</t>
  </si>
  <si>
    <t>2020 Stimulus² ³</t>
  </si>
  <si>
    <t>Providers selected type: All</t>
  </si>
  <si>
    <t>2020 Blended² ³</t>
  </si>
  <si>
    <t>Report selected: FYB 2017 S10</t>
  </si>
  <si>
    <t>2021</t>
  </si>
  <si>
    <t>Report type: 2552-10</t>
  </si>
  <si>
    <t>2021 Stimulus³</t>
  </si>
  <si>
    <t>Reports found: 84</t>
  </si>
  <si>
    <t>2021 Blended³</t>
  </si>
  <si>
    <t>Reports to process: 84</t>
  </si>
  <si>
    <t>2022</t>
  </si>
  <si>
    <t>State: TX</t>
  </si>
  <si>
    <t>2022 Stimulus³</t>
  </si>
  <si>
    <t>Status: Most Recent</t>
  </si>
  <si>
    <t>2022 Blended³</t>
  </si>
  <si>
    <t>Teaching: Yes</t>
  </si>
  <si>
    <t>2023</t>
  </si>
  <si>
    <t>Type of extract: Custom Data Sets</t>
  </si>
  <si>
    <t>2024</t>
  </si>
  <si>
    <t>Utilization: Full</t>
  </si>
  <si>
    <t>2025</t>
  </si>
  <si>
    <t>2026</t>
  </si>
  <si>
    <t>S-2 Part I L20.00 C1.00</t>
  </si>
  <si>
    <t>S-2 Part I L20.00 C2.00</t>
  </si>
  <si>
    <t>S-2 Part I L3.00 C2.00</t>
  </si>
  <si>
    <t>S-2 Part I L3.00 C1.00</t>
  </si>
  <si>
    <t>S-2 Part I L21.00 C1.00</t>
  </si>
  <si>
    <t>Ownership</t>
  </si>
  <si>
    <t>County S-2 Part I L2.00 C4.00</t>
  </si>
  <si>
    <t>Total GME Expenses
B Part I L202.00 C25.00</t>
  </si>
  <si>
    <t>Number of Interns
S-3 Part I L14.00 C9.00</t>
  </si>
  <si>
    <t>Medicare Per Resident Amount
E-4 Title XVIII Hospital L18.00 C1.00</t>
  </si>
  <si>
    <t>Medicare Per Resident Amount
E-4 Title XVIII Hospital L18.00 C2.00</t>
  </si>
  <si>
    <t>Medicaid MCO Days S-3 Part I L2.00 C7.00</t>
  </si>
  <si>
    <t>Medicaid Acute Days
S-3 Part I L14.00 C7.00</t>
  </si>
  <si>
    <t xml:space="preserve">
Medicaid Observation Days S-3 Part I L28.00 C7.00</t>
  </si>
  <si>
    <t>Medicaid Labor and Delivery Days
S-3 Part I L32.00 C7.00</t>
  </si>
  <si>
    <t>Total Medicaid Days</t>
  </si>
  <si>
    <t>Total Hospital Acute Days
S-3 Part I L14.00 C8.00</t>
  </si>
  <si>
    <t>Total hospital Observation Days
S-3 Part I L28.00 C8.00</t>
  </si>
  <si>
    <t xml:space="preserve">Total Hospital Labor and Delivery Days
S-3 Part I L32.00 C8.00
</t>
  </si>
  <si>
    <t>Total Hospital Days</t>
  </si>
  <si>
    <t>IMe Add On</t>
  </si>
  <si>
    <t>Yes</t>
  </si>
  <si>
    <t>Children's</t>
  </si>
  <si>
    <t>None</t>
  </si>
  <si>
    <t>Privately ran, Publicly Owned</t>
  </si>
  <si>
    <t>Actual Regulation Market Basket Updates</t>
  </si>
  <si>
    <t>Note:  The market basket update reflects the projected market basket increase available at the time of the final rule publication. Apart from the productivity adjustment, these updates do not reflect any any further adjustments that may be statutorily required.  Please check the final regulations for final payment update factors.</t>
  </si>
  <si>
    <r>
      <t>Inpatient Hospital PPS</t>
    </r>
    <r>
      <rPr>
        <b/>
        <vertAlign val="superscript"/>
        <sz val="12"/>
        <color rgb="FF010000"/>
        <rFont val="Arial"/>
        <family val="2"/>
      </rPr>
      <t>1,2,3</t>
    </r>
  </si>
  <si>
    <t>FY 00</t>
  </si>
  <si>
    <t>FY 01</t>
  </si>
  <si>
    <t>FY 02</t>
  </si>
  <si>
    <t>FY 03</t>
  </si>
  <si>
    <t>FY 04</t>
  </si>
  <si>
    <t>FY 05</t>
  </si>
  <si>
    <t>FY 06</t>
  </si>
  <si>
    <t>FY 07</t>
  </si>
  <si>
    <t>FY 08</t>
  </si>
  <si>
    <t>FY 09</t>
  </si>
  <si>
    <t>FY 10</t>
  </si>
  <si>
    <t>FY 11</t>
  </si>
  <si>
    <t>FY 12</t>
  </si>
  <si>
    <t>FY 13</t>
  </si>
  <si>
    <t>FY 14</t>
  </si>
  <si>
    <t>FY 15</t>
  </si>
  <si>
    <t>FY 16</t>
  </si>
  <si>
    <t>FY 17</t>
  </si>
  <si>
    <t>FY 18</t>
  </si>
  <si>
    <t>FY 19</t>
  </si>
  <si>
    <t>FY 20</t>
  </si>
  <si>
    <t>FY 21</t>
  </si>
  <si>
    <t>FY 22</t>
  </si>
  <si>
    <t>Market Basket Update</t>
  </si>
  <si>
    <t>Productivity Adjustment</t>
  </si>
  <si>
    <t>N/A</t>
  </si>
  <si>
    <t>Market Basket Update less Productivity Adjustment</t>
  </si>
  <si>
    <t>1\ Inpatient Hospital PPS went into effect October 1, 1983.</t>
  </si>
  <si>
    <t>2\ Beginning in FY 2007, hospitals that provide the required quality data will receive the full market basket increase.</t>
  </si>
  <si>
    <t xml:space="preserve">3\ Section 3401 of the Affordable Care Act requires that the IPPS operating market basket update be adjusted by changes in economy-wide productivity for fiscal year 2012 (and each subsequent fiscal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</si>
  <si>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Skilled Nursing Facility PPS</t>
    </r>
    <r>
      <rPr>
        <b/>
        <vertAlign val="superscript"/>
        <sz val="12"/>
        <color rgb="FF010000"/>
        <rFont val="Arial"/>
        <family val="2"/>
      </rPr>
      <t>1,4</t>
    </r>
  </si>
  <si>
    <r>
      <t>FY 04</t>
    </r>
    <r>
      <rPr>
        <b/>
        <vertAlign val="superscript"/>
        <sz val="10"/>
        <color rgb="FF010000"/>
        <rFont val="Arial"/>
        <family val="2"/>
      </rPr>
      <t>2</t>
    </r>
  </si>
  <si>
    <r>
      <t>FY 11</t>
    </r>
    <r>
      <rPr>
        <b/>
        <vertAlign val="superscript"/>
        <sz val="10"/>
        <color rgb="FF010000"/>
        <rFont val="Arial"/>
        <family val="2"/>
      </rPr>
      <t>3</t>
    </r>
  </si>
  <si>
    <r>
      <t>FY 14</t>
    </r>
    <r>
      <rPr>
        <b/>
        <vertAlign val="superscript"/>
        <sz val="10"/>
        <color rgb="FF010000"/>
        <rFont val="Arial"/>
        <family val="2"/>
      </rPr>
      <t>5</t>
    </r>
  </si>
  <si>
    <r>
      <t>FY 16</t>
    </r>
    <r>
      <rPr>
        <b/>
        <vertAlign val="superscript"/>
        <sz val="10"/>
        <color rgb="FF010000"/>
        <rFont val="Arial"/>
        <family val="2"/>
      </rPr>
      <t>6</t>
    </r>
  </si>
  <si>
    <r>
      <t>FY 22</t>
    </r>
    <r>
      <rPr>
        <b/>
        <vertAlign val="superscript"/>
        <sz val="10"/>
        <color rgb="FF010000"/>
        <rFont val="Arial"/>
        <family val="2"/>
      </rPr>
      <t>7</t>
    </r>
  </si>
  <si>
    <t>1\ The Skilled Nursing Facility PPS (SNF) went into effect July 1, 1998.</t>
  </si>
  <si>
    <t>2\ For FY2004, the market basket update was increased due to a forecast error adjustment of 3.26 percent</t>
  </si>
  <si>
    <t>3\ For FY2011, the market basket update was further reduced due to a forecast error adjustment of 0.6 percent; resulting in a final update of 1.7 percent (2.3 - 0.6 = 1.7)</t>
  </si>
  <si>
    <t xml:space="preserve">4\ Section 3401 of the Affordable Care Act requires that the market basket update for SNF's be adjusted by changes in economy-wide productivity for fiscal year 2012 (and each subsequent fiscal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</si>
  <si>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t>5\ For FY2014, the market basket update was further reduced due to a forecast error adjustment of 0.5 percent; resulting in a final update of 1.3 percent (1.8 - 0.5 = 1.3)</t>
  </si>
  <si>
    <t>6\ For FY2016, the market basket update was further reduced due to a forecast error adjustment of 0.6 percent; resulting in a final update of 1.2 percent (1.8 - 0.6 = 1.2)</t>
  </si>
  <si>
    <t>7\ For FY2022, the market basket update was further reduced due to a forecast error adjustment of 0.8 percent; resulting in a final update of 1.2 percent (2.0 - 0.8 = 1.2)</t>
  </si>
  <si>
    <r>
      <t>Home Health Agency PPS</t>
    </r>
    <r>
      <rPr>
        <b/>
        <vertAlign val="superscript"/>
        <sz val="12"/>
        <color rgb="FF010000"/>
        <rFont val="Arial"/>
        <family val="2"/>
      </rPr>
      <t>1,4</t>
    </r>
  </si>
  <si>
    <r>
      <t>FY/CY 04</t>
    </r>
    <r>
      <rPr>
        <b/>
        <vertAlign val="superscript"/>
        <sz val="10"/>
        <color rgb="FF010000"/>
        <rFont val="Arial"/>
        <family val="2"/>
      </rPr>
      <t>2</t>
    </r>
  </si>
  <si>
    <r>
      <t>CY 05</t>
    </r>
    <r>
      <rPr>
        <b/>
        <vertAlign val="superscript"/>
        <sz val="10"/>
        <color rgb="FF010000"/>
        <rFont val="Arial"/>
        <family val="2"/>
      </rPr>
      <t>3</t>
    </r>
  </si>
  <si>
    <t>CY 06</t>
  </si>
  <si>
    <t>CY 07</t>
  </si>
  <si>
    <t>CY 08</t>
  </si>
  <si>
    <t>CY 09</t>
  </si>
  <si>
    <t>CY 10</t>
  </si>
  <si>
    <t>CY 11</t>
  </si>
  <si>
    <t>CY 12</t>
  </si>
  <si>
    <t>CY 13</t>
  </si>
  <si>
    <t>CY 14</t>
  </si>
  <si>
    <t>CY 15</t>
  </si>
  <si>
    <t>CY 16</t>
  </si>
  <si>
    <t>CY 17</t>
  </si>
  <si>
    <t>CY 18</t>
  </si>
  <si>
    <t>CY 19</t>
  </si>
  <si>
    <t>CY 20</t>
  </si>
  <si>
    <t>CY 21</t>
  </si>
  <si>
    <t>1\ Home Health Prospective Payment System (HH PPS) went into effect on October 1, 2000.</t>
  </si>
  <si>
    <t>2\ MMA legislation changed HH PPS from a fiscal year update cycle to a calendar year update cycle (beginning April 1, 2004).</t>
  </si>
  <si>
    <t>3\ CY 2005 was the first full year in which HHAs were reimbursed on a calendar year basis.</t>
  </si>
  <si>
    <t xml:space="preserve">4\ Section 3401 of the Affordable Care Act requires that the market basket update for Home health agencies be adjusted by changes in economy-wide productivity for year 2015 (and each subsequent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</si>
  <si>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Inpatient Hospital Capital PPS</t>
    </r>
    <r>
      <rPr>
        <b/>
        <vertAlign val="superscript"/>
        <sz val="12"/>
        <color rgb="FF010000"/>
        <rFont val="Arial"/>
        <family val="2"/>
      </rPr>
      <t>1</t>
    </r>
  </si>
  <si>
    <t>1\  Inpatient Hospital Capital PPS went into effect October 1, 1991.</t>
  </si>
  <si>
    <r>
      <t>Inpatient Rehabilitation Facility PPS</t>
    </r>
    <r>
      <rPr>
        <b/>
        <vertAlign val="superscript"/>
        <sz val="12"/>
        <color rgb="FF010000"/>
        <rFont val="Arial"/>
        <family val="2"/>
      </rPr>
      <t>1,2</t>
    </r>
  </si>
  <si>
    <t>1\  The Inpatient Rehabilitation Facility PPS went into effect January 1, 2002.</t>
  </si>
  <si>
    <t xml:space="preserve">2\ Section 3401 of the Affordable Care Act requires that the market basket update for Inpatient rehabilitation facilities be adjusted by changes in economy-wide productivity for fiscal year 2012 (and each subsequent fiscal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</si>
  <si>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Long Term Care Hospital PPS</t>
    </r>
    <r>
      <rPr>
        <b/>
        <vertAlign val="superscript"/>
        <sz val="12"/>
        <color rgb="FF010000"/>
        <rFont val="Arial"/>
        <family val="2"/>
      </rPr>
      <t>1,4</t>
    </r>
  </si>
  <si>
    <t>RY 05</t>
  </si>
  <si>
    <t>RY 06</t>
  </si>
  <si>
    <t>RY 07</t>
  </si>
  <si>
    <t>RY 08</t>
  </si>
  <si>
    <r>
      <t>RY 09</t>
    </r>
    <r>
      <rPr>
        <b/>
        <vertAlign val="superscript"/>
        <sz val="10"/>
        <color rgb="FF010000"/>
        <rFont val="Arial"/>
        <family val="2"/>
      </rPr>
      <t>3</t>
    </r>
  </si>
  <si>
    <r>
      <t>FY 10</t>
    </r>
    <r>
      <rPr>
        <b/>
        <vertAlign val="superscript"/>
        <sz val="10"/>
        <color rgb="FF010000"/>
        <rFont val="Arial"/>
        <family val="2"/>
      </rPr>
      <t>3</t>
    </r>
  </si>
  <si>
    <t>1\  The Long Term Care Hospital PPS went into effect October 1, 2002.</t>
  </si>
  <si>
    <t>2\  Beginning FY 2004, the LTC fiscal year runs July 1 to June 30th.</t>
  </si>
  <si>
    <t>3\  RY 2009 reflects a 15-month update for the period July 1, 2008 through September 30, 2009.  For the update period that begins in 2009, that is FY 2010, the annual update period for the LTC PPS switched from a RY that begins on July 1 and goes through June 30 to one that coincides with a Federal fiscal year, that is, that begins on October 1 and goes through September 30.</t>
  </si>
  <si>
    <t xml:space="preserve">4\ Section 3401 of the Affordable Care Act requires that the market basket update for Long-term care facilities be adjusted by changes in economy-wide productivity for fiscal year 2012 (and each subsequent fiscal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</si>
  <si>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Outpatient Hospital PPS</t>
    </r>
    <r>
      <rPr>
        <b/>
        <vertAlign val="superscript"/>
        <sz val="12"/>
        <color rgb="FF010000"/>
        <rFont val="Arial"/>
        <family val="2"/>
      </rPr>
      <t>1,2</t>
    </r>
  </si>
  <si>
    <t>CY 01</t>
  </si>
  <si>
    <t>CY 02</t>
  </si>
  <si>
    <t>CY 03</t>
  </si>
  <si>
    <t>CY 04</t>
  </si>
  <si>
    <t>CY 05</t>
  </si>
  <si>
    <t>1\  Outpatient Hospital PPS went into effect August 1, 2000.</t>
  </si>
  <si>
    <t xml:space="preserve">2\ Section 3401 of the Affordable Care Act requires that the OPPS operating market basket update be adjusted by changes in economy-wide productivity for fiscal year 2012 (and each subsequent fiscal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</si>
  <si>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Medicare Economic Index</t>
    </r>
    <r>
      <rPr>
        <b/>
        <vertAlign val="superscript"/>
        <sz val="12"/>
        <color rgb="FF010000"/>
        <rFont val="Arial"/>
        <family val="2"/>
      </rPr>
      <t>1</t>
    </r>
  </si>
  <si>
    <t>CY 00</t>
  </si>
  <si>
    <r>
      <t>CY 15</t>
    </r>
    <r>
      <rPr>
        <b/>
        <vertAlign val="superscript"/>
        <sz val="10"/>
        <color rgb="FF010000"/>
        <rFont val="Arial"/>
        <family val="2"/>
      </rPr>
      <t>2</t>
    </r>
  </si>
  <si>
    <r>
      <t>CY 16</t>
    </r>
    <r>
      <rPr>
        <b/>
        <vertAlign val="superscript"/>
        <sz val="10"/>
        <color rgb="FF010000"/>
        <rFont val="Arial"/>
        <family val="2"/>
      </rPr>
      <t>3</t>
    </r>
  </si>
  <si>
    <t>1\  The Medicare Economic Index was developed in 1975;  physician payments were updated annually based on the MEI starting in 1992.  The Medicare Economic Index has always included a productivity adjustment.</t>
  </si>
  <si>
    <t>2\ The Medicare Access and CHIP Reauthorization Act of 2015,ended use of the SGR and replaced with defined annual update factors from 2015 through 2025.  https://www.congress.gov/bill/114th-congress/house-bill/2/text</t>
  </si>
  <si>
    <t>3\ The MEI market basket was used to update FQHC PPS payments in CY 2016</t>
  </si>
  <si>
    <r>
      <t>Inpatient Psychiatric Facility PPS</t>
    </r>
    <r>
      <rPr>
        <b/>
        <vertAlign val="superscript"/>
        <sz val="12"/>
        <color rgb="FF010000"/>
        <rFont val="Arial"/>
        <family val="2"/>
      </rPr>
      <t>1,3</t>
    </r>
  </si>
  <si>
    <t>RY 09</t>
  </si>
  <si>
    <t>RY 10</t>
  </si>
  <si>
    <t>RY 11</t>
  </si>
  <si>
    <r>
      <t>RY 12</t>
    </r>
    <r>
      <rPr>
        <b/>
        <vertAlign val="superscript"/>
        <sz val="10"/>
        <color rgb="FF010000"/>
        <rFont val="Arial"/>
        <family val="2"/>
      </rPr>
      <t>2</t>
    </r>
  </si>
  <si>
    <t>1\  The Inpatient Psychiatric Facility PPS went into effect Jan 1st, 2005.</t>
  </si>
  <si>
    <t>2\  RY 2012 represents a 15-month update for the period July 1, 2011 through September 30, 2012.  For the update period that begins in 2012, that is FY 2013, the annual update period for the IPF PPS will switch from a RY that begins on July 1 and goes through June 30 to one that coincides with a Federal fiscal year, that is, that begins on October 1 and goes through September 30.</t>
  </si>
  <si>
    <t xml:space="preserve">3\ Section 3401 of the Affordable Care Act requires that the market basket update for Inpatient psychiatric facilities be adjusted by changes in economy-wide productivity for rate year beginning in 2012 (and each subsequent rate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</si>
  <si>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End Stage Renal Disease Bundled PPS</t>
    </r>
    <r>
      <rPr>
        <b/>
        <vertAlign val="superscript"/>
        <sz val="12"/>
        <color rgb="FF010000"/>
        <rFont val="Arial"/>
        <family val="2"/>
      </rPr>
      <t>1,2</t>
    </r>
  </si>
  <si>
    <t>1\  The ESRD Bundled PPS went into effect Jan 1st, 2011.</t>
  </si>
  <si>
    <t xml:space="preserve">2\ Section 3401 of the Affordable Care Act requires that the market basket update for ESRD facilities be adjusted by changes in economy-wide productivity for calendar year beginning in 2012 (and each subsequent calendar year).  The statute defines the productivity adjustment to be equal to the 10-year moving average of changes in annual economy-wide private nonfarm business multi-factor productivity (as projected by the Secretary for the 10-year period ending with the applicable fiscal year, cost reporting period, or other annual period).  </t>
  </si>
  <si>
    <r>
      <t>Federally Qualified Health Center PPS</t>
    </r>
    <r>
      <rPr>
        <b/>
        <vertAlign val="superscript"/>
        <sz val="12"/>
        <color rgb="FF010000"/>
        <rFont val="Arial"/>
        <family val="2"/>
      </rPr>
      <t>1,2</t>
    </r>
  </si>
  <si>
    <r>
      <t>Market Basket Update</t>
    </r>
    <r>
      <rPr>
        <vertAlign val="superscript"/>
        <sz val="10"/>
        <color rgb="FF010000"/>
        <rFont val="Arial"/>
        <family val="2"/>
      </rPr>
      <t>2</t>
    </r>
  </si>
  <si>
    <r>
      <t>Productivity Adjustment</t>
    </r>
    <r>
      <rPr>
        <vertAlign val="superscript"/>
        <sz val="10"/>
        <color rgb="FF010000"/>
        <rFont val="Arial"/>
        <family val="2"/>
      </rPr>
      <t>2</t>
    </r>
  </si>
  <si>
    <t>1\  The FQHC PPS went into effect on October 1, 2015.  In CY 2016, the FQHC base rate was updated by the MEI.  Beginning in CY 2017 the FQHC base rate is updated by the FQHC market basket less productivity.</t>
  </si>
  <si>
    <t>2\ Update based on most recent historical data.</t>
  </si>
  <si>
    <t>Texas
Provider
Identifier</t>
  </si>
  <si>
    <t>National Provider Identifier</t>
  </si>
  <si>
    <t>Medicare
Number</t>
  </si>
  <si>
    <t>Hospital Name</t>
  </si>
  <si>
    <t>Cost Report
FYE</t>
  </si>
  <si>
    <t>Total Resident FTEs
(S-3, Part 1)</t>
  </si>
  <si>
    <t>Per Resident Amount
(E-4)</t>
  </si>
  <si>
    <t>Total GME Cost</t>
  </si>
  <si>
    <t>Total Medicaid Days
(S-3, Part 1)</t>
  </si>
  <si>
    <t>Total Hospital Days
(S-3, Part 1)</t>
  </si>
  <si>
    <t>Percent Medicaid Days (Utilization)</t>
  </si>
  <si>
    <t>Total Medicaid GME Cost</t>
  </si>
  <si>
    <t>2019
IGT Required (41.92%)</t>
  </si>
  <si>
    <t>2019
Federal Share (58.08%)</t>
  </si>
  <si>
    <t>139135109</t>
  </si>
  <si>
    <t>1477643690</t>
  </si>
  <si>
    <t>137805107</t>
  </si>
  <si>
    <t>1982666111</t>
  </si>
  <si>
    <t>MEMORIAL HERMANN HOSPITAL SYSTEM - MHHS HERMANN HOSPITAL</t>
  </si>
  <si>
    <t>1477516466</t>
  </si>
  <si>
    <t>186599001</t>
  </si>
  <si>
    <t>1447355771</t>
  </si>
  <si>
    <t>DELL CHILDRENS MEDICAL CENTER OF CENTRAL TEXAS</t>
  </si>
  <si>
    <t>020844903</t>
  </si>
  <si>
    <t>1821004151</t>
  </si>
  <si>
    <t>CHRISTUS SANTA ROSA - CHILDRENS HOSPITAL OF SAN ANTONIO</t>
  </si>
  <si>
    <t>132812205</t>
  </si>
  <si>
    <t>1548286172</t>
  </si>
  <si>
    <t>139485012</t>
  </si>
  <si>
    <t>1447250253</t>
  </si>
  <si>
    <t>BAYLOR UNIVERSITY MEDICAL CENTER</t>
  </si>
  <si>
    <t>181706601</t>
  </si>
  <si>
    <t>1154361475</t>
  </si>
  <si>
    <t>137265806</t>
  </si>
  <si>
    <t>1093810327</t>
  </si>
  <si>
    <t>DELL SETON MEDICAL CENTER AT UT</t>
  </si>
  <si>
    <t>127300503</t>
  </si>
  <si>
    <t>1184622847</t>
  </si>
  <si>
    <t>CHI BAYLOR ST LUKES HOSPITAL</t>
  </si>
  <si>
    <t>135032405</t>
  </si>
  <si>
    <t>1528027786</t>
  </si>
  <si>
    <t>METHODIST MEDICAL CENTER - METHODIST DALLAS MEDICAL CENTER</t>
  </si>
  <si>
    <t>137949705</t>
  </si>
  <si>
    <t>1548387418</t>
  </si>
  <si>
    <t>020973601</t>
  </si>
  <si>
    <t>1508810573</t>
  </si>
  <si>
    <t>BAY AREA HEALTHCARE GROUP, LTD - CORPUS CHRISTI MEDICAL CENTER</t>
  </si>
  <si>
    <t>020834001</t>
  </si>
  <si>
    <t>1730132234</t>
  </si>
  <si>
    <t>MEMORIAL HERMANN HOSPITAL SYSTEM - MHHS THE WOODLANDS HOSPITAL</t>
  </si>
  <si>
    <t>138910807</t>
  </si>
  <si>
    <t>1194743013</t>
  </si>
  <si>
    <t>094154402</t>
  </si>
  <si>
    <t>1124074273</t>
  </si>
  <si>
    <t>METHODIST HOSPITAL - SAN ANTONIO</t>
  </si>
  <si>
    <t>094095902</t>
  </si>
  <si>
    <t>1689663007</t>
  </si>
  <si>
    <t>450037</t>
  </si>
  <si>
    <t>GOOD SHEPHERD MEDICAL CENTER - LONGVIEW</t>
  </si>
  <si>
    <t>121775403</t>
  </si>
  <si>
    <t>1689641680</t>
  </si>
  <si>
    <t>CHRISTUS SPOHN HOSPITAL CORPUS CHRISTI</t>
  </si>
  <si>
    <t>126679303</t>
  </si>
  <si>
    <t>1275592131</t>
  </si>
  <si>
    <t>METHODIST HOSPITAL OF DALLAS-METHODIST CHARLTON MEDICAL CENTER</t>
  </si>
  <si>
    <t>020908201</t>
  </si>
  <si>
    <t>1396779948</t>
  </si>
  <si>
    <t>TEXAS PRESBYTERIAN HOSPITAL OF DALLAS</t>
  </si>
  <si>
    <t>292096901</t>
  </si>
  <si>
    <t>1154618742</t>
  </si>
  <si>
    <t>VALLEY BAPTIST MEDICAL CENTER HARLINGEN</t>
  </si>
  <si>
    <t>021184901</t>
  </si>
  <si>
    <t>1891765178</t>
  </si>
  <si>
    <t>COOK CHILDREN'S MEDICAL CENTER</t>
  </si>
  <si>
    <t>160709501</t>
  </si>
  <si>
    <t>1053317362</t>
  </si>
  <si>
    <t>094193202</t>
  </si>
  <si>
    <t>1659323772</t>
  </si>
  <si>
    <t>PLAZA MEDICAL CENTER OF FORT WORTH</t>
  </si>
  <si>
    <t>020844901</t>
  </si>
  <si>
    <t>1194787218</t>
  </si>
  <si>
    <t>CHRISTUS SANTA ROSA HEALTH CARE CORPORATION - CHRISTUS SANTA ROSA MEDICAL CENTER</t>
  </si>
  <si>
    <t>138962907</t>
  </si>
  <si>
    <t>1891882833</t>
  </si>
  <si>
    <t>BAYLOR SCOTT &amp; WHITE MEDICAL CENTER - HILLCREST</t>
  </si>
  <si>
    <t>127267603</t>
  </si>
  <si>
    <t>1942294939</t>
  </si>
  <si>
    <t>SAINT JOSEPH REGIONAL HEALTH CENTER</t>
  </si>
  <si>
    <t>Medical City Weatherford</t>
  </si>
  <si>
    <t>020841501</t>
  </si>
  <si>
    <t>1962455816</t>
  </si>
  <si>
    <t>CHCA CONROE LP - CONROE REGIONAL MEDICAL CENTER</t>
  </si>
  <si>
    <t>207311601</t>
  </si>
  <si>
    <t>1114903523</t>
  </si>
  <si>
    <t>BRIM HEALTHCARE OF TEXAS LLC dba WADLEY REGIONAL MEDICAL CENTER</t>
  </si>
  <si>
    <t>094187402</t>
  </si>
  <si>
    <t>1275580938</t>
  </si>
  <si>
    <t>CHCA WEST HOUSTON LP-WEST HOUSTON MEDICAL CENTER</t>
  </si>
  <si>
    <t>135237906</t>
  </si>
  <si>
    <t>1023013448</t>
  </si>
  <si>
    <t>450010</t>
  </si>
  <si>
    <t>UNITED REGIONAL HEALTHCARE</t>
  </si>
  <si>
    <t>020976902</t>
  </si>
  <si>
    <t>1295736734</t>
  </si>
  <si>
    <t>CHRISTUS HEALTH ARK LA TEX - CHRISTUS ST MICHAEL HEALTH SYSTEM</t>
  </si>
  <si>
    <t>137962006</t>
  </si>
  <si>
    <t>1891789772</t>
  </si>
  <si>
    <t>337433201</t>
  </si>
  <si>
    <t>1710985098</t>
  </si>
  <si>
    <t>MEMORIAL HERMANN HEALTH SYSTEM - TIRR MEMORIAL HERMANN</t>
  </si>
  <si>
    <t>139461107</t>
  </si>
  <si>
    <t>1972517365</t>
  </si>
  <si>
    <t>COVENANT HEALTH SYSTEM - COVENANT MEDICAL CENTER</t>
  </si>
  <si>
    <t>137245009</t>
  </si>
  <si>
    <t>1467442418</t>
  </si>
  <si>
    <t>NORTHWEST HEALTH CARE SYSTEM - NORTHWEST TEXAS HOSPITAL</t>
  </si>
  <si>
    <t>322879301</t>
  </si>
  <si>
    <t>1407191984</t>
  </si>
  <si>
    <t>BAPTIST ST. ANTHONY'S HOSPITAL</t>
  </si>
  <si>
    <t>112724302</t>
  </si>
  <si>
    <t>1811942238</t>
  </si>
  <si>
    <t>KINGWOOD MEDICAL CENTER</t>
  </si>
  <si>
    <t>450280</t>
  </si>
  <si>
    <t>Baylor Scott &amp; White Medical Center Garland</t>
  </si>
  <si>
    <t>193867201</t>
  </si>
  <si>
    <t>1740450121</t>
  </si>
  <si>
    <t>HOUSTON NORTHWEST OPERATING COMPANY LLC - HOUSTON NORTHWEST MEDICAL CENTER</t>
  </si>
  <si>
    <t>130601104</t>
  </si>
  <si>
    <t>1700801909</t>
  </si>
  <si>
    <t>THE HOSPITALS OF PROVIDENCE MEMORIAL CAMPUS</t>
  </si>
  <si>
    <t>094108002</t>
  </si>
  <si>
    <t>1679578439</t>
  </si>
  <si>
    <t>CHRISTUS Mother Frances Hospital - Tyler</t>
  </si>
  <si>
    <t>127319504</t>
  </si>
  <si>
    <t>1437171568</t>
  </si>
  <si>
    <t>METHODISTS CHILDRENS HOSPITAL - COVENANT CHILDRENS HOSPITAL</t>
  </si>
  <si>
    <t>111829102</t>
  </si>
  <si>
    <t>1093708679</t>
  </si>
  <si>
    <t>PROVIDENCE HEALTH SERVICES OF WACO - PROVIDENCE HEALTHCARE NETWORK</t>
  </si>
  <si>
    <t>112677302</t>
  </si>
  <si>
    <t>1336172105</t>
  </si>
  <si>
    <t>TEXAS HEALTH HARRIS METHODIST HOSPITAL - FORT WORTH</t>
  </si>
  <si>
    <t>Texoma Medical Center</t>
  </si>
  <si>
    <t>020943901</t>
  </si>
  <si>
    <t>1689628984</t>
  </si>
  <si>
    <t>COLUMBIA HOSPITAL MEDICAL CITY DALLAS</t>
  </si>
  <si>
    <t>020860501</t>
  </si>
  <si>
    <t>1467403477</t>
  </si>
  <si>
    <t>450299</t>
  </si>
  <si>
    <t>COLLEGE STATION MEDICAL CENTER</t>
  </si>
  <si>
    <t>378943001</t>
  </si>
  <si>
    <t>1073043592</t>
  </si>
  <si>
    <t>450659</t>
  </si>
  <si>
    <t>PARK PLAZA HOSPITAL</t>
  </si>
  <si>
    <t>199478201</t>
  </si>
  <si>
    <t>1376588228</t>
  </si>
  <si>
    <t>Warm Springs Rehabilitation Hospital of San Antonio</t>
  </si>
  <si>
    <t>291854201</t>
  </si>
  <si>
    <t>1558659714</t>
  </si>
  <si>
    <t>315440301</t>
  </si>
  <si>
    <t>1760628184</t>
  </si>
  <si>
    <t>453314</t>
  </si>
  <si>
    <t>TEXAS SCOTTISH RITE HOSPITAL FOR CHILDREN</t>
  </si>
  <si>
    <t>094113001</t>
  </si>
  <si>
    <t>1770573586</t>
  </si>
  <si>
    <t>SOUTH TEXAS HEALTH SYSTEM - EDINBURG REGIONAL MEDICAL CENTER</t>
  </si>
  <si>
    <t>127303903</t>
  </si>
  <si>
    <t>1700883196</t>
  </si>
  <si>
    <t>450330</t>
  </si>
  <si>
    <t>OAKBEND MEDICAL CENTER</t>
  </si>
  <si>
    <t>293388901</t>
  </si>
  <si>
    <t>1669513941</t>
  </si>
  <si>
    <t>453311</t>
  </si>
  <si>
    <t>SHRINERS HOSPITAL FOR CHILDREN - GALVESTON</t>
  </si>
  <si>
    <t>298213401</t>
  </si>
  <si>
    <t>1518000306</t>
  </si>
  <si>
    <t>453312</t>
  </si>
  <si>
    <t>SHRINERS HOSPITAL FOR CHILDREN - HOUSTON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</si>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</sst>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
  </numFmts>
  <fonts count="36" x14ac:knownFonts="1">
    <font>
      <sz val="12"/>
      <color theme="1"/>
      <name val="Verdana"/>
      <family val="2"/>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sz val="10"/>
      <color theme="1"/>
      <name val="Arial"/>
      <family val="2"/>
    </font>
    <font>
      <sz val="10"/>
      <name val="Arial"/>
      <family val="2"/>
    </font>
    <font>
      <b/>
      <sz val="12"/>
      <color rgb="FF010000"/>
      <name val="Arial"/>
      <family val="2"/>
    </font>
    <font>
      <sz val="10"/>
      <color rgb="FF010000"/>
      <name val="Arial"/>
      <family val="2"/>
    </font>
    <font>
      <b/>
      <i/>
      <sz val="11"/>
      <name val="Calibri"/>
      <family val="2"/>
    </font>
    <font>
      <b/>
      <i/>
      <sz val="9"/>
      <name val="Calibri"/>
      <family val="2"/>
    </font>
    <font>
      <b/>
      <vertAlign val="superscript"/>
      <sz val="12"/>
      <color rgb="FF010000"/>
      <name val="Arial"/>
      <family val="2"/>
    </font>
    <font>
      <b/>
      <sz val="10"/>
      <color rgb="FF010000"/>
      <name val="Arial"/>
      <family val="2"/>
    </font>
    <font>
      <sz val="8"/>
      <color rgb="FF010000"/>
      <name val="Arial"/>
      <family val="2"/>
    </font>
    <font>
      <b/>
      <vertAlign val="superscript"/>
      <sz val="10"/>
      <color rgb="FF010000"/>
      <name val="Arial"/>
      <family val="2"/>
    </font>
    <font>
      <sz val="9"/>
      <color rgb="FF010000"/>
      <name val="Arial"/>
      <family val="2"/>
    </font>
    <font>
      <vertAlign val="superscript"/>
      <sz val="10"/>
      <color rgb="FF010000"/>
      <name val="Arial"/>
      <family val="2"/>
    </font>
    <font>
      <sz val="10"/>
      <color theme="1"/>
      <name val="Verdana"/>
      <family val="2"/>
    </font>
    <font>
      <b/>
      <sz val="16"/>
      <color theme="1"/>
      <name val="Verdana"/>
      <family val="2"/>
    </font>
    <font>
      <b/>
      <sz val="10"/>
      <color theme="1"/>
      <name val="Arial"/>
      <family val="2"/>
    </font>
    <font>
      <b/>
      <sz val="14"/>
      <name val="Times New Roman"/>
      <family val="1"/>
    </font>
    <font>
      <sz val="12"/>
      <name val="Times New Roman"/>
      <family val="1"/>
    </font>
    <font>
      <b/>
      <sz val="1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B8A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style="thin">
        <color theme="1" tint="0.499984740745262"/>
      </left>
      <right style="double">
        <color indexed="64"/>
      </right>
      <top style="thin">
        <color indexed="64"/>
      </top>
      <bottom/>
      <diagonal/>
    </border>
    <border>
      <left style="double">
        <color indexed="64"/>
      </left>
      <right/>
      <top style="thin">
        <color indexed="64"/>
      </top>
      <bottom/>
      <diagonal/>
    </border>
    <border>
      <left style="thin">
        <color theme="1" tint="0.499984740745262"/>
      </left>
      <right style="thin">
        <color indexed="64"/>
      </right>
      <top style="thin">
        <color indexed="64"/>
      </top>
      <bottom/>
      <diagonal/>
    </border>
    <border>
      <left style="thin">
        <color indexed="64"/>
      </left>
      <right/>
      <top/>
      <bottom/>
      <diagonal/>
    </border>
    <border>
      <left style="thin">
        <color theme="1" tint="0.499984740745262"/>
      </left>
      <right style="double">
        <color indexed="64"/>
      </right>
      <top/>
      <bottom/>
      <diagonal/>
    </border>
    <border>
      <left style="double">
        <color indexed="64"/>
      </left>
      <right/>
      <top/>
      <bottom/>
      <diagonal/>
    </border>
    <border>
      <left style="thin">
        <color theme="1" tint="0.499984740745262"/>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theme="1" tint="0.499984740745262"/>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theme="1" tint="0.499984740745262"/>
      </right>
      <top style="thin">
        <color indexed="64"/>
      </top>
      <bottom/>
      <diagonal/>
    </border>
    <border>
      <left style="double">
        <color indexed="64"/>
      </left>
      <right style="thin">
        <color theme="1" tint="0.499984740745262"/>
      </right>
      <top style="thin">
        <color indexed="64"/>
      </top>
      <bottom/>
      <diagonal/>
    </border>
    <border>
      <left style="thin">
        <color indexed="64"/>
      </left>
      <right style="thin">
        <color theme="1" tint="0.499984740745262"/>
      </right>
      <top/>
      <bottom/>
      <diagonal/>
    </border>
    <border>
      <left style="double">
        <color indexed="64"/>
      </left>
      <right style="thin">
        <color theme="1" tint="0.499984740745262"/>
      </right>
      <top/>
      <bottom/>
      <diagonal/>
    </border>
    <border>
      <left style="thin">
        <color indexed="64"/>
      </left>
      <right style="thin">
        <color theme="1" tint="0.499984740745262"/>
      </right>
      <top/>
      <bottom style="thin">
        <color indexed="64"/>
      </bottom>
      <diagonal/>
    </border>
    <border>
      <left style="double">
        <color indexed="64"/>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xf numFmtId="9" fontId="1" fillId="0" borderId="0" applyFont="0" applyFill="0" applyBorder="0" applyAlignment="0" applyProtection="0"/>
  </cellStyleXfs>
  <cellXfs count="220">
    <xf numFmtId="0" fontId="0" fillId="0" borderId="0" xfId="0"/>
    <xf numFmtId="14" fontId="0" fillId="0" borderId="0" xfId="0" applyNumberFormat="1"/>
    <xf numFmtId="14" fontId="0" fillId="33" borderId="0" xfId="0" applyNumberFormat="1" applyFill="1"/>
    <xf numFmtId="0" fontId="0" fillId="33" borderId="0" xfId="0" applyFill="1"/>
    <xf numFmtId="0" fontId="18" fillId="0" borderId="0" xfId="42"/>
    <xf numFmtId="0" fontId="18" fillId="0" borderId="0" xfId="42" applyAlignment="1">
      <alignment horizontal="center"/>
    </xf>
    <xf numFmtId="165" fontId="0" fillId="0" borderId="0" xfId="44" applyNumberFormat="1" applyFont="1"/>
    <xf numFmtId="49" fontId="0" fillId="0" borderId="0" xfId="0" applyNumberFormat="1"/>
    <xf numFmtId="49" fontId="0" fillId="33" borderId="0" xfId="0" applyNumberFormat="1" applyFill="1"/>
    <xf numFmtId="0" fontId="0" fillId="0" borderId="0" xfId="0" applyAlignment="1">
      <alignment horizontal="center" vertical="top" wrapText="1"/>
    </xf>
    <xf numFmtId="49" fontId="0" fillId="0" borderId="0" xfId="0" applyNumberFormat="1" applyAlignment="1">
      <alignment horizontal="center" vertical="top" wrapText="1"/>
    </xf>
    <xf numFmtId="0" fontId="20" fillId="0" borderId="0" xfId="48" applyFont="1" applyAlignment="1">
      <alignment horizontal="centerContinuous" vertical="top"/>
    </xf>
    <xf numFmtId="0" fontId="21" fillId="0" borderId="0" xfId="48" applyFont="1"/>
    <xf numFmtId="0" fontId="22" fillId="0" borderId="0" xfId="48" applyFont="1" applyAlignment="1">
      <alignment horizontal="centerContinuous" vertical="top" wrapText="1"/>
    </xf>
    <xf numFmtId="0" fontId="23" fillId="0" borderId="0" xfId="48" applyFont="1" applyAlignment="1">
      <alignment wrapText="1"/>
    </xf>
    <xf numFmtId="0" fontId="20" fillId="35" borderId="20" xfId="48" applyFont="1" applyFill="1" applyBorder="1" applyAlignment="1">
      <alignment horizontal="center" vertical="center"/>
    </xf>
    <xf numFmtId="2" fontId="25" fillId="35" borderId="21" xfId="48" applyNumberFormat="1" applyFont="1" applyFill="1" applyBorder="1" applyAlignment="1">
      <alignment horizontal="center" vertical="center"/>
    </xf>
    <xf numFmtId="2" fontId="25" fillId="35" borderId="22" xfId="48" applyNumberFormat="1" applyFont="1" applyFill="1" applyBorder="1" applyAlignment="1">
      <alignment horizontal="center" vertical="center"/>
    </xf>
    <xf numFmtId="0" fontId="21" fillId="0" borderId="23" xfId="48" applyFont="1" applyBorder="1" applyAlignment="1">
      <alignment horizontal="left" vertical="center"/>
    </xf>
    <xf numFmtId="166" fontId="21" fillId="0" borderId="24" xfId="48" applyNumberFormat="1" applyFont="1" applyBorder="1" applyAlignment="1">
      <alignment horizontal="center" vertical="center"/>
    </xf>
    <xf numFmtId="166" fontId="21" fillId="0" borderId="25" xfId="48" applyNumberFormat="1" applyFont="1" applyBorder="1" applyAlignment="1">
      <alignment horizontal="center" vertical="center"/>
    </xf>
    <xf numFmtId="0" fontId="21" fillId="0" borderId="17" xfId="48" applyFont="1" applyBorder="1" applyAlignment="1">
      <alignment horizontal="left" vertical="center"/>
    </xf>
    <xf numFmtId="166" fontId="21" fillId="0" borderId="18" xfId="48" applyNumberFormat="1" applyFont="1" applyBorder="1" applyAlignment="1">
      <alignment horizontal="center" vertical="center"/>
    </xf>
    <xf numFmtId="166" fontId="21" fillId="0" borderId="19" xfId="48" applyNumberFormat="1" applyFont="1" applyBorder="1" applyAlignment="1">
      <alignment horizontal="center" vertical="center"/>
    </xf>
    <xf numFmtId="0" fontId="21" fillId="0" borderId="26" xfId="48" applyFont="1" applyBorder="1" applyAlignment="1">
      <alignment horizontal="left" vertical="center" wrapText="1"/>
    </xf>
    <xf numFmtId="166" fontId="21" fillId="0" borderId="27" xfId="48" applyNumberFormat="1" applyFont="1" applyBorder="1" applyAlignment="1">
      <alignment horizontal="center" vertical="center"/>
    </xf>
    <xf numFmtId="166" fontId="21" fillId="0" borderId="28" xfId="48" applyNumberFormat="1" applyFont="1" applyBorder="1" applyAlignment="1">
      <alignment horizontal="center" vertical="center"/>
    </xf>
    <xf numFmtId="0" fontId="26" fillId="0" borderId="0" xfId="48" applyFont="1" applyAlignment="1">
      <alignment vertical="center"/>
    </xf>
    <xf numFmtId="0" fontId="21" fillId="0" borderId="0" xfId="48" applyFont="1" applyAlignment="1">
      <alignment vertical="center"/>
    </xf>
    <xf numFmtId="0" fontId="21" fillId="0" borderId="0" xfId="48" applyFont="1" applyAlignment="1">
      <alignment vertical="top"/>
    </xf>
    <xf numFmtId="166" fontId="25" fillId="35" borderId="21" xfId="48" applyNumberFormat="1" applyFont="1" applyFill="1" applyBorder="1" applyAlignment="1">
      <alignment horizontal="center" vertical="center"/>
    </xf>
    <xf numFmtId="167" fontId="21" fillId="0" borderId="24" xfId="48" applyNumberFormat="1" applyFont="1" applyBorder="1" applyAlignment="1">
      <alignment horizontal="center" vertical="center"/>
    </xf>
    <xf numFmtId="0" fontId="26" fillId="0" borderId="0" xfId="48" applyFont="1"/>
    <xf numFmtId="0" fontId="26" fillId="0" borderId="0" xfId="48" applyFont="1" applyAlignment="1">
      <alignment horizontal="left" vertical="top" wrapText="1"/>
    </xf>
    <xf numFmtId="0" fontId="26" fillId="0" borderId="0" xfId="48" applyFont="1" applyAlignment="1">
      <alignment horizontal="left" vertical="center" wrapText="1"/>
    </xf>
    <xf numFmtId="0" fontId="20" fillId="35" borderId="29" xfId="48" applyFont="1" applyFill="1" applyBorder="1" applyAlignment="1">
      <alignment horizontal="center" vertical="center" wrapText="1"/>
    </xf>
    <xf numFmtId="166" fontId="25" fillId="35" borderId="30" xfId="48" applyNumberFormat="1" applyFont="1" applyFill="1" applyBorder="1" applyAlignment="1">
      <alignment horizontal="center" vertical="center"/>
    </xf>
    <xf numFmtId="166" fontId="25" fillId="35" borderId="30" xfId="48" applyNumberFormat="1" applyFont="1" applyFill="1" applyBorder="1" applyAlignment="1">
      <alignment horizontal="center" vertical="center" wrapText="1"/>
    </xf>
    <xf numFmtId="2" fontId="25" fillId="35" borderId="30" xfId="48" applyNumberFormat="1" applyFont="1" applyFill="1" applyBorder="1" applyAlignment="1">
      <alignment horizontal="center" vertical="center"/>
    </xf>
    <xf numFmtId="2" fontId="25" fillId="35" borderId="31" xfId="48" applyNumberFormat="1" applyFont="1" applyFill="1" applyBorder="1" applyAlignment="1">
      <alignment horizontal="center" vertical="center"/>
    </xf>
    <xf numFmtId="0" fontId="21" fillId="0" borderId="29" xfId="48" applyFont="1" applyBorder="1" applyAlignment="1">
      <alignment horizontal="left" vertical="center"/>
    </xf>
    <xf numFmtId="166" fontId="21" fillId="0" borderId="30" xfId="48" applyNumberFormat="1" applyFont="1" applyBorder="1" applyAlignment="1">
      <alignment horizontal="center" vertical="center"/>
    </xf>
    <xf numFmtId="166" fontId="21" fillId="0" borderId="31" xfId="48" applyNumberFormat="1" applyFont="1" applyBorder="1" applyAlignment="1">
      <alignment horizontal="center" vertical="center"/>
    </xf>
    <xf numFmtId="0" fontId="28" fillId="0" borderId="0" xfId="48" applyFont="1" applyAlignment="1">
      <alignment vertical="top"/>
    </xf>
    <xf numFmtId="0" fontId="20" fillId="35" borderId="20" xfId="48" applyFont="1" applyFill="1" applyBorder="1" applyAlignment="1">
      <alignment horizontal="center" vertical="center" wrapText="1"/>
    </xf>
    <xf numFmtId="0" fontId="21" fillId="0" borderId="24" xfId="48" applyFont="1" applyBorder="1" applyAlignment="1">
      <alignment horizontal="center" vertical="center"/>
    </xf>
    <xf numFmtId="0" fontId="21" fillId="0" borderId="27" xfId="48" applyFont="1" applyBorder="1" applyAlignment="1">
      <alignment horizontal="center" vertical="center"/>
    </xf>
    <xf numFmtId="0" fontId="28" fillId="0" borderId="0" xfId="48" applyFont="1" applyAlignment="1">
      <alignment vertical="center" wrapText="1"/>
    </xf>
    <xf numFmtId="0" fontId="20" fillId="35" borderId="29" xfId="48" applyFont="1" applyFill="1" applyBorder="1" applyAlignment="1">
      <alignment horizontal="center" vertical="center"/>
    </xf>
    <xf numFmtId="166" fontId="25" fillId="35" borderId="31" xfId="48" applyNumberFormat="1" applyFont="1" applyFill="1" applyBorder="1" applyAlignment="1">
      <alignment horizontal="center" vertical="center"/>
    </xf>
    <xf numFmtId="0" fontId="21" fillId="0" borderId="32" xfId="48" applyFont="1" applyBorder="1" applyAlignment="1">
      <alignment horizontal="left" vertical="center"/>
    </xf>
    <xf numFmtId="166" fontId="21" fillId="0" borderId="33" xfId="48" applyNumberFormat="1" applyFont="1" applyBorder="1" applyAlignment="1">
      <alignment horizontal="center" vertical="center"/>
    </xf>
    <xf numFmtId="166" fontId="21" fillId="0" borderId="34" xfId="48" applyNumberFormat="1" applyFont="1" applyBorder="1" applyAlignment="1">
      <alignment horizontal="center" vertical="center"/>
    </xf>
    <xf numFmtId="166" fontId="21" fillId="0" borderId="0" xfId="48" applyNumberFormat="1" applyFont="1" applyAlignment="1">
      <alignment horizontal="center" vertical="center"/>
    </xf>
    <xf numFmtId="0" fontId="21" fillId="0" borderId="18" xfId="48" applyFont="1" applyBorder="1" applyAlignment="1">
      <alignment horizontal="center" vertical="center"/>
    </xf>
    <xf numFmtId="0" fontId="21" fillId="0" borderId="0" xfId="48" applyFont="1" applyAlignment="1">
      <alignment vertical="center" wrapText="1"/>
    </xf>
    <xf numFmtId="0" fontId="21" fillId="0" borderId="14" xfId="48" applyFont="1" applyBorder="1" applyAlignment="1">
      <alignment horizontal="left" vertical="center"/>
    </xf>
    <xf numFmtId="166" fontId="21" fillId="0" borderId="15" xfId="48" applyNumberFormat="1" applyFont="1" applyBorder="1" applyAlignment="1">
      <alignment horizontal="center" vertical="center"/>
    </xf>
    <xf numFmtId="0" fontId="21" fillId="0" borderId="15" xfId="48" applyFont="1" applyBorder="1" applyAlignment="1">
      <alignment horizontal="center" vertical="center"/>
    </xf>
    <xf numFmtId="166" fontId="21" fillId="0" borderId="16" xfId="48" applyNumberFormat="1" applyFont="1" applyBorder="1" applyAlignment="1">
      <alignment horizontal="center" vertical="center"/>
    </xf>
    <xf numFmtId="0" fontId="20" fillId="35" borderId="23" xfId="48" applyFont="1" applyFill="1" applyBorder="1" applyAlignment="1">
      <alignment horizontal="center" vertical="center" wrapText="1"/>
    </xf>
    <xf numFmtId="2" fontId="25" fillId="35" borderId="24" xfId="48" applyNumberFormat="1" applyFont="1" applyFill="1" applyBorder="1" applyAlignment="1">
      <alignment horizontal="center" vertical="center"/>
    </xf>
    <xf numFmtId="2" fontId="25" fillId="35" borderId="25" xfId="48" applyNumberFormat="1" applyFont="1" applyFill="1" applyBorder="1" applyAlignment="1">
      <alignment horizontal="center" vertical="center"/>
    </xf>
    <xf numFmtId="0" fontId="21" fillId="0" borderId="19" xfId="48" applyFont="1" applyBorder="1" applyAlignment="1">
      <alignment horizontal="center" vertical="center"/>
    </xf>
    <xf numFmtId="14" fontId="21" fillId="0" borderId="0" xfId="48" applyNumberFormat="1" applyFont="1" applyAlignment="1">
      <alignment horizontal="left"/>
    </xf>
    <xf numFmtId="166" fontId="21" fillId="34" borderId="24" xfId="48" applyNumberFormat="1" applyFont="1" applyFill="1" applyBorder="1" applyAlignment="1">
      <alignment horizontal="center" vertical="center"/>
    </xf>
    <xf numFmtId="0" fontId="16" fillId="36" borderId="13" xfId="42" applyFont="1" applyFill="1" applyBorder="1" applyAlignment="1">
      <alignment horizontal="center" vertical="top" wrapText="1"/>
    </xf>
    <xf numFmtId="0" fontId="16" fillId="0" borderId="0" xfId="42" applyFont="1" applyAlignment="1">
      <alignment horizontal="center" vertical="top" wrapText="1"/>
    </xf>
    <xf numFmtId="164" fontId="16" fillId="36" borderId="13" xfId="47" applyNumberFormat="1" applyFont="1" applyFill="1" applyBorder="1" applyAlignment="1">
      <alignment horizontal="center" vertical="top" wrapText="1"/>
    </xf>
    <xf numFmtId="164" fontId="18" fillId="0" borderId="0" xfId="47" applyNumberFormat="1" applyFont="1"/>
    <xf numFmtId="0" fontId="30" fillId="0" borderId="0" xfId="42" applyFont="1"/>
    <xf numFmtId="14" fontId="0" fillId="0" borderId="0" xfId="0" applyNumberFormat="1" applyAlignment="1">
      <alignment horizontal="right"/>
    </xf>
    <xf numFmtId="164" fontId="0" fillId="0" borderId="0" xfId="47" applyNumberFormat="1" applyFont="1" applyBorder="1" applyAlignment="1">
      <alignment horizontal="right"/>
    </xf>
    <xf numFmtId="164" fontId="0" fillId="0" borderId="0" xfId="43" applyNumberFormat="1" applyFont="1" applyBorder="1" applyAlignment="1">
      <alignment horizontal="right"/>
    </xf>
    <xf numFmtId="0" fontId="0" fillId="0" borderId="0" xfId="0" applyAlignment="1">
      <alignment horizontal="right"/>
    </xf>
    <xf numFmtId="165" fontId="0" fillId="0" borderId="0" xfId="44" applyNumberFormat="1" applyFont="1" applyBorder="1" applyAlignment="1">
      <alignment horizontal="right"/>
    </xf>
    <xf numFmtId="10" fontId="0" fillId="0" borderId="0" xfId="45" applyNumberFormat="1" applyFont="1" applyBorder="1" applyAlignment="1">
      <alignment horizontal="right"/>
    </xf>
    <xf numFmtId="165" fontId="0" fillId="0" borderId="0" xfId="44" applyNumberFormat="1" applyFont="1" applyFill="1" applyBorder="1" applyAlignment="1">
      <alignment horizontal="right"/>
    </xf>
    <xf numFmtId="10" fontId="0" fillId="0" borderId="0" xfId="45" applyNumberFormat="1" applyFont="1" applyFill="1" applyBorder="1" applyAlignment="1">
      <alignment horizontal="right"/>
    </xf>
    <xf numFmtId="0" fontId="18" fillId="0" borderId="0" xfId="42" applyAlignment="1">
      <alignment horizontal="right"/>
    </xf>
    <xf numFmtId="164" fontId="18" fillId="0" borderId="0" xfId="47" applyNumberFormat="1" applyFont="1" applyAlignment="1">
      <alignment horizontal="right"/>
    </xf>
    <xf numFmtId="165" fontId="0" fillId="0" borderId="0" xfId="44" applyNumberFormat="1" applyFont="1" applyAlignment="1">
      <alignment horizontal="right"/>
    </xf>
    <xf numFmtId="164" fontId="16" fillId="0" borderId="35" xfId="47" applyNumberFormat="1" applyFont="1" applyBorder="1" applyAlignment="1">
      <alignment horizontal="right"/>
    </xf>
    <xf numFmtId="164" fontId="16" fillId="0" borderId="35" xfId="42" applyNumberFormat="1" applyFont="1" applyBorder="1" applyAlignment="1">
      <alignment horizontal="right"/>
    </xf>
    <xf numFmtId="43" fontId="16" fillId="0" borderId="35" xfId="46" applyFont="1" applyBorder="1" applyAlignment="1">
      <alignment horizontal="right"/>
    </xf>
    <xf numFmtId="165" fontId="16" fillId="0" borderId="35" xfId="46" applyNumberFormat="1" applyFont="1" applyBorder="1" applyAlignment="1">
      <alignment horizontal="right"/>
    </xf>
    <xf numFmtId="4" fontId="18" fillId="0" borderId="0" xfId="42" applyNumberFormat="1"/>
    <xf numFmtId="2" fontId="18" fillId="0" borderId="0" xfId="42" applyNumberFormat="1"/>
    <xf numFmtId="3" fontId="18" fillId="0" borderId="0" xfId="42" applyNumberFormat="1"/>
    <xf numFmtId="14" fontId="18" fillId="0" borderId="0" xfId="42" applyNumberFormat="1" applyAlignment="1">
      <alignment horizontal="center"/>
    </xf>
    <xf numFmtId="0" fontId="18" fillId="0" borderId="0" xfId="42" applyAlignment="1">
      <alignment wrapText="1"/>
    </xf>
    <xf numFmtId="4" fontId="32" fillId="0" borderId="0" xfId="42" applyNumberFormat="1" applyFont="1"/>
    <xf numFmtId="2" fontId="32" fillId="0" borderId="0" xfId="42" applyNumberFormat="1" applyFont="1"/>
    <xf numFmtId="3" fontId="32" fillId="0" borderId="0" xfId="42" applyNumberFormat="1" applyFont="1"/>
    <xf numFmtId="43" fontId="18" fillId="0" borderId="18" xfId="42" applyNumberFormat="1" applyBorder="1"/>
    <xf numFmtId="43" fontId="0" fillId="0" borderId="18" xfId="44" applyFont="1" applyFill="1" applyBorder="1"/>
    <xf numFmtId="4" fontId="18" fillId="0" borderId="18" xfId="42" applyNumberFormat="1" applyBorder="1"/>
    <xf numFmtId="10" fontId="0" fillId="0" borderId="18" xfId="45" applyNumberFormat="1" applyFont="1" applyFill="1" applyBorder="1"/>
    <xf numFmtId="165" fontId="0" fillId="0" borderId="18" xfId="44" applyNumberFormat="1" applyFont="1" applyFill="1" applyBorder="1"/>
    <xf numFmtId="3" fontId="18" fillId="0" borderId="18" xfId="42" applyNumberFormat="1" applyBorder="1"/>
    <xf numFmtId="2" fontId="18" fillId="0" borderId="18" xfId="42" applyNumberFormat="1" applyBorder="1"/>
    <xf numFmtId="14" fontId="18" fillId="0" borderId="18" xfId="42" applyNumberFormat="1" applyBorder="1" applyAlignment="1">
      <alignment horizontal="center"/>
    </xf>
    <xf numFmtId="0" fontId="18" fillId="0" borderId="18" xfId="42" applyBorder="1"/>
    <xf numFmtId="0" fontId="18" fillId="0" borderId="18" xfId="42" applyBorder="1" applyAlignment="1">
      <alignment horizontal="center"/>
    </xf>
    <xf numFmtId="10" fontId="0" fillId="0" borderId="18" xfId="45" applyNumberFormat="1" applyFont="1" applyBorder="1"/>
    <xf numFmtId="165" fontId="0" fillId="0" borderId="18" xfId="44" applyNumberFormat="1" applyFont="1" applyBorder="1"/>
    <xf numFmtId="0" fontId="18" fillId="34" borderId="0" xfId="42" applyFill="1"/>
    <xf numFmtId="43" fontId="18" fillId="37" borderId="18" xfId="42" applyNumberFormat="1" applyFill="1" applyBorder="1"/>
    <xf numFmtId="43" fontId="0" fillId="37" borderId="18" xfId="44" applyFont="1" applyFill="1" applyBorder="1"/>
    <xf numFmtId="4" fontId="18" fillId="37" borderId="18" xfId="42" applyNumberFormat="1" applyFill="1" applyBorder="1"/>
    <xf numFmtId="10" fontId="0" fillId="37" borderId="18" xfId="45" applyNumberFormat="1" applyFont="1" applyFill="1" applyBorder="1"/>
    <xf numFmtId="165" fontId="0" fillId="37" borderId="18" xfId="44" applyNumberFormat="1" applyFont="1" applyFill="1" applyBorder="1"/>
    <xf numFmtId="3" fontId="18" fillId="37" borderId="18" xfId="42" applyNumberFormat="1" applyFill="1" applyBorder="1"/>
    <xf numFmtId="2" fontId="18" fillId="37" borderId="18" xfId="42" applyNumberFormat="1" applyFill="1" applyBorder="1"/>
    <xf numFmtId="14" fontId="18" fillId="37" borderId="18" xfId="42" applyNumberFormat="1" applyFill="1" applyBorder="1" applyAlignment="1">
      <alignment horizontal="center"/>
    </xf>
    <xf numFmtId="0" fontId="18" fillId="37" borderId="18" xfId="42" applyFill="1" applyBorder="1"/>
    <xf numFmtId="0" fontId="18" fillId="37" borderId="18" xfId="42" applyFill="1" applyBorder="1" applyAlignment="1">
      <alignment horizontal="center"/>
    </xf>
    <xf numFmtId="43" fontId="18" fillId="38" borderId="18" xfId="42" applyNumberFormat="1" applyFill="1" applyBorder="1"/>
    <xf numFmtId="43" fontId="0" fillId="38" borderId="18" xfId="44" applyFont="1" applyFill="1" applyBorder="1"/>
    <xf numFmtId="4" fontId="18" fillId="38" borderId="18" xfId="42" applyNumberFormat="1" applyFill="1" applyBorder="1"/>
    <xf numFmtId="10" fontId="0" fillId="38" borderId="18" xfId="45" applyNumberFormat="1" applyFont="1" applyFill="1" applyBorder="1"/>
    <xf numFmtId="165" fontId="0" fillId="38" borderId="18" xfId="44" applyNumberFormat="1" applyFont="1" applyFill="1" applyBorder="1"/>
    <xf numFmtId="3" fontId="18" fillId="38" borderId="18" xfId="42" applyNumberFormat="1" applyFill="1" applyBorder="1"/>
    <xf numFmtId="2" fontId="18" fillId="38" borderId="18" xfId="42" applyNumberFormat="1" applyFill="1" applyBorder="1"/>
    <xf numFmtId="14" fontId="18" fillId="38" borderId="18" xfId="42" applyNumberFormat="1" applyFill="1" applyBorder="1" applyAlignment="1">
      <alignment horizontal="center"/>
    </xf>
    <xf numFmtId="0" fontId="18" fillId="38" borderId="18" xfId="42" applyFill="1" applyBorder="1"/>
    <xf numFmtId="0" fontId="18" fillId="38" borderId="18" xfId="42" applyFill="1" applyBorder="1" applyAlignment="1">
      <alignment horizontal="center"/>
    </xf>
    <xf numFmtId="43" fontId="18" fillId="0" borderId="15" xfId="42" applyNumberFormat="1" applyBorder="1"/>
    <xf numFmtId="43" fontId="0" fillId="0" borderId="15" xfId="44" applyFont="1" applyFill="1" applyBorder="1"/>
    <xf numFmtId="4" fontId="18" fillId="0" borderId="15" xfId="42" applyNumberFormat="1" applyBorder="1"/>
    <xf numFmtId="10" fontId="0" fillId="0" borderId="15" xfId="45" applyNumberFormat="1" applyFont="1" applyBorder="1"/>
    <xf numFmtId="165" fontId="0" fillId="0" borderId="15" xfId="44" applyNumberFormat="1" applyFont="1" applyBorder="1"/>
    <xf numFmtId="3" fontId="18" fillId="0" borderId="15" xfId="42" applyNumberFormat="1" applyBorder="1"/>
    <xf numFmtId="2" fontId="18" fillId="0" borderId="15" xfId="42" applyNumberFormat="1" applyBorder="1"/>
    <xf numFmtId="14" fontId="18" fillId="0" borderId="15" xfId="42" applyNumberFormat="1" applyBorder="1" applyAlignment="1">
      <alignment horizontal="center"/>
    </xf>
    <xf numFmtId="0" fontId="18" fillId="0" borderId="15" xfId="42" applyBorder="1"/>
    <xf numFmtId="0" fontId="18" fillId="0" borderId="15" xfId="42" applyBorder="1" applyAlignment="1">
      <alignment horizontal="center"/>
    </xf>
    <xf numFmtId="0" fontId="18" fillId="0" borderId="0" xfId="42" applyAlignment="1">
      <alignment horizontal="center" wrapText="1"/>
    </xf>
    <xf numFmtId="4" fontId="32" fillId="0" borderId="13" xfId="42" applyNumberFormat="1" applyFont="1" applyBorder="1" applyAlignment="1">
      <alignment horizontal="center" wrapText="1"/>
    </xf>
    <xf numFmtId="2" fontId="32" fillId="0" borderId="13" xfId="42" applyNumberFormat="1" applyFont="1" applyBorder="1" applyAlignment="1">
      <alignment horizontal="center" wrapText="1"/>
    </xf>
    <xf numFmtId="0" fontId="32" fillId="0" borderId="13" xfId="42" applyFont="1" applyBorder="1" applyAlignment="1">
      <alignment horizontal="center" wrapText="1"/>
    </xf>
    <xf numFmtId="3" fontId="32" fillId="0" borderId="13" xfId="42" applyNumberFormat="1" applyFont="1" applyBorder="1" applyAlignment="1">
      <alignment horizontal="center" wrapText="1"/>
    </xf>
    <xf numFmtId="14" fontId="32" fillId="0" borderId="13" xfId="42" applyNumberFormat="1" applyFont="1" applyBorder="1" applyAlignment="1">
      <alignment horizontal="center" wrapText="1"/>
    </xf>
    <xf numFmtId="43" fontId="0" fillId="0" borderId="0" xfId="46" applyFont="1" applyAlignment="1">
      <alignment horizontal="center" vertical="top" wrapText="1"/>
    </xf>
    <xf numFmtId="43" fontId="0" fillId="0" borderId="0" xfId="46" applyFont="1"/>
    <xf numFmtId="43" fontId="0" fillId="33" borderId="0" xfId="46" applyFont="1" applyFill="1"/>
    <xf numFmtId="43" fontId="0" fillId="0" borderId="0" xfId="0" applyNumberFormat="1"/>
    <xf numFmtId="0" fontId="35" fillId="0" borderId="41" xfId="42" applyFont="1" applyBorder="1" applyAlignment="1">
      <alignment horizontal="center"/>
    </xf>
    <xf numFmtId="0" fontId="35" fillId="0" borderId="42" xfId="42" applyFont="1" applyBorder="1" applyAlignment="1">
      <alignment horizontal="center"/>
    </xf>
    <xf numFmtId="0" fontId="35" fillId="0" borderId="43" xfId="42" applyFont="1" applyBorder="1" applyAlignment="1">
      <alignment horizontal="center"/>
    </xf>
    <xf numFmtId="0" fontId="35" fillId="0" borderId="44" xfId="42" applyFont="1" applyBorder="1" applyAlignment="1">
      <alignment horizontal="center"/>
    </xf>
    <xf numFmtId="10" fontId="0" fillId="0" borderId="45" xfId="49" applyNumberFormat="1" applyFont="1" applyBorder="1" applyAlignment="1">
      <alignment horizontal="right"/>
    </xf>
    <xf numFmtId="10" fontId="0" fillId="0" borderId="46" xfId="49" applyNumberFormat="1" applyFont="1" applyBorder="1" applyAlignment="1">
      <alignment horizontal="right"/>
    </xf>
    <xf numFmtId="10" fontId="0" fillId="0" borderId="47" xfId="49" applyNumberFormat="1" applyFont="1" applyBorder="1" applyAlignment="1">
      <alignment horizontal="right"/>
    </xf>
    <xf numFmtId="10" fontId="0" fillId="0" borderId="48" xfId="49" applyNumberFormat="1" applyFont="1" applyBorder="1" applyAlignment="1">
      <alignment horizontal="right"/>
    </xf>
    <xf numFmtId="10" fontId="0" fillId="39" borderId="45" xfId="49" applyNumberFormat="1" applyFont="1" applyFill="1" applyBorder="1" applyAlignment="1">
      <alignment horizontal="right"/>
    </xf>
    <xf numFmtId="10" fontId="0" fillId="39" borderId="47" xfId="49" applyNumberFormat="1" applyFont="1" applyFill="1" applyBorder="1" applyAlignment="1">
      <alignment horizontal="right"/>
    </xf>
    <xf numFmtId="10" fontId="0" fillId="40" borderId="46" xfId="49" applyNumberFormat="1" applyFont="1" applyFill="1" applyBorder="1" applyAlignment="1">
      <alignment horizontal="right"/>
    </xf>
    <xf numFmtId="10" fontId="0" fillId="40" borderId="48" xfId="49" applyNumberFormat="1" applyFont="1" applyFill="1" applyBorder="1" applyAlignment="1">
      <alignment horizontal="right"/>
    </xf>
    <xf numFmtId="10" fontId="0" fillId="0" borderId="41" xfId="49" applyNumberFormat="1" applyFont="1" applyFill="1" applyBorder="1" applyAlignment="1">
      <alignment horizontal="right"/>
    </xf>
    <xf numFmtId="10" fontId="0" fillId="41" borderId="42" xfId="49" applyNumberFormat="1" applyFont="1" applyFill="1" applyBorder="1" applyAlignment="1">
      <alignment horizontal="right"/>
    </xf>
    <xf numFmtId="10" fontId="0" fillId="0" borderId="49" xfId="49" applyNumberFormat="1" applyFont="1" applyFill="1" applyBorder="1" applyAlignment="1">
      <alignment horizontal="right"/>
    </xf>
    <xf numFmtId="10" fontId="0" fillId="41" borderId="50" xfId="49" applyNumberFormat="1" applyFont="1" applyFill="1" applyBorder="1" applyAlignment="1">
      <alignment horizontal="right"/>
    </xf>
    <xf numFmtId="10" fontId="0" fillId="42" borderId="45" xfId="49" applyNumberFormat="1" applyFont="1" applyFill="1" applyBorder="1" applyAlignment="1">
      <alignment horizontal="right"/>
    </xf>
    <xf numFmtId="10" fontId="0" fillId="42" borderId="46" xfId="49" applyNumberFormat="1" applyFont="1" applyFill="1" applyBorder="1" applyAlignment="1">
      <alignment horizontal="right"/>
    </xf>
    <xf numFmtId="10" fontId="0" fillId="42" borderId="51" xfId="49" applyNumberFormat="1" applyFont="1" applyFill="1" applyBorder="1" applyAlignment="1">
      <alignment horizontal="right"/>
    </xf>
    <xf numFmtId="10" fontId="0" fillId="42" borderId="52" xfId="49" applyNumberFormat="1" applyFont="1" applyFill="1" applyBorder="1" applyAlignment="1">
      <alignment horizontal="right"/>
    </xf>
    <xf numFmtId="10" fontId="0" fillId="42" borderId="53" xfId="49" applyNumberFormat="1" applyFont="1" applyFill="1" applyBorder="1" applyAlignment="1">
      <alignment horizontal="right"/>
    </xf>
    <xf numFmtId="10" fontId="0" fillId="42" borderId="54" xfId="49" applyNumberFormat="1" applyFont="1" applyFill="1" applyBorder="1" applyAlignment="1">
      <alignment horizontal="right"/>
    </xf>
    <xf numFmtId="10" fontId="0" fillId="42" borderId="55" xfId="49" applyNumberFormat="1" applyFont="1" applyFill="1" applyBorder="1" applyAlignment="1">
      <alignment horizontal="right"/>
    </xf>
    <xf numFmtId="10" fontId="0" fillId="42" borderId="15" xfId="49" applyNumberFormat="1" applyFont="1" applyFill="1" applyBorder="1" applyAlignment="1">
      <alignment horizontal="right"/>
    </xf>
    <xf numFmtId="10" fontId="0" fillId="0" borderId="56" xfId="49" applyNumberFormat="1" applyFont="1" applyBorder="1" applyAlignment="1">
      <alignment horizontal="right"/>
    </xf>
    <xf numFmtId="10" fontId="0" fillId="0" borderId="42" xfId="49" applyNumberFormat="1" applyFont="1" applyFill="1" applyBorder="1" applyAlignment="1">
      <alignment horizontal="right"/>
    </xf>
    <xf numFmtId="10" fontId="0" fillId="0" borderId="57" xfId="49" applyNumberFormat="1" applyFont="1" applyBorder="1" applyAlignment="1">
      <alignment horizontal="right"/>
    </xf>
    <xf numFmtId="10" fontId="0" fillId="0" borderId="44" xfId="49" applyNumberFormat="1" applyFont="1" applyFill="1" applyBorder="1" applyAlignment="1">
      <alignment horizontal="right"/>
    </xf>
    <xf numFmtId="10" fontId="0" fillId="42" borderId="58" xfId="49" applyNumberFormat="1" applyFont="1" applyFill="1" applyBorder="1" applyAlignment="1">
      <alignment horizontal="right"/>
    </xf>
    <xf numFmtId="10" fontId="0" fillId="42" borderId="59" xfId="49" applyNumberFormat="1" applyFont="1" applyFill="1" applyBorder="1" applyAlignment="1">
      <alignment horizontal="right"/>
    </xf>
    <xf numFmtId="10" fontId="0" fillId="42" borderId="48" xfId="49" applyNumberFormat="1" applyFont="1" applyFill="1" applyBorder="1" applyAlignment="1">
      <alignment horizontal="right"/>
    </xf>
    <xf numFmtId="10" fontId="0" fillId="42" borderId="60" xfId="49" applyNumberFormat="1" applyFont="1" applyFill="1" applyBorder="1" applyAlignment="1">
      <alignment horizontal="right"/>
    </xf>
    <xf numFmtId="10" fontId="0" fillId="42" borderId="61" xfId="49" applyNumberFormat="1" applyFont="1" applyFill="1" applyBorder="1" applyAlignment="1">
      <alignment horizontal="right"/>
    </xf>
    <xf numFmtId="10" fontId="0" fillId="42" borderId="62" xfId="49" applyNumberFormat="1" applyFont="1" applyFill="1" applyBorder="1" applyAlignment="1">
      <alignment horizontal="right"/>
    </xf>
    <xf numFmtId="10" fontId="19" fillId="42" borderId="48" xfId="49" applyNumberFormat="1" applyFont="1" applyFill="1" applyBorder="1" applyAlignment="1">
      <alignment horizontal="right"/>
    </xf>
    <xf numFmtId="10" fontId="19" fillId="0" borderId="58" xfId="49" applyNumberFormat="1" applyFont="1" applyFill="1" applyBorder="1" applyAlignment="1">
      <alignment horizontal="right"/>
    </xf>
    <xf numFmtId="10" fontId="19" fillId="0" borderId="46" xfId="49" applyNumberFormat="1" applyFont="1" applyFill="1" applyBorder="1" applyAlignment="1">
      <alignment horizontal="right"/>
    </xf>
    <xf numFmtId="10" fontId="19" fillId="0" borderId="59" xfId="49" applyNumberFormat="1" applyFont="1" applyFill="1" applyBorder="1" applyAlignment="1">
      <alignment horizontal="right"/>
    </xf>
    <xf numFmtId="10" fontId="19" fillId="0" borderId="48" xfId="49" applyNumberFormat="1" applyFont="1" applyFill="1" applyBorder="1" applyAlignment="1">
      <alignment horizontal="right"/>
    </xf>
    <xf numFmtId="10" fontId="0" fillId="0" borderId="58" xfId="49" applyNumberFormat="1" applyFont="1" applyBorder="1" applyAlignment="1">
      <alignment horizontal="right"/>
    </xf>
    <xf numFmtId="10" fontId="0" fillId="0" borderId="46" xfId="49" applyNumberFormat="1" applyFont="1" applyFill="1" applyBorder="1" applyAlignment="1">
      <alignment horizontal="right"/>
    </xf>
    <xf numFmtId="10" fontId="0" fillId="0" borderId="59" xfId="49" applyNumberFormat="1" applyFont="1" applyBorder="1" applyAlignment="1">
      <alignment horizontal="right"/>
    </xf>
    <xf numFmtId="10" fontId="0" fillId="0" borderId="48" xfId="49" applyNumberFormat="1" applyFont="1" applyFill="1" applyBorder="1" applyAlignment="1">
      <alignment horizontal="right"/>
    </xf>
    <xf numFmtId="10" fontId="0" fillId="0" borderId="60" xfId="49" applyNumberFormat="1" applyFont="1" applyBorder="1" applyAlignment="1">
      <alignment horizontal="right"/>
    </xf>
    <xf numFmtId="10" fontId="0" fillId="0" borderId="54" xfId="49" applyNumberFormat="1" applyFont="1" applyFill="1" applyBorder="1" applyAlignment="1">
      <alignment horizontal="right"/>
    </xf>
    <xf numFmtId="10" fontId="0" fillId="0" borderId="61" xfId="49" applyNumberFormat="1" applyFont="1" applyBorder="1" applyAlignment="1">
      <alignment horizontal="right"/>
    </xf>
    <xf numFmtId="10" fontId="0" fillId="0" borderId="62" xfId="49" applyNumberFormat="1" applyFont="1" applyFill="1" applyBorder="1" applyAlignment="1">
      <alignment horizontal="right"/>
    </xf>
    <xf numFmtId="0" fontId="18" fillId="0" borderId="0" xfId="42" applyAlignment="1">
      <alignment horizontal="left"/>
    </xf>
    <xf numFmtId="0" fontId="18" fillId="0" borderId="63" xfId="42" applyBorder="1" applyAlignment="1">
      <alignment horizontal="left"/>
    </xf>
    <xf numFmtId="0" fontId="18" fillId="0" borderId="63" xfId="42" applyBorder="1" applyAlignment="1">
      <alignment horizontal="left" wrapText="1"/>
    </xf>
    <xf numFmtId="0" fontId="35" fillId="0" borderId="63" xfId="42" quotePrefix="1" applyFont="1" applyBorder="1" applyAlignment="1">
      <alignment horizontal="left" vertical="center"/>
    </xf>
    <xf numFmtId="0" fontId="35" fillId="0" borderId="50" xfId="42" quotePrefix="1" applyFont="1" applyBorder="1" applyAlignment="1">
      <alignment horizontal="left" vertical="center"/>
    </xf>
    <xf numFmtId="0" fontId="35" fillId="0" borderId="52" xfId="42" quotePrefix="1" applyFont="1" applyBorder="1" applyAlignment="1">
      <alignment horizontal="left" vertical="center"/>
    </xf>
    <xf numFmtId="0" fontId="35" fillId="0" borderId="15" xfId="42" quotePrefix="1" applyFont="1" applyBorder="1" applyAlignment="1">
      <alignment horizontal="left" vertical="center"/>
    </xf>
    <xf numFmtId="0" fontId="16" fillId="36" borderId="10" xfId="42" applyFont="1" applyFill="1" applyBorder="1" applyAlignment="1">
      <alignment horizontal="center" vertical="top" wrapText="1"/>
    </xf>
    <xf numFmtId="164" fontId="0" fillId="0" borderId="64" xfId="42" applyNumberFormat="1" applyFont="1" applyBorder="1" applyAlignment="1">
      <alignment horizontal="right"/>
    </xf>
    <xf numFmtId="164" fontId="0" fillId="0" borderId="65" xfId="42" applyNumberFormat="1" applyFont="1" applyBorder="1" applyAlignment="1">
      <alignment horizontal="right"/>
    </xf>
    <xf numFmtId="0" fontId="18" fillId="0" borderId="64" xfId="42" applyBorder="1" applyAlignment="1">
      <alignment horizontal="right"/>
    </xf>
    <xf numFmtId="0" fontId="18" fillId="0" borderId="65" xfId="42" applyBorder="1" applyAlignment="1">
      <alignment horizontal="right"/>
    </xf>
    <xf numFmtId="164" fontId="16" fillId="0" borderId="66" xfId="42" applyNumberFormat="1" applyFont="1" applyBorder="1" applyAlignment="1">
      <alignment horizontal="right"/>
    </xf>
    <xf numFmtId="164" fontId="16" fillId="0" borderId="67" xfId="42" applyNumberFormat="1" applyFont="1" applyBorder="1" applyAlignment="1">
      <alignment horizontal="right"/>
    </xf>
    <xf numFmtId="0" fontId="31" fillId="0" borderId="10" xfId="42" applyFont="1" applyBorder="1" applyAlignment="1">
      <alignment horizontal="center"/>
    </xf>
    <xf numFmtId="0" fontId="31" fillId="0" borderId="12" xfId="42" applyFont="1" applyBorder="1" applyAlignment="1">
      <alignment horizontal="center"/>
    </xf>
    <xf numFmtId="0" fontId="31" fillId="0" borderId="11" xfId="42" applyFont="1" applyBorder="1" applyAlignment="1">
      <alignment horizontal="center"/>
    </xf>
    <xf numFmtId="0" fontId="33" fillId="0" borderId="36" xfId="42" applyFont="1" applyBorder="1" applyAlignment="1">
      <alignment horizontal="center" vertical="center"/>
    </xf>
    <xf numFmtId="0" fontId="33" fillId="0" borderId="37" xfId="42" applyFont="1" applyBorder="1" applyAlignment="1">
      <alignment horizontal="center" vertical="center"/>
    </xf>
    <xf numFmtId="0" fontId="33" fillId="0" borderId="38" xfId="42" applyFont="1" applyBorder="1" applyAlignment="1">
      <alignment horizontal="center" vertical="center"/>
    </xf>
    <xf numFmtId="0" fontId="34" fillId="0" borderId="36" xfId="42" applyFont="1" applyBorder="1" applyAlignment="1">
      <alignment horizontal="center" vertical="center"/>
    </xf>
    <xf numFmtId="0" fontId="34" fillId="0" borderId="39" xfId="42" applyFont="1" applyBorder="1" applyAlignment="1">
      <alignment horizontal="center" vertical="center"/>
    </xf>
    <xf numFmtId="0" fontId="34" fillId="0" borderId="40" xfId="42" applyFont="1" applyBorder="1" applyAlignment="1">
      <alignment horizontal="center" vertical="center"/>
    </xf>
    <xf numFmtId="0" fontId="34" fillId="0" borderId="38" xfId="42" applyFont="1" applyBorder="1" applyAlignment="1">
      <alignment horizontal="center" vertical="center"/>
    </xf>
    <xf numFmtId="0" fontId="26" fillId="0" borderId="0" xfId="48" applyFont="1" applyAlignment="1">
      <alignment horizontal="left" vertical="center" wrapText="1"/>
    </xf>
    <xf numFmtId="0" fontId="26" fillId="0" borderId="0" xfId="48" applyFont="1" applyAlignment="1">
      <alignment horizontal="left" vertic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6" builtinId="3"/>
    <cellStyle name="Comma 2" xfId="44" xr:uid="{00000000-0005-0000-0000-00001B000000}"/>
    <cellStyle name="Currency" xfId="47" builtinId="4"/>
    <cellStyle name="Currency 2" xfId="43"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3" xfId="48" xr:uid="{BD080F0A-1A1F-48E0-8782-0905A0F213F7}"/>
    <cellStyle name="Note" xfId="15" builtinId="10" customBuiltin="1"/>
    <cellStyle name="Output" xfId="10" builtinId="21" customBuiltin="1"/>
    <cellStyle name="Percent" xfId="49" builtinId="5"/>
    <cellStyle name="Percent 2" xfId="45" xr:uid="{00000000-0005-0000-0000-00002A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Q73"/>
  <sheetViews>
    <sheetView showGridLines="0" tabSelected="1" topLeftCell="E1" zoomScale="90" zoomScaleNormal="90" workbookViewId="0">
      <pane ySplit="2" topLeftCell="A3" activePane="bottomLeft" state="frozen"/>
      <selection pane="bottomLeft" activeCell="P3" sqref="P3"/>
    </sheetView>
  </sheetViews>
  <sheetFormatPr defaultRowHeight="15" x14ac:dyDescent="0.2"/>
  <cols>
    <col min="1" max="1" width="9.296875" style="4" bestFit="1" customWidth="1"/>
    <col min="2" max="2" width="38.796875" style="4" bestFit="1" customWidth="1"/>
    <col min="3" max="3" width="12.796875" style="4" bestFit="1" customWidth="1"/>
    <col min="4" max="4" width="10.3984375" style="5" bestFit="1" customWidth="1"/>
    <col min="5" max="6" width="10.3984375" style="5" customWidth="1"/>
    <col min="7" max="7" width="18.19921875" style="69" bestFit="1" customWidth="1"/>
    <col min="8" max="8" width="12.5" style="4" customWidth="1"/>
    <col min="9" max="9" width="11.59765625" style="6" customWidth="1"/>
    <col min="10" max="10" width="11.8984375" style="6" customWidth="1"/>
    <col min="11" max="11" width="15" style="4" bestFit="1" customWidth="1"/>
    <col min="12" max="12" width="13.8984375" style="4" bestFit="1" customWidth="1"/>
    <col min="13" max="13" width="15" style="4" bestFit="1" customWidth="1"/>
    <col min="14" max="14" width="13.8984375" style="4" bestFit="1" customWidth="1"/>
    <col min="15" max="15" width="15.09765625" style="4" bestFit="1" customWidth="1"/>
    <col min="16" max="16" width="13.8984375" style="4" bestFit="1" customWidth="1"/>
    <col min="17" max="17" width="15.09765625" style="4" bestFit="1" customWidth="1"/>
    <col min="18" max="16384" width="8.796875" style="4"/>
  </cols>
  <sheetData>
    <row r="1" spans="1:17" s="70" customFormat="1" ht="20.25" thickBot="1" x14ac:dyDescent="0.3">
      <c r="A1" s="208" t="s">
        <v>0</v>
      </c>
      <c r="B1" s="210"/>
      <c r="C1" s="210"/>
      <c r="D1" s="210"/>
      <c r="E1" s="210"/>
      <c r="F1" s="210"/>
      <c r="G1" s="210"/>
      <c r="H1" s="210"/>
      <c r="I1" s="210"/>
      <c r="J1" s="210"/>
      <c r="K1" s="209"/>
      <c r="L1" s="208" t="s">
        <v>1</v>
      </c>
      <c r="M1" s="209"/>
      <c r="N1" s="208" t="s">
        <v>2</v>
      </c>
      <c r="O1" s="209"/>
      <c r="P1" s="208" t="s">
        <v>3</v>
      </c>
      <c r="Q1" s="209"/>
    </row>
    <row r="2" spans="1:17" s="67" customFormat="1" ht="75.75" thickBot="1" x14ac:dyDescent="0.25">
      <c r="A2" s="66" t="s">
        <v>4</v>
      </c>
      <c r="B2" s="66" t="s">
        <v>5</v>
      </c>
      <c r="C2" s="66" t="s">
        <v>6</v>
      </c>
      <c r="D2" s="66" t="s">
        <v>7</v>
      </c>
      <c r="E2" s="66" t="s">
        <v>8</v>
      </c>
      <c r="F2" s="66" t="s">
        <v>9</v>
      </c>
      <c r="G2" s="68" t="s">
        <v>10</v>
      </c>
      <c r="H2" s="66" t="s">
        <v>11</v>
      </c>
      <c r="I2" s="66" t="s">
        <v>12</v>
      </c>
      <c r="J2" s="66" t="s">
        <v>13</v>
      </c>
      <c r="K2" s="201" t="s">
        <v>14</v>
      </c>
      <c r="L2" s="66" t="s">
        <v>15</v>
      </c>
      <c r="M2" s="66" t="s">
        <v>16</v>
      </c>
      <c r="N2" s="66" t="s">
        <v>17</v>
      </c>
      <c r="O2" s="66" t="s">
        <v>18</v>
      </c>
      <c r="P2" s="66" t="s">
        <v>19</v>
      </c>
      <c r="Q2" s="66" t="s">
        <v>20</v>
      </c>
    </row>
    <row r="3" spans="1:17" x14ac:dyDescent="0.2">
      <c r="A3" s="7" t="s">
        <v>21</v>
      </c>
      <c r="B3" t="s">
        <v>22</v>
      </c>
      <c r="C3" t="s">
        <v>23</v>
      </c>
      <c r="D3" s="71">
        <v>44012</v>
      </c>
      <c r="E3" s="74">
        <v>4.82</v>
      </c>
      <c r="F3" s="73">
        <v>88735.56</v>
      </c>
      <c r="G3" s="72">
        <f t="shared" ref="G3:G34" si="0">F3*E3</f>
        <v>427705.39919999999</v>
      </c>
      <c r="H3" s="75">
        <v>23260</v>
      </c>
      <c r="I3" s="75">
        <v>130286</v>
      </c>
      <c r="J3" s="76">
        <f>H3/I3</f>
        <v>0.17853031024054772</v>
      </c>
      <c r="K3" s="73">
        <f t="shared" ref="K3:K34" si="1">G3*J3</f>
        <v>76358.377610733311</v>
      </c>
      <c r="L3" s="202">
        <f>K3*Reference!$J$22</f>
        <v>25129.542071692329</v>
      </c>
      <c r="M3" s="203">
        <f>K3-L3</f>
        <v>51228.835539040985</v>
      </c>
      <c r="N3" s="202">
        <f>K3*Reference!$J$23</f>
        <v>26878.148918978124</v>
      </c>
      <c r="O3" s="203">
        <f t="shared" ref="O3:O66" si="2">K3-N3</f>
        <v>49480.228691755183</v>
      </c>
      <c r="P3" s="202">
        <f>K3*Reference!$J$21</f>
        <v>30031.74991430141</v>
      </c>
      <c r="Q3" s="203">
        <f>K3-P3</f>
        <v>46326.627696431897</v>
      </c>
    </row>
    <row r="4" spans="1:17" x14ac:dyDescent="0.2">
      <c r="A4" s="7" t="s">
        <v>24</v>
      </c>
      <c r="B4" t="s">
        <v>25</v>
      </c>
      <c r="C4" t="s">
        <v>26</v>
      </c>
      <c r="D4" s="71">
        <v>43982</v>
      </c>
      <c r="E4" s="74">
        <v>0.63</v>
      </c>
      <c r="F4" s="73">
        <v>104660.98</v>
      </c>
      <c r="G4" s="72">
        <f t="shared" si="0"/>
        <v>65936.417399999991</v>
      </c>
      <c r="H4" s="75">
        <v>27974</v>
      </c>
      <c r="I4" s="75">
        <v>103510</v>
      </c>
      <c r="J4" s="76">
        <f t="shared" ref="J4:J50" si="3">H4/I4</f>
        <v>0.27025408173123372</v>
      </c>
      <c r="K4" s="73">
        <f t="shared" si="1"/>
        <v>17819.585937084339</v>
      </c>
      <c r="L4" s="202">
        <f>K4*Reference!$J$22</f>
        <v>5864.4257318944547</v>
      </c>
      <c r="M4" s="203">
        <f t="shared" ref="M4:M50" si="4">K4-L4</f>
        <v>11955.160205189884</v>
      </c>
      <c r="N4" s="202">
        <f>K4*Reference!$J$23</f>
        <v>6272.4942498536866</v>
      </c>
      <c r="O4" s="203">
        <f t="shared" si="2"/>
        <v>11547.091687230652</v>
      </c>
      <c r="P4" s="202">
        <f>K4*Reference!$J$21</f>
        <v>7008.4431490552706</v>
      </c>
      <c r="Q4" s="203">
        <f t="shared" ref="Q4:Q67" si="5">K4-P4</f>
        <v>10811.142788029068</v>
      </c>
    </row>
    <row r="5" spans="1:17" x14ac:dyDescent="0.2">
      <c r="A5" s="7" t="s">
        <v>27</v>
      </c>
      <c r="B5" t="s">
        <v>28</v>
      </c>
      <c r="C5" t="s">
        <v>26</v>
      </c>
      <c r="D5" s="71">
        <v>44104</v>
      </c>
      <c r="E5" s="74">
        <v>7.65</v>
      </c>
      <c r="F5" s="73">
        <v>92913.26</v>
      </c>
      <c r="G5" s="72">
        <f t="shared" si="0"/>
        <v>710786.43900000001</v>
      </c>
      <c r="H5" s="75">
        <v>45706</v>
      </c>
      <c r="I5" s="75">
        <v>94748</v>
      </c>
      <c r="J5" s="76">
        <f t="shared" si="3"/>
        <v>0.48239540676320347</v>
      </c>
      <c r="K5" s="73">
        <f t="shared" si="1"/>
        <v>342880.11336317391</v>
      </c>
      <c r="L5" s="202">
        <f>K5*Reference!$J$22</f>
        <v>112841.84530782052</v>
      </c>
      <c r="M5" s="203">
        <f t="shared" si="4"/>
        <v>230038.26805535337</v>
      </c>
      <c r="N5" s="202">
        <f>K5*Reference!$J$23</f>
        <v>120693.79990383721</v>
      </c>
      <c r="O5" s="203">
        <f t="shared" si="2"/>
        <v>222186.3134593367</v>
      </c>
      <c r="P5" s="202">
        <f>K5*Reference!$J$21</f>
        <v>134854.74858573629</v>
      </c>
      <c r="Q5" s="203">
        <f t="shared" si="5"/>
        <v>208025.36477743761</v>
      </c>
    </row>
    <row r="6" spans="1:17" x14ac:dyDescent="0.2">
      <c r="A6" s="7" t="s">
        <v>29</v>
      </c>
      <c r="B6" t="s">
        <v>30</v>
      </c>
      <c r="C6" t="s">
        <v>31</v>
      </c>
      <c r="D6" s="71">
        <v>43982</v>
      </c>
      <c r="E6" s="74">
        <v>1.17</v>
      </c>
      <c r="F6" s="73">
        <v>96010.65</v>
      </c>
      <c r="G6" s="72">
        <f t="shared" si="0"/>
        <v>112332.46049999999</v>
      </c>
      <c r="H6" s="75">
        <v>49030</v>
      </c>
      <c r="I6" s="75">
        <v>195061</v>
      </c>
      <c r="J6" s="76">
        <f t="shared" si="3"/>
        <v>0.25135726772650607</v>
      </c>
      <c r="K6" s="73">
        <f t="shared" si="1"/>
        <v>28235.580348275664</v>
      </c>
      <c r="L6" s="202">
        <f>K6*Reference!$J$22</f>
        <v>9292.3294926175186</v>
      </c>
      <c r="M6" s="203">
        <f t="shared" si="4"/>
        <v>18943.250855658145</v>
      </c>
      <c r="N6" s="202">
        <f>K6*Reference!$J$23</f>
        <v>9938.9242825930323</v>
      </c>
      <c r="O6" s="203">
        <f t="shared" si="2"/>
        <v>18296.656065682633</v>
      </c>
      <c r="P6" s="202">
        <f>K6*Reference!$J$21</f>
        <v>11105.053750976818</v>
      </c>
      <c r="Q6" s="203">
        <f t="shared" si="5"/>
        <v>17130.526597298845</v>
      </c>
    </row>
    <row r="7" spans="1:17" x14ac:dyDescent="0.2">
      <c r="A7" s="7" t="s">
        <v>32</v>
      </c>
      <c r="B7" t="s">
        <v>33</v>
      </c>
      <c r="C7" t="s">
        <v>34</v>
      </c>
      <c r="D7" s="71">
        <v>43982</v>
      </c>
      <c r="E7" s="74">
        <v>1.99</v>
      </c>
      <c r="F7" s="73">
        <v>87788.93</v>
      </c>
      <c r="G7" s="72">
        <f t="shared" si="0"/>
        <v>174699.97069999998</v>
      </c>
      <c r="H7" s="75">
        <v>24128</v>
      </c>
      <c r="I7" s="75">
        <v>71810</v>
      </c>
      <c r="J7" s="76">
        <f t="shared" si="3"/>
        <v>0.33599777189806435</v>
      </c>
      <c r="K7" s="73">
        <f t="shared" si="1"/>
        <v>58698.800905857119</v>
      </c>
      <c r="L7" s="202">
        <f>K7*Reference!$J$22</f>
        <v>19317.775378117574</v>
      </c>
      <c r="M7" s="203">
        <f t="shared" si="4"/>
        <v>39381.025527739548</v>
      </c>
      <c r="N7" s="202">
        <f>K7*Reference!$J$23</f>
        <v>20661.977918861703</v>
      </c>
      <c r="O7" s="203">
        <f t="shared" si="2"/>
        <v>38036.822986995416</v>
      </c>
      <c r="P7" s="202">
        <f>K7*Reference!$J$21</f>
        <v>23086.238396273602</v>
      </c>
      <c r="Q7" s="203">
        <f t="shared" si="5"/>
        <v>35612.562509583513</v>
      </c>
    </row>
    <row r="8" spans="1:17" x14ac:dyDescent="0.2">
      <c r="A8" s="7" t="s">
        <v>35</v>
      </c>
      <c r="B8" t="s">
        <v>36</v>
      </c>
      <c r="C8" t="s">
        <v>26</v>
      </c>
      <c r="D8" s="71">
        <v>44104</v>
      </c>
      <c r="E8" s="74">
        <v>2.12</v>
      </c>
      <c r="F8" s="73">
        <v>92913.26</v>
      </c>
      <c r="G8" s="72">
        <f t="shared" si="0"/>
        <v>196976.11119999998</v>
      </c>
      <c r="H8" s="75">
        <v>37735</v>
      </c>
      <c r="I8" s="75">
        <v>201975</v>
      </c>
      <c r="J8" s="76">
        <f t="shared" si="3"/>
        <v>0.18683005322440896</v>
      </c>
      <c r="K8" s="73">
        <f t="shared" si="1"/>
        <v>36801.057339433093</v>
      </c>
      <c r="L8" s="202">
        <f>K8*Reference!$J$22</f>
        <v>12111.22797040743</v>
      </c>
      <c r="M8" s="203">
        <f t="shared" si="4"/>
        <v>24689.829369025661</v>
      </c>
      <c r="N8" s="202">
        <f>K8*Reference!$J$23</f>
        <v>12953.972183480448</v>
      </c>
      <c r="O8" s="203">
        <f t="shared" si="2"/>
        <v>23847.085155952645</v>
      </c>
      <c r="P8" s="202">
        <f>K8*Reference!$J$21</f>
        <v>14473.855851599035</v>
      </c>
      <c r="Q8" s="203">
        <f t="shared" si="5"/>
        <v>22327.201487834056</v>
      </c>
    </row>
    <row r="9" spans="1:17" x14ac:dyDescent="0.2">
      <c r="A9" s="7" t="s">
        <v>37</v>
      </c>
      <c r="B9" t="s">
        <v>38</v>
      </c>
      <c r="C9" t="s">
        <v>39</v>
      </c>
      <c r="D9" s="71">
        <v>43982</v>
      </c>
      <c r="E9" s="74">
        <v>4.0999999999999996</v>
      </c>
      <c r="F9" s="73">
        <v>88398.31</v>
      </c>
      <c r="G9" s="72">
        <f t="shared" si="0"/>
        <v>362433.07099999994</v>
      </c>
      <c r="H9" s="75">
        <v>27037</v>
      </c>
      <c r="I9" s="75">
        <v>65444</v>
      </c>
      <c r="J9" s="76">
        <f t="shared" si="3"/>
        <v>0.41313183790721836</v>
      </c>
      <c r="K9" s="73">
        <f t="shared" si="1"/>
        <v>149732.64074058735</v>
      </c>
      <c r="L9" s="202">
        <f>K9*Reference!$J$22</f>
        <v>49277.012067727286</v>
      </c>
      <c r="M9" s="203">
        <f t="shared" si="4"/>
        <v>100455.62867286007</v>
      </c>
      <c r="N9" s="202">
        <f>K9*Reference!$J$23</f>
        <v>52705.889540686745</v>
      </c>
      <c r="O9" s="203">
        <f t="shared" si="2"/>
        <v>97026.751199900609</v>
      </c>
      <c r="P9" s="202">
        <f>K9*Reference!$J$21</f>
        <v>58889.847603273003</v>
      </c>
      <c r="Q9" s="203">
        <f t="shared" si="5"/>
        <v>90842.793137314351</v>
      </c>
    </row>
    <row r="10" spans="1:17" x14ac:dyDescent="0.2">
      <c r="A10" s="7" t="s">
        <v>40</v>
      </c>
      <c r="B10" t="s">
        <v>41</v>
      </c>
      <c r="C10" t="s">
        <v>42</v>
      </c>
      <c r="D10" s="71">
        <v>44012</v>
      </c>
      <c r="E10" s="74">
        <v>10.33</v>
      </c>
      <c r="F10" s="73">
        <v>87770.16</v>
      </c>
      <c r="G10" s="72">
        <f t="shared" si="0"/>
        <v>906665.75280000002</v>
      </c>
      <c r="H10" s="75">
        <v>69424</v>
      </c>
      <c r="I10" s="75">
        <v>278886</v>
      </c>
      <c r="J10" s="76">
        <f t="shared" si="3"/>
        <v>0.24893325588233184</v>
      </c>
      <c r="K10" s="73">
        <f t="shared" si="1"/>
        <v>225699.25784150942</v>
      </c>
      <c r="L10" s="202">
        <f>K10*Reference!$J$22</f>
        <v>74277.625755640736</v>
      </c>
      <c r="M10" s="203">
        <f t="shared" si="4"/>
        <v>151421.63208586868</v>
      </c>
      <c r="N10" s="202">
        <f>K10*Reference!$J$23</f>
        <v>79446.13876021131</v>
      </c>
      <c r="O10" s="203">
        <f t="shared" si="2"/>
        <v>146253.11908129812</v>
      </c>
      <c r="P10" s="202">
        <f>K10*Reference!$J$21</f>
        <v>88767.518109065655</v>
      </c>
      <c r="Q10" s="203">
        <f t="shared" si="5"/>
        <v>136931.73973244376</v>
      </c>
    </row>
    <row r="11" spans="1:17" x14ac:dyDescent="0.2">
      <c r="A11" s="7" t="s">
        <v>43</v>
      </c>
      <c r="B11" t="s">
        <v>44</v>
      </c>
      <c r="C11" t="s">
        <v>42</v>
      </c>
      <c r="D11" s="71">
        <v>44104</v>
      </c>
      <c r="E11" s="74">
        <v>6.59</v>
      </c>
      <c r="F11" s="73">
        <v>87521.89</v>
      </c>
      <c r="G11" s="72">
        <f t="shared" si="0"/>
        <v>576769.25509999995</v>
      </c>
      <c r="H11" s="75">
        <v>10959</v>
      </c>
      <c r="I11" s="75">
        <v>34416</v>
      </c>
      <c r="J11" s="76">
        <f t="shared" si="3"/>
        <v>0.31842747559274753</v>
      </c>
      <c r="K11" s="73">
        <f t="shared" si="1"/>
        <v>183659.1779010024</v>
      </c>
      <c r="L11" s="202">
        <f>K11*Reference!$J$22</f>
        <v>60442.235447219879</v>
      </c>
      <c r="M11" s="203">
        <f t="shared" si="4"/>
        <v>123216.94245378253</v>
      </c>
      <c r="N11" s="202">
        <f>K11*Reference!$J$23</f>
        <v>64648.030621152844</v>
      </c>
      <c r="O11" s="203">
        <f t="shared" si="2"/>
        <v>119011.14727984957</v>
      </c>
      <c r="P11" s="202">
        <f>K11*Reference!$J$21</f>
        <v>72233.154668464238</v>
      </c>
      <c r="Q11" s="203">
        <f t="shared" si="5"/>
        <v>111426.02323253817</v>
      </c>
    </row>
    <row r="12" spans="1:17" x14ac:dyDescent="0.2">
      <c r="A12" s="7" t="s">
        <v>45</v>
      </c>
      <c r="B12" t="s">
        <v>46</v>
      </c>
      <c r="C12" t="s">
        <v>47</v>
      </c>
      <c r="D12" s="71">
        <v>43830</v>
      </c>
      <c r="E12" s="74">
        <v>22.3</v>
      </c>
      <c r="F12" s="73">
        <v>87567.62</v>
      </c>
      <c r="G12" s="72">
        <f t="shared" si="0"/>
        <v>1952757.926</v>
      </c>
      <c r="H12" s="75">
        <v>16220</v>
      </c>
      <c r="I12" s="75">
        <v>106980</v>
      </c>
      <c r="J12" s="76">
        <f t="shared" si="3"/>
        <v>0.15161712469620489</v>
      </c>
      <c r="K12" s="73">
        <f t="shared" si="1"/>
        <v>296071.54196784442</v>
      </c>
      <c r="L12" s="202">
        <f>K12*Reference!$J$22</f>
        <v>97437.144461617587</v>
      </c>
      <c r="M12" s="203">
        <f t="shared" si="4"/>
        <v>198634.39750622684</v>
      </c>
      <c r="N12" s="202">
        <f>K12*Reference!$J$23</f>
        <v>104217.18277268123</v>
      </c>
      <c r="O12" s="203">
        <f t="shared" si="2"/>
        <v>191854.35919516318</v>
      </c>
      <c r="P12" s="202">
        <f>K12*Reference!$J$21</f>
        <v>116444.9374559532</v>
      </c>
      <c r="Q12" s="203">
        <f t="shared" si="5"/>
        <v>179626.6045118912</v>
      </c>
    </row>
    <row r="13" spans="1:17" x14ac:dyDescent="0.2">
      <c r="A13" s="7" t="s">
        <v>48</v>
      </c>
      <c r="B13" t="s">
        <v>49</v>
      </c>
      <c r="C13" t="s">
        <v>50</v>
      </c>
      <c r="D13" s="71">
        <v>43830</v>
      </c>
      <c r="E13" s="74">
        <v>12.25</v>
      </c>
      <c r="F13" s="73">
        <v>87625.39</v>
      </c>
      <c r="G13" s="72">
        <f t="shared" si="0"/>
        <v>1073411.0275000001</v>
      </c>
      <c r="H13" s="75">
        <v>8184</v>
      </c>
      <c r="I13" s="75">
        <v>30620</v>
      </c>
      <c r="J13" s="76">
        <f t="shared" si="3"/>
        <v>0.26727629000653169</v>
      </c>
      <c r="K13" s="73">
        <f t="shared" si="1"/>
        <v>286897.31708229921</v>
      </c>
      <c r="L13" s="202">
        <f>K13*Reference!$J$22</f>
        <v>94417.907051784656</v>
      </c>
      <c r="M13" s="203">
        <f t="shared" si="4"/>
        <v>192479.41003051455</v>
      </c>
      <c r="N13" s="202">
        <f>K13*Reference!$J$23</f>
        <v>100987.85561296932</v>
      </c>
      <c r="O13" s="203">
        <f t="shared" si="2"/>
        <v>185909.46146932989</v>
      </c>
      <c r="P13" s="202">
        <f>K13*Reference!$J$21</f>
        <v>112836.71480846827</v>
      </c>
      <c r="Q13" s="203">
        <f t="shared" si="5"/>
        <v>174060.60227383094</v>
      </c>
    </row>
    <row r="14" spans="1:17" x14ac:dyDescent="0.2">
      <c r="A14" s="7" t="s">
        <v>51</v>
      </c>
      <c r="B14" t="s">
        <v>52</v>
      </c>
      <c r="C14" t="s">
        <v>53</v>
      </c>
      <c r="D14" s="71">
        <v>43830</v>
      </c>
      <c r="E14" s="74">
        <v>11.47</v>
      </c>
      <c r="F14" s="73">
        <v>100000</v>
      </c>
      <c r="G14" s="72">
        <f t="shared" si="0"/>
        <v>1147000</v>
      </c>
      <c r="H14" s="75">
        <v>11074</v>
      </c>
      <c r="I14" s="75">
        <v>32081</v>
      </c>
      <c r="J14" s="76">
        <f t="shared" si="3"/>
        <v>0.34518874099934543</v>
      </c>
      <c r="K14" s="73">
        <f t="shared" si="1"/>
        <v>395931.48592624924</v>
      </c>
      <c r="L14" s="202">
        <f>K14*Reference!$J$22</f>
        <v>130301.0520183286</v>
      </c>
      <c r="M14" s="203">
        <f t="shared" si="4"/>
        <v>265630.43390792061</v>
      </c>
      <c r="N14" s="202">
        <f>K14*Reference!$J$23</f>
        <v>139367.88304603973</v>
      </c>
      <c r="O14" s="203">
        <f t="shared" si="2"/>
        <v>256563.60288020951</v>
      </c>
      <c r="P14" s="202">
        <f>K14*Reference!$J$21</f>
        <v>155719.85341479382</v>
      </c>
      <c r="Q14" s="203">
        <f t="shared" si="5"/>
        <v>240211.63251145542</v>
      </c>
    </row>
    <row r="15" spans="1:17" x14ac:dyDescent="0.2">
      <c r="A15" s="7" t="s">
        <v>54</v>
      </c>
      <c r="B15" t="s">
        <v>55</v>
      </c>
      <c r="C15" t="s">
        <v>42</v>
      </c>
      <c r="D15" s="71">
        <v>44012</v>
      </c>
      <c r="E15" s="74">
        <v>62.28</v>
      </c>
      <c r="F15" s="73">
        <v>88735.56</v>
      </c>
      <c r="G15" s="72">
        <f t="shared" si="0"/>
        <v>5526450.6767999995</v>
      </c>
      <c r="H15" s="75">
        <v>101303</v>
      </c>
      <c r="I15" s="75">
        <v>460952</v>
      </c>
      <c r="J15" s="76">
        <f t="shared" si="3"/>
        <v>0.21976908658602198</v>
      </c>
      <c r="K15" s="73">
        <f t="shared" si="1"/>
        <v>1214543.0173030389</v>
      </c>
      <c r="L15" s="202">
        <f>K15*Reference!$J$22</f>
        <v>399706.10699443001</v>
      </c>
      <c r="M15" s="203">
        <f t="shared" si="4"/>
        <v>814836.91030860879</v>
      </c>
      <c r="N15" s="202">
        <f>K15*Reference!$J$23</f>
        <v>427519.14209066966</v>
      </c>
      <c r="O15" s="203">
        <f t="shared" si="2"/>
        <v>787023.87521236925</v>
      </c>
      <c r="P15" s="202">
        <f>K15*Reference!$J$21</f>
        <v>477679.76870528515</v>
      </c>
      <c r="Q15" s="203">
        <f t="shared" si="5"/>
        <v>736863.2485977537</v>
      </c>
    </row>
    <row r="16" spans="1:17" x14ac:dyDescent="0.2">
      <c r="A16" s="7" t="s">
        <v>56</v>
      </c>
      <c r="B16" t="s">
        <v>57</v>
      </c>
      <c r="C16" t="s">
        <v>58</v>
      </c>
      <c r="D16" s="71">
        <v>44012</v>
      </c>
      <c r="E16" s="74">
        <v>5.61</v>
      </c>
      <c r="F16" s="73">
        <v>88735.56</v>
      </c>
      <c r="G16" s="72">
        <f t="shared" si="0"/>
        <v>497806.49160000001</v>
      </c>
      <c r="H16" s="75">
        <v>7696</v>
      </c>
      <c r="I16" s="75">
        <v>61472</v>
      </c>
      <c r="J16" s="76">
        <f t="shared" si="3"/>
        <v>0.12519521082769391</v>
      </c>
      <c r="K16" s="73">
        <f t="shared" si="1"/>
        <v>62322.988667256643</v>
      </c>
      <c r="L16" s="202">
        <f>K16*Reference!$J$22</f>
        <v>20510.49557039416</v>
      </c>
      <c r="M16" s="203">
        <f t="shared" si="4"/>
        <v>41812.493096862483</v>
      </c>
      <c r="N16" s="202">
        <f>K16*Reference!$J$23</f>
        <v>21937.692010874336</v>
      </c>
      <c r="O16" s="203">
        <f t="shared" si="2"/>
        <v>40385.296656382307</v>
      </c>
      <c r="P16" s="202">
        <f>K16*Reference!$J$21</f>
        <v>24511.631442832037</v>
      </c>
      <c r="Q16" s="203">
        <f t="shared" si="5"/>
        <v>37811.357224424602</v>
      </c>
    </row>
    <row r="17" spans="1:17" x14ac:dyDescent="0.2">
      <c r="A17" s="7" t="s">
        <v>59</v>
      </c>
      <c r="B17" t="s">
        <v>60</v>
      </c>
      <c r="C17" t="s">
        <v>34</v>
      </c>
      <c r="D17" s="71">
        <v>43830</v>
      </c>
      <c r="E17" s="74">
        <v>8.32</v>
      </c>
      <c r="F17" s="73">
        <v>121586.66</v>
      </c>
      <c r="G17" s="72">
        <f t="shared" si="0"/>
        <v>1011601.0112000001</v>
      </c>
      <c r="H17" s="75">
        <v>12867</v>
      </c>
      <c r="I17" s="75">
        <v>80662</v>
      </c>
      <c r="J17" s="76">
        <f t="shared" si="3"/>
        <v>0.15951749274751431</v>
      </c>
      <c r="K17" s="73">
        <f t="shared" si="1"/>
        <v>161368.05696747414</v>
      </c>
      <c r="L17" s="202">
        <f>K17*Reference!$J$22</f>
        <v>53106.227547995732</v>
      </c>
      <c r="M17" s="203">
        <f t="shared" si="4"/>
        <v>108261.82941947841</v>
      </c>
      <c r="N17" s="202">
        <f>K17*Reference!$J$23</f>
        <v>56801.556052550892</v>
      </c>
      <c r="O17" s="203">
        <f t="shared" si="2"/>
        <v>104566.50091492325</v>
      </c>
      <c r="P17" s="202">
        <f>K17*Reference!$J$21</f>
        <v>63466.056805307577</v>
      </c>
      <c r="Q17" s="203">
        <f t="shared" si="5"/>
        <v>97902.000162166572</v>
      </c>
    </row>
    <row r="18" spans="1:17" x14ac:dyDescent="0.2">
      <c r="A18" s="7" t="s">
        <v>61</v>
      </c>
      <c r="B18" t="s">
        <v>62</v>
      </c>
      <c r="C18" t="s">
        <v>50</v>
      </c>
      <c r="D18" s="71">
        <v>44012</v>
      </c>
      <c r="E18" s="74">
        <v>12.25</v>
      </c>
      <c r="F18" s="73">
        <v>88735.56</v>
      </c>
      <c r="G18" s="72">
        <f t="shared" si="0"/>
        <v>1087010.6099999999</v>
      </c>
      <c r="H18" s="75">
        <v>13205</v>
      </c>
      <c r="I18" s="75">
        <v>68807</v>
      </c>
      <c r="J18" s="76">
        <f t="shared" si="3"/>
        <v>0.19191361344049299</v>
      </c>
      <c r="K18" s="73">
        <f t="shared" si="1"/>
        <v>208612.13401325446</v>
      </c>
      <c r="L18" s="202">
        <f>K18*Reference!$J$22</f>
        <v>68654.253303762031</v>
      </c>
      <c r="M18" s="203">
        <f t="shared" si="4"/>
        <v>139957.88070949243</v>
      </c>
      <c r="N18" s="202">
        <f>K18*Reference!$J$23</f>
        <v>73431.471172665566</v>
      </c>
      <c r="O18" s="203">
        <f t="shared" si="2"/>
        <v>135180.66284058889</v>
      </c>
      <c r="P18" s="202">
        <f>K18*Reference!$J$21</f>
        <v>82047.15230741298</v>
      </c>
      <c r="Q18" s="203">
        <f t="shared" si="5"/>
        <v>126564.98170584148</v>
      </c>
    </row>
    <row r="19" spans="1:17" x14ac:dyDescent="0.2">
      <c r="A19" s="7" t="s">
        <v>63</v>
      </c>
      <c r="B19" t="s">
        <v>64</v>
      </c>
      <c r="C19" t="s">
        <v>23</v>
      </c>
      <c r="D19" s="71">
        <v>44135</v>
      </c>
      <c r="E19" s="74">
        <v>14.52</v>
      </c>
      <c r="F19" s="73">
        <v>87235.01</v>
      </c>
      <c r="G19" s="72">
        <f t="shared" si="0"/>
        <v>1266652.3451999999</v>
      </c>
      <c r="H19" s="75">
        <v>11597</v>
      </c>
      <c r="I19" s="75">
        <v>108089</v>
      </c>
      <c r="J19" s="76">
        <f t="shared" si="3"/>
        <v>0.10729121372202537</v>
      </c>
      <c r="K19" s="73">
        <f t="shared" si="1"/>
        <v>135900.66748035784</v>
      </c>
      <c r="L19" s="202">
        <f>K19*Reference!$J$22</f>
        <v>44724.90966778576</v>
      </c>
      <c r="M19" s="203">
        <f t="shared" si="4"/>
        <v>91175.757812572076</v>
      </c>
      <c r="N19" s="202">
        <f>K19*Reference!$J$23</f>
        <v>47837.034953085953</v>
      </c>
      <c r="O19" s="203">
        <f t="shared" si="2"/>
        <v>88063.632527271882</v>
      </c>
      <c r="P19" s="202">
        <f>K19*Reference!$J$21</f>
        <v>53449.732520024736</v>
      </c>
      <c r="Q19" s="203">
        <f t="shared" si="5"/>
        <v>82450.934960333107</v>
      </c>
    </row>
    <row r="20" spans="1:17" x14ac:dyDescent="0.2">
      <c r="A20" s="7" t="s">
        <v>65</v>
      </c>
      <c r="B20" t="s">
        <v>66</v>
      </c>
      <c r="C20" t="s">
        <v>34</v>
      </c>
      <c r="D20" s="71">
        <v>43830</v>
      </c>
      <c r="E20" s="74">
        <v>15.61</v>
      </c>
      <c r="F20" s="73">
        <v>97023.76</v>
      </c>
      <c r="G20" s="72">
        <f t="shared" si="0"/>
        <v>1514540.8935999998</v>
      </c>
      <c r="H20" s="75">
        <v>18188</v>
      </c>
      <c r="I20" s="75">
        <v>68822</v>
      </c>
      <c r="J20" s="76">
        <f t="shared" si="3"/>
        <v>0.26427595826915812</v>
      </c>
      <c r="K20" s="73">
        <f t="shared" si="1"/>
        <v>400256.74599396699</v>
      </c>
      <c r="L20" s="202">
        <f>K20*Reference!$J$22</f>
        <v>131724.49510661451</v>
      </c>
      <c r="M20" s="203">
        <f t="shared" si="4"/>
        <v>268532.25088735251</v>
      </c>
      <c r="N20" s="202">
        <f>K20*Reference!$J$23</f>
        <v>140890.37458987636</v>
      </c>
      <c r="O20" s="203">
        <f t="shared" si="2"/>
        <v>259366.37140409063</v>
      </c>
      <c r="P20" s="202">
        <f>K20*Reference!$J$21</f>
        <v>157420.97819942722</v>
      </c>
      <c r="Q20" s="203">
        <f t="shared" si="5"/>
        <v>242835.76779453977</v>
      </c>
    </row>
    <row r="21" spans="1:17" x14ac:dyDescent="0.2">
      <c r="A21" s="7" t="s">
        <v>67</v>
      </c>
      <c r="B21" t="s">
        <v>68</v>
      </c>
      <c r="C21" t="s">
        <v>69</v>
      </c>
      <c r="D21" s="71">
        <v>43830</v>
      </c>
      <c r="E21" s="74">
        <v>20.18</v>
      </c>
      <c r="F21" s="73">
        <v>87171.24</v>
      </c>
      <c r="G21" s="72">
        <f t="shared" si="0"/>
        <v>1759115.6232</v>
      </c>
      <c r="H21" s="75">
        <v>14750</v>
      </c>
      <c r="I21" s="75">
        <v>80106</v>
      </c>
      <c r="J21" s="76">
        <f t="shared" si="3"/>
        <v>0.1841310263900332</v>
      </c>
      <c r="K21" s="73">
        <f t="shared" si="1"/>
        <v>323907.76523855893</v>
      </c>
      <c r="L21" s="202">
        <f>K21*Reference!$J$22</f>
        <v>106598.04554000973</v>
      </c>
      <c r="M21" s="203">
        <f t="shared" si="4"/>
        <v>217309.71969854919</v>
      </c>
      <c r="N21" s="202">
        <f>K21*Reference!$J$23</f>
        <v>114015.53336397273</v>
      </c>
      <c r="O21" s="203">
        <f t="shared" si="2"/>
        <v>209892.2318745862</v>
      </c>
      <c r="P21" s="202">
        <f>K21*Reference!$J$21</f>
        <v>127392.92406832523</v>
      </c>
      <c r="Q21" s="203">
        <f t="shared" si="5"/>
        <v>196514.8411702337</v>
      </c>
    </row>
    <row r="22" spans="1:17" x14ac:dyDescent="0.2">
      <c r="A22" s="7" t="s">
        <v>70</v>
      </c>
      <c r="B22" t="s">
        <v>71</v>
      </c>
      <c r="C22" t="s">
        <v>72</v>
      </c>
      <c r="D22" s="71">
        <v>43830</v>
      </c>
      <c r="E22" s="74">
        <v>12.7</v>
      </c>
      <c r="F22" s="73">
        <v>87171.26</v>
      </c>
      <c r="G22" s="72">
        <f t="shared" si="0"/>
        <v>1107075.0019999999</v>
      </c>
      <c r="H22" s="75">
        <v>9620</v>
      </c>
      <c r="I22" s="75">
        <v>95101</v>
      </c>
      <c r="J22" s="76">
        <f t="shared" si="3"/>
        <v>0.10115561350564137</v>
      </c>
      <c r="K22" s="73">
        <f t="shared" si="1"/>
        <v>111986.85102406912</v>
      </c>
      <c r="L22" s="202">
        <f>K22*Reference!$J$22</f>
        <v>36854.872672021142</v>
      </c>
      <c r="M22" s="203">
        <f t="shared" si="4"/>
        <v>75131.978352047983</v>
      </c>
      <c r="N22" s="202">
        <f>K22*Reference!$J$23</f>
        <v>39419.371560472333</v>
      </c>
      <c r="O22" s="203">
        <f t="shared" si="2"/>
        <v>72567.479463596799</v>
      </c>
      <c r="P22" s="202">
        <f>K22*Reference!$J$21</f>
        <v>44044.428507766388</v>
      </c>
      <c r="Q22" s="203">
        <f t="shared" si="5"/>
        <v>67942.422516302729</v>
      </c>
    </row>
    <row r="23" spans="1:17" x14ac:dyDescent="0.2">
      <c r="A23" s="7" t="s">
        <v>73</v>
      </c>
      <c r="B23" t="s">
        <v>74</v>
      </c>
      <c r="C23" t="s">
        <v>75</v>
      </c>
      <c r="D23" s="71">
        <v>44012</v>
      </c>
      <c r="E23" s="74">
        <v>17.5</v>
      </c>
      <c r="F23" s="73">
        <v>88700.89</v>
      </c>
      <c r="G23" s="72">
        <f t="shared" si="0"/>
        <v>1552265.575</v>
      </c>
      <c r="H23" s="75">
        <v>9083</v>
      </c>
      <c r="I23" s="75">
        <v>98261</v>
      </c>
      <c r="J23" s="76">
        <f t="shared" si="3"/>
        <v>9.243748791483905E-2</v>
      </c>
      <c r="K23" s="73">
        <f t="shared" si="1"/>
        <v>143487.53032968318</v>
      </c>
      <c r="L23" s="202">
        <f>K23*Reference!$J$22</f>
        <v>47221.746231498728</v>
      </c>
      <c r="M23" s="203">
        <f t="shared" si="4"/>
        <v>96265.784098184464</v>
      </c>
      <c r="N23" s="202">
        <f>K23*Reference!$J$23</f>
        <v>50507.610676048476</v>
      </c>
      <c r="O23" s="203">
        <f t="shared" si="2"/>
        <v>92979.919653634715</v>
      </c>
      <c r="P23" s="202">
        <f>K23*Reference!$J$21</f>
        <v>56433.645678664398</v>
      </c>
      <c r="Q23" s="203">
        <f t="shared" si="5"/>
        <v>87053.884651018787</v>
      </c>
    </row>
    <row r="24" spans="1:17" x14ac:dyDescent="0.2">
      <c r="A24" s="7" t="s">
        <v>76</v>
      </c>
      <c r="B24" t="s">
        <v>77</v>
      </c>
      <c r="C24" t="s">
        <v>31</v>
      </c>
      <c r="D24" s="71">
        <v>44012</v>
      </c>
      <c r="E24" s="74">
        <v>16.670000000000002</v>
      </c>
      <c r="F24" s="73">
        <v>203913</v>
      </c>
      <c r="G24" s="72">
        <f t="shared" si="0"/>
        <v>3399229.7100000004</v>
      </c>
      <c r="H24" s="75">
        <v>13993</v>
      </c>
      <c r="I24" s="75">
        <v>76993</v>
      </c>
      <c r="J24" s="76">
        <f t="shared" si="3"/>
        <v>0.18174379489044459</v>
      </c>
      <c r="K24" s="73">
        <f t="shared" si="1"/>
        <v>617788.90719974553</v>
      </c>
      <c r="L24" s="202">
        <f>K24*Reference!$J$22</f>
        <v>203314.32935943623</v>
      </c>
      <c r="M24" s="203">
        <f t="shared" si="4"/>
        <v>414474.5778403093</v>
      </c>
      <c r="N24" s="202">
        <f>K24*Reference!$J$23</f>
        <v>217461.69533431041</v>
      </c>
      <c r="O24" s="203">
        <f t="shared" si="2"/>
        <v>400327.21186543512</v>
      </c>
      <c r="P24" s="202">
        <f>K24*Reference!$J$21</f>
        <v>242976.3772016599</v>
      </c>
      <c r="Q24" s="203">
        <f t="shared" si="5"/>
        <v>374812.52999808564</v>
      </c>
    </row>
    <row r="25" spans="1:17" x14ac:dyDescent="0.2">
      <c r="A25" s="7" t="s">
        <v>78</v>
      </c>
      <c r="B25" t="s">
        <v>79</v>
      </c>
      <c r="C25" t="s">
        <v>58</v>
      </c>
      <c r="D25" s="71">
        <v>44074</v>
      </c>
      <c r="E25" s="74">
        <v>16.68</v>
      </c>
      <c r="F25" s="73">
        <v>87947.41</v>
      </c>
      <c r="G25" s="72">
        <f t="shared" si="0"/>
        <v>1466962.7988</v>
      </c>
      <c r="H25" s="75">
        <v>16903</v>
      </c>
      <c r="I25" s="75">
        <v>62967</v>
      </c>
      <c r="J25" s="76">
        <f t="shared" si="3"/>
        <v>0.26844219988247814</v>
      </c>
      <c r="K25" s="73">
        <f t="shared" si="1"/>
        <v>393794.72085562913</v>
      </c>
      <c r="L25" s="202">
        <f>K25*Reference!$J$22</f>
        <v>129597.84263358753</v>
      </c>
      <c r="M25" s="203">
        <f t="shared" si="4"/>
        <v>264196.87822204159</v>
      </c>
      <c r="N25" s="202">
        <f>K25*Reference!$J$23</f>
        <v>138615.74174118144</v>
      </c>
      <c r="O25" s="203">
        <f t="shared" si="2"/>
        <v>255178.97911444769</v>
      </c>
      <c r="P25" s="202">
        <f>K25*Reference!$J$21</f>
        <v>154879.46371251892</v>
      </c>
      <c r="Q25" s="203">
        <f t="shared" si="5"/>
        <v>238915.25714311021</v>
      </c>
    </row>
    <row r="26" spans="1:17" x14ac:dyDescent="0.2">
      <c r="A26" s="7" t="s">
        <v>80</v>
      </c>
      <c r="B26" t="s">
        <v>81</v>
      </c>
      <c r="C26" t="s">
        <v>34</v>
      </c>
      <c r="D26" s="71">
        <v>43830</v>
      </c>
      <c r="E26" s="74">
        <v>13.52</v>
      </c>
      <c r="F26" s="73">
        <v>97023.76</v>
      </c>
      <c r="G26" s="72">
        <f t="shared" si="0"/>
        <v>1311761.2352</v>
      </c>
      <c r="H26" s="75">
        <v>3234</v>
      </c>
      <c r="I26" s="75">
        <v>37153</v>
      </c>
      <c r="J26" s="76">
        <f t="shared" si="3"/>
        <v>8.7045460662665192E-2</v>
      </c>
      <c r="K26" s="73">
        <f t="shared" si="1"/>
        <v>114182.86099741069</v>
      </c>
      <c r="L26" s="202">
        <f>K26*Reference!$J$22</f>
        <v>37577.579554247852</v>
      </c>
      <c r="M26" s="203">
        <f t="shared" si="4"/>
        <v>76605.28144316285</v>
      </c>
      <c r="N26" s="202">
        <f>K26*Reference!$J$23</f>
        <v>40192.367071088564</v>
      </c>
      <c r="O26" s="203">
        <f t="shared" si="2"/>
        <v>73990.493926322131</v>
      </c>
      <c r="P26" s="202">
        <f>K26*Reference!$J$21</f>
        <v>44908.119230281627</v>
      </c>
      <c r="Q26" s="203">
        <f t="shared" si="5"/>
        <v>69274.741767129075</v>
      </c>
    </row>
    <row r="27" spans="1:17" x14ac:dyDescent="0.2">
      <c r="A27" s="7" t="s">
        <v>82</v>
      </c>
      <c r="B27" t="s">
        <v>83</v>
      </c>
      <c r="C27" t="s">
        <v>84</v>
      </c>
      <c r="D27" s="71">
        <v>44012</v>
      </c>
      <c r="E27" s="74">
        <v>35.549999999999997</v>
      </c>
      <c r="F27" s="73">
        <v>88523.29</v>
      </c>
      <c r="G27" s="72">
        <f t="shared" si="0"/>
        <v>3147002.9594999994</v>
      </c>
      <c r="H27" s="75">
        <v>11767</v>
      </c>
      <c r="I27" s="75">
        <v>75116</v>
      </c>
      <c r="J27" s="76">
        <f t="shared" si="3"/>
        <v>0.15665104638159646</v>
      </c>
      <c r="K27" s="73">
        <f t="shared" si="1"/>
        <v>492981.30657165573</v>
      </c>
      <c r="L27" s="202">
        <f>K27*Reference!$J$22</f>
        <v>162240.14799273189</v>
      </c>
      <c r="M27" s="203">
        <f t="shared" si="4"/>
        <v>330741.15857892385</v>
      </c>
      <c r="N27" s="202">
        <f>K27*Reference!$J$23</f>
        <v>173529.41991322281</v>
      </c>
      <c r="O27" s="203">
        <f t="shared" si="2"/>
        <v>319451.88665843289</v>
      </c>
      <c r="P27" s="202">
        <f>K27*Reference!$J$21</f>
        <v>193889.5478746322</v>
      </c>
      <c r="Q27" s="203">
        <f t="shared" si="5"/>
        <v>299091.7586970235</v>
      </c>
    </row>
    <row r="28" spans="1:17" x14ac:dyDescent="0.2">
      <c r="A28" s="7" t="s">
        <v>85</v>
      </c>
      <c r="B28" t="s">
        <v>86</v>
      </c>
      <c r="C28" t="s">
        <v>34</v>
      </c>
      <c r="D28" s="71">
        <v>44135</v>
      </c>
      <c r="E28" s="74">
        <v>34.31</v>
      </c>
      <c r="F28" s="73">
        <v>162208.70000000001</v>
      </c>
      <c r="G28" s="72">
        <f t="shared" si="0"/>
        <v>5565380.4970000004</v>
      </c>
      <c r="H28" s="75">
        <v>24860</v>
      </c>
      <c r="I28" s="75">
        <v>53210</v>
      </c>
      <c r="J28" s="76">
        <f t="shared" si="3"/>
        <v>0.46720541251644426</v>
      </c>
      <c r="K28" s="73">
        <f t="shared" si="1"/>
        <v>2600175.890911859</v>
      </c>
      <c r="L28" s="202">
        <f>K28*Reference!$J$22</f>
        <v>855717.88569909264</v>
      </c>
      <c r="M28" s="203">
        <f t="shared" si="4"/>
        <v>1744458.0052127664</v>
      </c>
      <c r="N28" s="202">
        <f>K28*Reference!$J$23</f>
        <v>915261.91360097437</v>
      </c>
      <c r="O28" s="203">
        <f t="shared" si="2"/>
        <v>1684913.9773108847</v>
      </c>
      <c r="P28" s="202">
        <f>K28*Reference!$J$21</f>
        <v>1022649.1778956341</v>
      </c>
      <c r="Q28" s="203">
        <f t="shared" si="5"/>
        <v>1577526.713016225</v>
      </c>
    </row>
    <row r="29" spans="1:17" x14ac:dyDescent="0.2">
      <c r="A29" s="7" t="s">
        <v>87</v>
      </c>
      <c r="B29" t="s">
        <v>88</v>
      </c>
      <c r="C29" t="s">
        <v>89</v>
      </c>
      <c r="D29" s="71">
        <v>44074</v>
      </c>
      <c r="E29" s="74">
        <v>40.81</v>
      </c>
      <c r="F29" s="73">
        <v>88861.21</v>
      </c>
      <c r="G29" s="72">
        <f t="shared" si="0"/>
        <v>3626425.9801000003</v>
      </c>
      <c r="H29" s="75">
        <v>21025</v>
      </c>
      <c r="I29" s="75">
        <v>88636</v>
      </c>
      <c r="J29" s="76">
        <f t="shared" si="3"/>
        <v>0.23720610135836454</v>
      </c>
      <c r="K29" s="73">
        <f t="shared" si="1"/>
        <v>860210.36860420706</v>
      </c>
      <c r="L29" s="202">
        <f>K29*Reference!$J$22</f>
        <v>283095.2323076445</v>
      </c>
      <c r="M29" s="203">
        <f t="shared" si="4"/>
        <v>577115.13629656262</v>
      </c>
      <c r="N29" s="202">
        <f>K29*Reference!$J$23</f>
        <v>302794.04974868085</v>
      </c>
      <c r="O29" s="203">
        <f t="shared" si="2"/>
        <v>557416.31885552616</v>
      </c>
      <c r="P29" s="202">
        <f>K29*Reference!$J$21</f>
        <v>338320.73797203461</v>
      </c>
      <c r="Q29" s="203">
        <f t="shared" si="5"/>
        <v>521889.63063217246</v>
      </c>
    </row>
    <row r="30" spans="1:17" x14ac:dyDescent="0.2">
      <c r="A30" s="7" t="s">
        <v>90</v>
      </c>
      <c r="B30" t="s">
        <v>91</v>
      </c>
      <c r="C30" t="s">
        <v>92</v>
      </c>
      <c r="D30" s="71">
        <v>44104</v>
      </c>
      <c r="E30" s="74">
        <v>36.270000000000003</v>
      </c>
      <c r="F30" s="73">
        <v>87524.59</v>
      </c>
      <c r="G30" s="72">
        <f t="shared" si="0"/>
        <v>3174516.8793000001</v>
      </c>
      <c r="H30" s="75">
        <v>2795</v>
      </c>
      <c r="I30" s="75">
        <v>19663</v>
      </c>
      <c r="J30" s="76">
        <f t="shared" si="3"/>
        <v>0.14214514570513145</v>
      </c>
      <c r="K30" s="73">
        <f t="shared" si="1"/>
        <v>451242.16435149772</v>
      </c>
      <c r="L30" s="202">
        <f>K30*Reference!$J$22</f>
        <v>148503.79628807787</v>
      </c>
      <c r="M30" s="203">
        <f t="shared" si="4"/>
        <v>302738.36806341982</v>
      </c>
      <c r="N30" s="202">
        <f>K30*Reference!$J$23</f>
        <v>158837.24185172719</v>
      </c>
      <c r="O30" s="203">
        <f t="shared" si="2"/>
        <v>292404.92249977053</v>
      </c>
      <c r="P30" s="202">
        <f>K30*Reference!$J$21</f>
        <v>177473.54323944406</v>
      </c>
      <c r="Q30" s="203">
        <f t="shared" si="5"/>
        <v>273768.62111205363</v>
      </c>
    </row>
    <row r="31" spans="1:17" x14ac:dyDescent="0.2">
      <c r="A31" s="7" t="s">
        <v>93</v>
      </c>
      <c r="B31" t="s">
        <v>94</v>
      </c>
      <c r="C31" t="s">
        <v>95</v>
      </c>
      <c r="D31" s="71">
        <v>44012</v>
      </c>
      <c r="E31" s="74">
        <v>28.43</v>
      </c>
      <c r="F31" s="73">
        <v>86281.09</v>
      </c>
      <c r="G31" s="72">
        <f t="shared" si="0"/>
        <v>2452971.3887</v>
      </c>
      <c r="H31" s="75">
        <v>12200</v>
      </c>
      <c r="I31" s="75">
        <v>66204</v>
      </c>
      <c r="J31" s="76">
        <f t="shared" si="3"/>
        <v>0.18427889553501298</v>
      </c>
      <c r="K31" s="73">
        <f t="shared" si="1"/>
        <v>452030.85828862299</v>
      </c>
      <c r="L31" s="202">
        <f>K31*Reference!$J$22</f>
        <v>148763.35546278581</v>
      </c>
      <c r="M31" s="203">
        <f t="shared" si="4"/>
        <v>303267.50282583717</v>
      </c>
      <c r="N31" s="202">
        <f>K31*Reference!$J$23</f>
        <v>159114.86211759527</v>
      </c>
      <c r="O31" s="203">
        <f t="shared" si="2"/>
        <v>292915.99617102771</v>
      </c>
      <c r="P31" s="202">
        <f>K31*Reference!$J$21</f>
        <v>177783.73656491542</v>
      </c>
      <c r="Q31" s="203">
        <f t="shared" si="5"/>
        <v>274247.12172370753</v>
      </c>
    </row>
    <row r="32" spans="1:17" x14ac:dyDescent="0.2">
      <c r="A32" s="7" t="s">
        <v>96</v>
      </c>
      <c r="B32" t="s">
        <v>97</v>
      </c>
      <c r="C32" t="s">
        <v>98</v>
      </c>
      <c r="D32" s="71">
        <v>44074</v>
      </c>
      <c r="E32" s="74">
        <v>43.33</v>
      </c>
      <c r="F32" s="73">
        <v>108202.27</v>
      </c>
      <c r="G32" s="72">
        <f t="shared" si="0"/>
        <v>4688404.3591</v>
      </c>
      <c r="H32" s="75">
        <v>30523</v>
      </c>
      <c r="I32" s="75">
        <v>115519</v>
      </c>
      <c r="J32" s="76">
        <f t="shared" si="3"/>
        <v>0.26422493269505448</v>
      </c>
      <c r="K32" s="73">
        <f t="shared" si="1"/>
        <v>1238793.3262303974</v>
      </c>
      <c r="L32" s="202">
        <f>K32*Reference!$J$22</f>
        <v>407686.88366242376</v>
      </c>
      <c r="M32" s="203">
        <f t="shared" si="4"/>
        <v>831106.44256797363</v>
      </c>
      <c r="N32" s="202">
        <f>K32*Reference!$J$23</f>
        <v>436055.25083309988</v>
      </c>
      <c r="O32" s="203">
        <f t="shared" si="2"/>
        <v>802738.07539729751</v>
      </c>
      <c r="P32" s="202">
        <f>K32*Reference!$J$21</f>
        <v>487217.41520641529</v>
      </c>
      <c r="Q32" s="203">
        <f t="shared" si="5"/>
        <v>751575.9110239821</v>
      </c>
    </row>
    <row r="33" spans="1:17" x14ac:dyDescent="0.2">
      <c r="A33" s="7" t="s">
        <v>99</v>
      </c>
      <c r="B33" t="s">
        <v>100</v>
      </c>
      <c r="C33" t="s">
        <v>101</v>
      </c>
      <c r="D33" s="71">
        <v>44104</v>
      </c>
      <c r="E33" s="74">
        <v>36.119999999999997</v>
      </c>
      <c r="F33" s="73">
        <v>87524.59</v>
      </c>
      <c r="G33" s="72">
        <f t="shared" si="0"/>
        <v>3161388.1907999995</v>
      </c>
      <c r="H33" s="75">
        <v>18428</v>
      </c>
      <c r="I33" s="75">
        <v>76713</v>
      </c>
      <c r="J33" s="76">
        <f t="shared" si="3"/>
        <v>0.2402200409317847</v>
      </c>
      <c r="K33" s="73">
        <f t="shared" si="1"/>
        <v>759428.80059523671</v>
      </c>
      <c r="L33" s="202">
        <f>K33*Reference!$J$22</f>
        <v>249928.01827589236</v>
      </c>
      <c r="M33" s="203">
        <f t="shared" si="4"/>
        <v>509500.78231934435</v>
      </c>
      <c r="N33" s="202">
        <f>K33*Reference!$J$23</f>
        <v>267318.93780952331</v>
      </c>
      <c r="O33" s="203">
        <f t="shared" si="2"/>
        <v>492109.8627857134</v>
      </c>
      <c r="P33" s="202">
        <f>K33*Reference!$J$21</f>
        <v>298683.34727410658</v>
      </c>
      <c r="Q33" s="203">
        <f t="shared" si="5"/>
        <v>460745.45332113013</v>
      </c>
    </row>
    <row r="34" spans="1:17" x14ac:dyDescent="0.2">
      <c r="A34" s="7" t="s">
        <v>102</v>
      </c>
      <c r="B34" t="s">
        <v>103</v>
      </c>
      <c r="C34" t="s">
        <v>104</v>
      </c>
      <c r="D34" s="71">
        <v>44012</v>
      </c>
      <c r="E34" s="74">
        <v>28.27</v>
      </c>
      <c r="F34" s="73">
        <v>87611.81</v>
      </c>
      <c r="G34" s="72">
        <f t="shared" si="0"/>
        <v>2476785.8687</v>
      </c>
      <c r="H34" s="75">
        <v>25872</v>
      </c>
      <c r="I34" s="75">
        <v>106628</v>
      </c>
      <c r="J34" s="76">
        <f t="shared" si="3"/>
        <v>0.24263795625914394</v>
      </c>
      <c r="K34" s="73">
        <f t="shared" si="1"/>
        <v>600962.26127289643</v>
      </c>
      <c r="L34" s="202">
        <f>K34*Reference!$J$22</f>
        <v>197776.68018491019</v>
      </c>
      <c r="M34" s="203">
        <f t="shared" si="4"/>
        <v>403185.58108798624</v>
      </c>
      <c r="N34" s="202">
        <f>K34*Reference!$J$23</f>
        <v>211538.71596805952</v>
      </c>
      <c r="O34" s="203">
        <f t="shared" si="2"/>
        <v>389423.54530483694</v>
      </c>
      <c r="P34" s="202">
        <f>K34*Reference!$J$21</f>
        <v>236358.45735863017</v>
      </c>
      <c r="Q34" s="203">
        <f t="shared" si="5"/>
        <v>364603.80391426629</v>
      </c>
    </row>
    <row r="35" spans="1:17" x14ac:dyDescent="0.2">
      <c r="A35" s="7" t="s">
        <v>105</v>
      </c>
      <c r="B35" t="s">
        <v>106</v>
      </c>
      <c r="C35" t="s">
        <v>42</v>
      </c>
      <c r="D35" s="71">
        <v>44012</v>
      </c>
      <c r="E35" s="74">
        <v>50.58</v>
      </c>
      <c r="F35" s="73">
        <v>97794.63</v>
      </c>
      <c r="G35" s="72">
        <f t="shared" ref="G35:G66" si="6">F35*E35</f>
        <v>4946452.3854</v>
      </c>
      <c r="H35" s="75">
        <v>26336</v>
      </c>
      <c r="I35" s="75">
        <v>38094</v>
      </c>
      <c r="J35" s="76">
        <f t="shared" si="3"/>
        <v>0.69134246863023052</v>
      </c>
      <c r="K35" s="73">
        <f t="shared" ref="K35:K66" si="7">G35*J35</f>
        <v>3419692.6030843286</v>
      </c>
      <c r="L35" s="202">
        <f>K35*Reference!$J$22</f>
        <v>1125420.8356750524</v>
      </c>
      <c r="M35" s="203">
        <f t="shared" si="4"/>
        <v>2294271.7674092762</v>
      </c>
      <c r="N35" s="202">
        <f>K35*Reference!$J$23</f>
        <v>1203731.7962856835</v>
      </c>
      <c r="O35" s="203">
        <f t="shared" si="2"/>
        <v>2215960.8067986453</v>
      </c>
      <c r="P35" s="202">
        <f>K35*Reference!$J$21</f>
        <v>1344965.1007930664</v>
      </c>
      <c r="Q35" s="203">
        <f t="shared" si="5"/>
        <v>2074727.5022912621</v>
      </c>
    </row>
    <row r="36" spans="1:17" x14ac:dyDescent="0.2">
      <c r="A36" s="7" t="s">
        <v>107</v>
      </c>
      <c r="B36" t="s">
        <v>108</v>
      </c>
      <c r="C36" t="s">
        <v>109</v>
      </c>
      <c r="D36" s="71">
        <v>44104</v>
      </c>
      <c r="E36" s="74">
        <v>22.24</v>
      </c>
      <c r="F36" s="73">
        <v>87524.59</v>
      </c>
      <c r="G36" s="72">
        <f t="shared" si="6"/>
        <v>1946546.8815999997</v>
      </c>
      <c r="H36" s="75">
        <v>7249</v>
      </c>
      <c r="I36" s="75">
        <v>36529</v>
      </c>
      <c r="J36" s="76">
        <f t="shared" si="3"/>
        <v>0.19844507103944811</v>
      </c>
      <c r="K36" s="73">
        <f t="shared" si="7"/>
        <v>386282.63420072815</v>
      </c>
      <c r="L36" s="202">
        <f>K36*Reference!$J$22</f>
        <v>127125.61491545962</v>
      </c>
      <c r="M36" s="203">
        <f t="shared" si="4"/>
        <v>259157.01928526853</v>
      </c>
      <c r="N36" s="202">
        <f>K36*Reference!$J$23</f>
        <v>135971.48723865629</v>
      </c>
      <c r="O36" s="203">
        <f t="shared" si="2"/>
        <v>250311.14696207186</v>
      </c>
      <c r="P36" s="202">
        <f>K36*Reference!$J$21</f>
        <v>151924.96003114639</v>
      </c>
      <c r="Q36" s="203">
        <f t="shared" si="5"/>
        <v>234357.67416958176</v>
      </c>
    </row>
    <row r="37" spans="1:17" x14ac:dyDescent="0.2">
      <c r="A37" s="7" t="s">
        <v>110</v>
      </c>
      <c r="B37" t="s">
        <v>111</v>
      </c>
      <c r="C37" t="s">
        <v>31</v>
      </c>
      <c r="D37" s="71">
        <v>43830</v>
      </c>
      <c r="E37" s="74">
        <v>31.54</v>
      </c>
      <c r="F37" s="73">
        <v>93198.22</v>
      </c>
      <c r="G37" s="72">
        <f t="shared" si="6"/>
        <v>2939471.8588</v>
      </c>
      <c r="H37" s="75">
        <v>23879</v>
      </c>
      <c r="I37" s="75">
        <v>143396</v>
      </c>
      <c r="J37" s="76">
        <f t="shared" si="3"/>
        <v>0.16652486819716031</v>
      </c>
      <c r="K37" s="73">
        <f t="shared" si="7"/>
        <v>489495.16385593184</v>
      </c>
      <c r="L37" s="202">
        <f>K37*Reference!$J$22</f>
        <v>161092.85842498715</v>
      </c>
      <c r="M37" s="203">
        <f t="shared" si="4"/>
        <v>328402.30543094466</v>
      </c>
      <c r="N37" s="202">
        <f>K37*Reference!$J$23</f>
        <v>172302.29767728801</v>
      </c>
      <c r="O37" s="203">
        <f t="shared" si="2"/>
        <v>317192.86617864383</v>
      </c>
      <c r="P37" s="202">
        <f>K37*Reference!$J$21</f>
        <v>192518.44794453797</v>
      </c>
      <c r="Q37" s="203">
        <f t="shared" si="5"/>
        <v>296976.71591139387</v>
      </c>
    </row>
    <row r="38" spans="1:17" x14ac:dyDescent="0.2">
      <c r="A38" s="7" t="s">
        <v>112</v>
      </c>
      <c r="B38" t="s">
        <v>113</v>
      </c>
      <c r="C38" t="s">
        <v>114</v>
      </c>
      <c r="D38" s="71">
        <v>43982</v>
      </c>
      <c r="E38" s="74">
        <v>34.979999999999997</v>
      </c>
      <c r="F38" s="73">
        <v>87480</v>
      </c>
      <c r="G38" s="72">
        <f t="shared" si="6"/>
        <v>3060050.4</v>
      </c>
      <c r="H38" s="75">
        <v>2603</v>
      </c>
      <c r="I38" s="75">
        <v>43188</v>
      </c>
      <c r="J38" s="76">
        <f t="shared" si="3"/>
        <v>6.0271371677317775E-2</v>
      </c>
      <c r="K38" s="73">
        <f t="shared" si="7"/>
        <v>184433.43500972493</v>
      </c>
      <c r="L38" s="202">
        <f>K38*Reference!$J$22</f>
        <v>60697.043461700465</v>
      </c>
      <c r="M38" s="203">
        <f t="shared" si="4"/>
        <v>123736.39154802446</v>
      </c>
      <c r="N38" s="202">
        <f>K38*Reference!$J$23</f>
        <v>64920.569123423171</v>
      </c>
      <c r="O38" s="203">
        <f t="shared" si="2"/>
        <v>119512.86588630176</v>
      </c>
      <c r="P38" s="202">
        <f>K38*Reference!$J$21</f>
        <v>72537.669989324815</v>
      </c>
      <c r="Q38" s="203">
        <f t="shared" si="5"/>
        <v>111895.76502040011</v>
      </c>
    </row>
    <row r="39" spans="1:17" x14ac:dyDescent="0.2">
      <c r="A39" s="7" t="s">
        <v>115</v>
      </c>
      <c r="B39" t="s">
        <v>116</v>
      </c>
      <c r="C39" t="s">
        <v>39</v>
      </c>
      <c r="D39" s="71">
        <v>44043</v>
      </c>
      <c r="E39" s="74">
        <v>46.95</v>
      </c>
      <c r="F39" s="73">
        <v>89840.2</v>
      </c>
      <c r="G39" s="72">
        <f t="shared" si="6"/>
        <v>4217997.3899999997</v>
      </c>
      <c r="H39" s="75">
        <v>30383</v>
      </c>
      <c r="I39" s="75">
        <v>127595</v>
      </c>
      <c r="J39" s="76">
        <f t="shared" si="3"/>
        <v>0.2381206160115992</v>
      </c>
      <c r="K39" s="73">
        <f t="shared" si="7"/>
        <v>1004392.1368421175</v>
      </c>
      <c r="L39" s="202">
        <f>K39*Reference!$J$22</f>
        <v>330545.45223474083</v>
      </c>
      <c r="M39" s="203">
        <f t="shared" si="4"/>
        <v>673846.68460737669</v>
      </c>
      <c r="N39" s="202">
        <f>K39*Reference!$J$23</f>
        <v>353546.03216842533</v>
      </c>
      <c r="O39" s="203">
        <f t="shared" si="2"/>
        <v>650846.10467369226</v>
      </c>
      <c r="P39" s="202">
        <f>K39*Reference!$J$21</f>
        <v>395027.42742000479</v>
      </c>
      <c r="Q39" s="203">
        <f t="shared" si="5"/>
        <v>609364.70942211268</v>
      </c>
    </row>
    <row r="40" spans="1:17" x14ac:dyDescent="0.2">
      <c r="A40" s="7" t="s">
        <v>117</v>
      </c>
      <c r="B40" t="s">
        <v>118</v>
      </c>
      <c r="C40" t="s">
        <v>42</v>
      </c>
      <c r="D40" s="71">
        <v>44012</v>
      </c>
      <c r="E40" s="74">
        <v>32.99</v>
      </c>
      <c r="F40" s="73">
        <v>91087.05</v>
      </c>
      <c r="G40" s="72">
        <f t="shared" si="6"/>
        <v>3004961.7795000002</v>
      </c>
      <c r="H40" s="75">
        <v>13667</v>
      </c>
      <c r="I40" s="75">
        <v>91954</v>
      </c>
      <c r="J40" s="76">
        <f t="shared" si="3"/>
        <v>0.14862866215716555</v>
      </c>
      <c r="K40" s="73">
        <f t="shared" si="7"/>
        <v>446623.44912050053</v>
      </c>
      <c r="L40" s="202">
        <f>K40*Reference!$J$22</f>
        <v>146983.77710555671</v>
      </c>
      <c r="M40" s="203">
        <f t="shared" si="4"/>
        <v>299639.67201494379</v>
      </c>
      <c r="N40" s="202">
        <f>K40*Reference!$J$23</f>
        <v>157211.45409041617</v>
      </c>
      <c r="O40" s="203">
        <f t="shared" si="2"/>
        <v>289411.99503008439</v>
      </c>
      <c r="P40" s="202">
        <f>K40*Reference!$J$21</f>
        <v>175657.00253909285</v>
      </c>
      <c r="Q40" s="203">
        <f t="shared" si="5"/>
        <v>270966.44658140768</v>
      </c>
    </row>
    <row r="41" spans="1:17" x14ac:dyDescent="0.2">
      <c r="A41" s="7" t="s">
        <v>119</v>
      </c>
      <c r="B41" t="s">
        <v>120</v>
      </c>
      <c r="C41" t="s">
        <v>26</v>
      </c>
      <c r="D41" s="71">
        <v>43861</v>
      </c>
      <c r="E41" s="74">
        <v>66.02</v>
      </c>
      <c r="F41" s="73">
        <v>92156.06</v>
      </c>
      <c r="G41" s="72">
        <f t="shared" si="6"/>
        <v>6084143.0811999999</v>
      </c>
      <c r="H41" s="75">
        <v>5455</v>
      </c>
      <c r="I41" s="75">
        <v>60286</v>
      </c>
      <c r="J41" s="76">
        <f t="shared" si="3"/>
        <v>9.0485353149985071E-2</v>
      </c>
      <c r="K41" s="73">
        <f t="shared" si="7"/>
        <v>550525.83531742031</v>
      </c>
      <c r="L41" s="202">
        <f>K41*Reference!$J$22</f>
        <v>181178.05240296299</v>
      </c>
      <c r="M41" s="203">
        <f t="shared" si="4"/>
        <v>369347.78291445732</v>
      </c>
      <c r="N41" s="202">
        <f>K41*Reference!$J$23</f>
        <v>193785.09403173195</v>
      </c>
      <c r="O41" s="203">
        <f t="shared" si="2"/>
        <v>356740.74128568836</v>
      </c>
      <c r="P41" s="202">
        <f>K41*Reference!$J$21</f>
        <v>216521.8110303414</v>
      </c>
      <c r="Q41" s="203">
        <f t="shared" si="5"/>
        <v>334004.02428707888</v>
      </c>
    </row>
    <row r="42" spans="1:17" x14ac:dyDescent="0.2">
      <c r="A42" s="7" t="s">
        <v>121</v>
      </c>
      <c r="B42" t="s">
        <v>122</v>
      </c>
      <c r="C42" t="s">
        <v>34</v>
      </c>
      <c r="D42" s="71">
        <v>44104</v>
      </c>
      <c r="E42" s="74">
        <v>43.58</v>
      </c>
      <c r="F42" s="73">
        <v>98233.45</v>
      </c>
      <c r="G42" s="72">
        <f t="shared" si="6"/>
        <v>4281013.7510000002</v>
      </c>
      <c r="H42" s="75">
        <v>23893</v>
      </c>
      <c r="I42" s="75">
        <v>150815</v>
      </c>
      <c r="J42" s="76">
        <f t="shared" si="3"/>
        <v>0.15842588601929516</v>
      </c>
      <c r="K42" s="73">
        <f t="shared" si="7"/>
        <v>678223.39656296128</v>
      </c>
      <c r="L42" s="202">
        <f>K42*Reference!$J$22</f>
        <v>223203.31980887052</v>
      </c>
      <c r="M42" s="203">
        <f t="shared" si="4"/>
        <v>455020.07675409073</v>
      </c>
      <c r="N42" s="202">
        <f>K42*Reference!$J$23</f>
        <v>238734.63559016236</v>
      </c>
      <c r="O42" s="203">
        <f t="shared" si="2"/>
        <v>439488.76097279892</v>
      </c>
      <c r="P42" s="202">
        <f>K42*Reference!$J$21</f>
        <v>266745.26186821266</v>
      </c>
      <c r="Q42" s="203">
        <f t="shared" si="5"/>
        <v>411478.13469474862</v>
      </c>
    </row>
    <row r="43" spans="1:17" x14ac:dyDescent="0.2">
      <c r="A43" s="7" t="s">
        <v>123</v>
      </c>
      <c r="B43" t="s">
        <v>124</v>
      </c>
      <c r="C43" t="s">
        <v>98</v>
      </c>
      <c r="D43" s="71">
        <v>44074</v>
      </c>
      <c r="E43" s="74">
        <v>47.03</v>
      </c>
      <c r="F43" s="73">
        <v>92399.16</v>
      </c>
      <c r="G43" s="72">
        <f t="shared" si="6"/>
        <v>4345532.4948000005</v>
      </c>
      <c r="H43" s="75">
        <v>21297</v>
      </c>
      <c r="I43" s="75">
        <v>28358</v>
      </c>
      <c r="J43" s="76">
        <f t="shared" si="3"/>
        <v>0.75100500740531773</v>
      </c>
      <c r="K43" s="73">
        <f t="shared" si="7"/>
        <v>3263516.6634373232</v>
      </c>
      <c r="L43" s="202">
        <f>K43*Reference!$J$22</f>
        <v>1074023.3339372228</v>
      </c>
      <c r="M43" s="203">
        <f t="shared" si="4"/>
        <v>2189493.3295001006</v>
      </c>
      <c r="N43" s="202">
        <f>K43*Reference!$J$23</f>
        <v>1148757.8655299377</v>
      </c>
      <c r="O43" s="203">
        <f t="shared" si="2"/>
        <v>2114758.7979073855</v>
      </c>
      <c r="P43" s="202">
        <f>K43*Reference!$J$21</f>
        <v>1283541.103729899</v>
      </c>
      <c r="Q43" s="203">
        <f t="shared" si="5"/>
        <v>1979975.5597074241</v>
      </c>
    </row>
    <row r="44" spans="1:17" x14ac:dyDescent="0.2">
      <c r="A44" s="7" t="s">
        <v>125</v>
      </c>
      <c r="B44" t="s">
        <v>126</v>
      </c>
      <c r="C44" t="s">
        <v>98</v>
      </c>
      <c r="D44" s="71">
        <v>44012</v>
      </c>
      <c r="E44" s="74">
        <v>63.24</v>
      </c>
      <c r="F44" s="73">
        <v>88735.56</v>
      </c>
      <c r="G44" s="72">
        <f t="shared" si="6"/>
        <v>5611636.8143999996</v>
      </c>
      <c r="H44" s="75">
        <v>28019</v>
      </c>
      <c r="I44" s="75">
        <v>150711</v>
      </c>
      <c r="J44" s="76">
        <f t="shared" si="3"/>
        <v>0.18591210993225446</v>
      </c>
      <c r="K44" s="73">
        <f t="shared" si="7"/>
        <v>1043271.240338619</v>
      </c>
      <c r="L44" s="202">
        <f>K44*Reference!$J$22</f>
        <v>343340.56519543944</v>
      </c>
      <c r="M44" s="203">
        <f t="shared" si="4"/>
        <v>699930.67514317948</v>
      </c>
      <c r="N44" s="202">
        <f>K44*Reference!$J$23</f>
        <v>367231.47659919388</v>
      </c>
      <c r="O44" s="203">
        <f t="shared" si="2"/>
        <v>676039.76373942511</v>
      </c>
      <c r="P44" s="202">
        <f>K44*Reference!$J$21</f>
        <v>410318.57882517885</v>
      </c>
      <c r="Q44" s="203">
        <f t="shared" si="5"/>
        <v>632952.66151344008</v>
      </c>
    </row>
    <row r="45" spans="1:17" x14ac:dyDescent="0.2">
      <c r="A45" s="7" t="s">
        <v>127</v>
      </c>
      <c r="B45" t="s">
        <v>128</v>
      </c>
      <c r="C45" t="s">
        <v>34</v>
      </c>
      <c r="D45" s="71">
        <v>44012</v>
      </c>
      <c r="E45" s="74">
        <v>50.62</v>
      </c>
      <c r="F45" s="73">
        <v>130720.09</v>
      </c>
      <c r="G45" s="72">
        <f t="shared" si="6"/>
        <v>6617050.9557999996</v>
      </c>
      <c r="H45" s="75">
        <v>72293</v>
      </c>
      <c r="I45" s="75">
        <v>361526</v>
      </c>
      <c r="J45" s="76">
        <f t="shared" si="3"/>
        <v>0.19996625415599431</v>
      </c>
      <c r="K45" s="73">
        <f t="shared" si="7"/>
        <v>1323186.8931906677</v>
      </c>
      <c r="L45" s="202">
        <f>K45*Reference!$J$22</f>
        <v>435460.80654904869</v>
      </c>
      <c r="M45" s="203">
        <f t="shared" si="4"/>
        <v>887726.08664161898</v>
      </c>
      <c r="N45" s="202">
        <f>K45*Reference!$J$23</f>
        <v>465761.78640311502</v>
      </c>
      <c r="O45" s="203">
        <f t="shared" si="2"/>
        <v>857425.10678755271</v>
      </c>
      <c r="P45" s="202">
        <f>K45*Reference!$J$21</f>
        <v>520409.40509188961</v>
      </c>
      <c r="Q45" s="203">
        <f t="shared" si="5"/>
        <v>802777.48809877806</v>
      </c>
    </row>
    <row r="46" spans="1:17" x14ac:dyDescent="0.2">
      <c r="A46" s="7" t="s">
        <v>129</v>
      </c>
      <c r="B46" t="s">
        <v>130</v>
      </c>
      <c r="C46" t="s">
        <v>104</v>
      </c>
      <c r="D46" s="71">
        <v>44012</v>
      </c>
      <c r="E46" s="74">
        <v>159.66</v>
      </c>
      <c r="F46" s="73">
        <v>94047.77</v>
      </c>
      <c r="G46" s="72">
        <f t="shared" si="6"/>
        <v>15015666.9582</v>
      </c>
      <c r="H46" s="75">
        <v>10433</v>
      </c>
      <c r="I46" s="75">
        <v>72771</v>
      </c>
      <c r="J46" s="76">
        <f t="shared" si="3"/>
        <v>0.14336755026040593</v>
      </c>
      <c r="K46" s="73">
        <f t="shared" si="7"/>
        <v>2152759.3873232552</v>
      </c>
      <c r="L46" s="202">
        <f>K46*Reference!$J$22</f>
        <v>708473.11436808319</v>
      </c>
      <c r="M46" s="203">
        <f t="shared" si="4"/>
        <v>1444286.272955172</v>
      </c>
      <c r="N46" s="202">
        <f>K46*Reference!$J$23</f>
        <v>757771.30433778581</v>
      </c>
      <c r="O46" s="203">
        <f t="shared" si="2"/>
        <v>1394988.0829854694</v>
      </c>
      <c r="P46" s="202">
        <f>K46*Reference!$J$21</f>
        <v>846680.26703423623</v>
      </c>
      <c r="Q46" s="203">
        <f t="shared" si="5"/>
        <v>1306079.1202890188</v>
      </c>
    </row>
    <row r="47" spans="1:17" x14ac:dyDescent="0.2">
      <c r="A47" s="7" t="s">
        <v>131</v>
      </c>
      <c r="B47" t="s">
        <v>132</v>
      </c>
      <c r="C47" t="s">
        <v>72</v>
      </c>
      <c r="D47" s="71">
        <v>43830</v>
      </c>
      <c r="E47" s="74">
        <v>64</v>
      </c>
      <c r="F47" s="73">
        <v>88112.7</v>
      </c>
      <c r="G47" s="72">
        <f t="shared" si="6"/>
        <v>5639212.7999999998</v>
      </c>
      <c r="H47" s="75">
        <v>27517</v>
      </c>
      <c r="I47" s="75">
        <v>78583</v>
      </c>
      <c r="J47" s="76">
        <f t="shared" si="3"/>
        <v>0.35016479391216931</v>
      </c>
      <c r="K47" s="73">
        <f t="shared" si="7"/>
        <v>1974653.7879388672</v>
      </c>
      <c r="L47" s="202">
        <f>K47*Reference!$J$22</f>
        <v>649858.56161068112</v>
      </c>
      <c r="M47" s="203">
        <f t="shared" si="4"/>
        <v>1324795.2263281862</v>
      </c>
      <c r="N47" s="202">
        <f>K47*Reference!$J$23</f>
        <v>695078.13335448119</v>
      </c>
      <c r="O47" s="203">
        <f t="shared" si="2"/>
        <v>1279575.6545843859</v>
      </c>
      <c r="P47" s="202">
        <f>K47*Reference!$J$21</f>
        <v>776631.3347963565</v>
      </c>
      <c r="Q47" s="203">
        <f t="shared" si="5"/>
        <v>1198022.4531425107</v>
      </c>
    </row>
    <row r="48" spans="1:17" x14ac:dyDescent="0.2">
      <c r="A48" s="7" t="s">
        <v>133</v>
      </c>
      <c r="B48" t="s">
        <v>134</v>
      </c>
      <c r="C48" t="s">
        <v>31</v>
      </c>
      <c r="D48" s="71">
        <v>44012</v>
      </c>
      <c r="E48" s="74">
        <v>66.900000000000006</v>
      </c>
      <c r="F48" s="73">
        <v>96357.18</v>
      </c>
      <c r="G48" s="72">
        <f t="shared" si="6"/>
        <v>6446295.3420000002</v>
      </c>
      <c r="H48" s="75">
        <v>23201</v>
      </c>
      <c r="I48" s="75">
        <v>94329</v>
      </c>
      <c r="J48" s="76">
        <f t="shared" si="3"/>
        <v>0.2459582949040062</v>
      </c>
      <c r="K48" s="73">
        <f t="shared" si="7"/>
        <v>1585519.8107659575</v>
      </c>
      <c r="L48" s="202">
        <f>K48*Reference!$J$22</f>
        <v>521794.56972307654</v>
      </c>
      <c r="M48" s="203">
        <f t="shared" si="4"/>
        <v>1063725.2410428808</v>
      </c>
      <c r="N48" s="202">
        <f>K48*Reference!$J$23</f>
        <v>558102.97338961705</v>
      </c>
      <c r="O48" s="203">
        <f t="shared" si="2"/>
        <v>1027416.8373763404</v>
      </c>
      <c r="P48" s="202">
        <f>K48*Reference!$J$21</f>
        <v>623584.94157425105</v>
      </c>
      <c r="Q48" s="203">
        <f t="shared" si="5"/>
        <v>961934.86919170641</v>
      </c>
    </row>
    <row r="49" spans="1:17" x14ac:dyDescent="0.2">
      <c r="A49" s="7" t="s">
        <v>135</v>
      </c>
      <c r="B49" t="s">
        <v>136</v>
      </c>
      <c r="C49" t="s">
        <v>53</v>
      </c>
      <c r="D49" s="71">
        <v>43830</v>
      </c>
      <c r="E49" s="74">
        <v>94.3</v>
      </c>
      <c r="F49" s="73">
        <v>87225.49</v>
      </c>
      <c r="G49" s="72">
        <f t="shared" si="6"/>
        <v>8225363.7070000004</v>
      </c>
      <c r="H49" s="75">
        <v>59709</v>
      </c>
      <c r="I49" s="75">
        <v>133835</v>
      </c>
      <c r="J49" s="76">
        <f t="shared" si="3"/>
        <v>0.44613890237979603</v>
      </c>
      <c r="K49" s="73">
        <f t="shared" si="7"/>
        <v>3669654.7359155905</v>
      </c>
      <c r="L49" s="202">
        <f>K49*Reference!$J$22</f>
        <v>1207683.3735898207</v>
      </c>
      <c r="M49" s="203">
        <f t="shared" si="4"/>
        <v>2461971.3623257698</v>
      </c>
      <c r="N49" s="202">
        <f>K49*Reference!$J$23</f>
        <v>1291718.4670422878</v>
      </c>
      <c r="O49" s="203">
        <f t="shared" si="2"/>
        <v>2377936.2688733027</v>
      </c>
      <c r="P49" s="202">
        <f>K49*Reference!$J$21</f>
        <v>1443275.2076356017</v>
      </c>
      <c r="Q49" s="203">
        <f t="shared" si="5"/>
        <v>2226379.528279989</v>
      </c>
    </row>
    <row r="50" spans="1:17" x14ac:dyDescent="0.2">
      <c r="A50" s="7" t="s">
        <v>137</v>
      </c>
      <c r="B50" t="s">
        <v>138</v>
      </c>
      <c r="C50" t="s">
        <v>31</v>
      </c>
      <c r="D50" s="71">
        <v>44012</v>
      </c>
      <c r="E50" s="74">
        <v>199.9</v>
      </c>
      <c r="F50" s="73">
        <v>96339.29</v>
      </c>
      <c r="G50" s="72">
        <f t="shared" si="6"/>
        <v>19258224.070999999</v>
      </c>
      <c r="H50" s="75">
        <v>30460</v>
      </c>
      <c r="I50" s="75">
        <v>240207</v>
      </c>
      <c r="J50" s="76">
        <f t="shared" si="3"/>
        <v>0.12680729537440624</v>
      </c>
      <c r="K50" s="73">
        <f t="shared" si="7"/>
        <v>2442083.308157797</v>
      </c>
      <c r="L50" s="202">
        <f>K50*Reference!$J$22</f>
        <v>803689.61671473086</v>
      </c>
      <c r="M50" s="203">
        <f t="shared" si="4"/>
        <v>1638393.6914430661</v>
      </c>
      <c r="N50" s="202">
        <f>K50*Reference!$J$23</f>
        <v>859613.32447154447</v>
      </c>
      <c r="O50" s="203">
        <f t="shared" si="2"/>
        <v>1582469.9836862525</v>
      </c>
      <c r="P50" s="202">
        <f>K50*Reference!$J$21</f>
        <v>960471.36509846151</v>
      </c>
      <c r="Q50" s="203">
        <f t="shared" si="5"/>
        <v>1481611.9430593355</v>
      </c>
    </row>
    <row r="51" spans="1:17" x14ac:dyDescent="0.2">
      <c r="A51" s="7" t="s">
        <v>139</v>
      </c>
      <c r="B51" t="s">
        <v>140</v>
      </c>
      <c r="C51" t="s">
        <v>34</v>
      </c>
      <c r="D51" s="71">
        <v>44012</v>
      </c>
      <c r="E51" s="74">
        <v>193.74</v>
      </c>
      <c r="F51" s="73">
        <v>97580.87</v>
      </c>
      <c r="G51" s="72">
        <f t="shared" si="6"/>
        <v>18905317.753800001</v>
      </c>
      <c r="H51" s="75">
        <v>16779</v>
      </c>
      <c r="I51" s="75">
        <v>151023</v>
      </c>
      <c r="J51" s="76">
        <f t="shared" ref="J51:J70" si="8">H51/I51</f>
        <v>0.11110228243380148</v>
      </c>
      <c r="K51" s="73">
        <f t="shared" si="7"/>
        <v>2100423.952583449</v>
      </c>
      <c r="L51" s="202">
        <f>K51*Reference!$J$22</f>
        <v>691249.52279521292</v>
      </c>
      <c r="M51" s="203">
        <f t="shared" ref="M51:M70" si="9">K51-L51</f>
        <v>1409174.429788236</v>
      </c>
      <c r="N51" s="202">
        <f>K51*Reference!$J$23</f>
        <v>739349.23130937398</v>
      </c>
      <c r="O51" s="203">
        <f t="shared" si="2"/>
        <v>1361074.7212740751</v>
      </c>
      <c r="P51" s="202">
        <f>K51*Reference!$J$21</f>
        <v>826096.74055107043</v>
      </c>
      <c r="Q51" s="203">
        <f t="shared" si="5"/>
        <v>1274327.2120323787</v>
      </c>
    </row>
    <row r="52" spans="1:17" x14ac:dyDescent="0.2">
      <c r="A52" s="7" t="s">
        <v>141</v>
      </c>
      <c r="B52" t="s">
        <v>142</v>
      </c>
      <c r="C52" t="s">
        <v>31</v>
      </c>
      <c r="D52" s="71">
        <v>43830</v>
      </c>
      <c r="E52" s="74">
        <v>241.74</v>
      </c>
      <c r="F52" s="73">
        <v>94677.91</v>
      </c>
      <c r="G52" s="72">
        <f t="shared" si="6"/>
        <v>22887437.963400003</v>
      </c>
      <c r="H52" s="75">
        <v>58555</v>
      </c>
      <c r="I52" s="75">
        <v>109520</v>
      </c>
      <c r="J52" s="76">
        <f t="shared" si="8"/>
        <v>0.53465120525931342</v>
      </c>
      <c r="K52" s="73">
        <f t="shared" si="7"/>
        <v>12236796.292429578</v>
      </c>
      <c r="L52" s="202">
        <f>K52*Reference!$J$22</f>
        <v>4027129.6598385735</v>
      </c>
      <c r="M52" s="203">
        <f t="shared" si="9"/>
        <v>8209666.6325910036</v>
      </c>
      <c r="N52" s="202">
        <f>K52*Reference!$J$23</f>
        <v>4307352.2949352106</v>
      </c>
      <c r="O52" s="203">
        <f t="shared" si="2"/>
        <v>7929443.997494367</v>
      </c>
      <c r="P52" s="202">
        <f>K52*Reference!$J$21</f>
        <v>4812731.9818125525</v>
      </c>
      <c r="Q52" s="203">
        <f t="shared" si="5"/>
        <v>7424064.310617025</v>
      </c>
    </row>
    <row r="53" spans="1:17" x14ac:dyDescent="0.2">
      <c r="A53" s="7" t="s">
        <v>143</v>
      </c>
      <c r="B53" t="s">
        <v>144</v>
      </c>
      <c r="C53" t="s">
        <v>34</v>
      </c>
      <c r="D53" s="71">
        <v>44104</v>
      </c>
      <c r="E53" s="74">
        <v>432.7</v>
      </c>
      <c r="F53" s="73">
        <v>97499.3</v>
      </c>
      <c r="G53" s="72">
        <f t="shared" si="6"/>
        <v>42187947.109999999</v>
      </c>
      <c r="H53" s="75">
        <v>153649</v>
      </c>
      <c r="I53" s="75">
        <v>243579</v>
      </c>
      <c r="J53" s="76">
        <f t="shared" si="8"/>
        <v>0.63079740043271382</v>
      </c>
      <c r="K53" s="73">
        <f t="shared" si="7"/>
        <v>26612047.366580822</v>
      </c>
      <c r="L53" s="202">
        <f>K53*Reference!$J$22</f>
        <v>8758024.7883417476</v>
      </c>
      <c r="M53" s="203">
        <f t="shared" si="9"/>
        <v>17854022.578239076</v>
      </c>
      <c r="N53" s="202">
        <f>K53*Reference!$J$23</f>
        <v>9367440.6730364487</v>
      </c>
      <c r="O53" s="203">
        <f t="shared" si="2"/>
        <v>17244606.693544373</v>
      </c>
      <c r="P53" s="202">
        <f>K53*Reference!$J$21</f>
        <v>10466518.229276236</v>
      </c>
      <c r="Q53" s="203">
        <f t="shared" si="5"/>
        <v>16145529.137304585</v>
      </c>
    </row>
    <row r="54" spans="1:17" x14ac:dyDescent="0.2">
      <c r="A54" s="7" t="s">
        <v>145</v>
      </c>
      <c r="B54" t="s">
        <v>146</v>
      </c>
      <c r="C54" t="s">
        <v>34</v>
      </c>
      <c r="D54" s="71">
        <v>44012</v>
      </c>
      <c r="E54" s="74">
        <v>586.79</v>
      </c>
      <c r="F54" s="73">
        <v>98764.87</v>
      </c>
      <c r="G54" s="72">
        <f t="shared" si="6"/>
        <v>57954238.067299992</v>
      </c>
      <c r="H54" s="75">
        <v>94878</v>
      </c>
      <c r="I54" s="75">
        <v>285806</v>
      </c>
      <c r="J54" s="76">
        <f t="shared" si="8"/>
        <v>0.33196643877315379</v>
      </c>
      <c r="K54" s="73">
        <f t="shared" si="7"/>
        <v>19238862.023013122</v>
      </c>
      <c r="L54" s="202">
        <f>K54*Reference!$J$22</f>
        <v>6331509.4917736175</v>
      </c>
      <c r="M54" s="203">
        <f t="shared" si="9"/>
        <v>12907352.531239506</v>
      </c>
      <c r="N54" s="202">
        <f>K54*Reference!$J$23</f>
        <v>6772079.4321006183</v>
      </c>
      <c r="O54" s="203">
        <f t="shared" si="2"/>
        <v>12466782.590912504</v>
      </c>
      <c r="P54" s="202">
        <f>K54*Reference!$J$21</f>
        <v>7566644.4336510608</v>
      </c>
      <c r="Q54" s="203">
        <f t="shared" si="5"/>
        <v>11672217.589362063</v>
      </c>
    </row>
    <row r="55" spans="1:17" x14ac:dyDescent="0.2">
      <c r="A55" s="7" t="s">
        <v>147</v>
      </c>
      <c r="B55" t="s">
        <v>148</v>
      </c>
      <c r="C55" t="s">
        <v>149</v>
      </c>
      <c r="D55" s="71">
        <v>44074</v>
      </c>
      <c r="E55" s="74">
        <v>357.01</v>
      </c>
      <c r="F55" s="73">
        <v>146394.91</v>
      </c>
      <c r="G55" s="72">
        <f t="shared" si="6"/>
        <v>52264446.8191</v>
      </c>
      <c r="H55" s="75">
        <v>37676</v>
      </c>
      <c r="I55" s="75">
        <v>182537</v>
      </c>
      <c r="J55" s="76">
        <f t="shared" si="8"/>
        <v>0.20640198973358825</v>
      </c>
      <c r="K55" s="73">
        <f t="shared" si="7"/>
        <v>10787485.815787548</v>
      </c>
      <c r="L55" s="202">
        <f>K55*Reference!$J$22</f>
        <v>3550161.5819756817</v>
      </c>
      <c r="M55" s="203">
        <f t="shared" si="9"/>
        <v>7237324.2338118665</v>
      </c>
      <c r="N55" s="202">
        <f>K55*Reference!$J$23</f>
        <v>3797195.0071572168</v>
      </c>
      <c r="O55" s="203">
        <f t="shared" si="2"/>
        <v>6990290.8086303314</v>
      </c>
      <c r="P55" s="202">
        <f>K55*Reference!$J$21</f>
        <v>4242718.1713492423</v>
      </c>
      <c r="Q55" s="203">
        <f t="shared" si="5"/>
        <v>6544767.6444383059</v>
      </c>
    </row>
    <row r="56" spans="1:17" x14ac:dyDescent="0.2">
      <c r="A56" s="7" t="s">
        <v>150</v>
      </c>
      <c r="B56" t="s">
        <v>151</v>
      </c>
      <c r="C56" t="s">
        <v>53</v>
      </c>
      <c r="D56" s="71">
        <v>43830</v>
      </c>
      <c r="E56" s="74">
        <v>18</v>
      </c>
      <c r="F56" s="73">
        <v>0</v>
      </c>
      <c r="G56" s="72">
        <f t="shared" si="6"/>
        <v>0</v>
      </c>
      <c r="H56" s="77">
        <v>53486</v>
      </c>
      <c r="I56" s="77">
        <v>156520</v>
      </c>
      <c r="J56" s="78">
        <f t="shared" si="8"/>
        <v>0.34171990799897778</v>
      </c>
      <c r="K56" s="73">
        <f t="shared" si="7"/>
        <v>0</v>
      </c>
      <c r="L56" s="202">
        <f>K56*Reference!$J$22</f>
        <v>0</v>
      </c>
      <c r="M56" s="203">
        <f t="shared" si="9"/>
        <v>0</v>
      </c>
      <c r="N56" s="202">
        <f>K56*Reference!$J$23</f>
        <v>0</v>
      </c>
      <c r="O56" s="203">
        <f t="shared" si="2"/>
        <v>0</v>
      </c>
      <c r="P56" s="202">
        <f>K56*Reference!$J$21</f>
        <v>0</v>
      </c>
      <c r="Q56" s="203">
        <f t="shared" si="5"/>
        <v>0</v>
      </c>
    </row>
    <row r="57" spans="1:17" x14ac:dyDescent="0.2">
      <c r="A57" s="7" t="s">
        <v>152</v>
      </c>
      <c r="B57" t="s">
        <v>153</v>
      </c>
      <c r="C57" t="s">
        <v>31</v>
      </c>
      <c r="D57" s="71">
        <v>44012</v>
      </c>
      <c r="E57" s="74">
        <v>1</v>
      </c>
      <c r="F57" s="73">
        <v>0</v>
      </c>
      <c r="G57" s="72">
        <f t="shared" si="6"/>
        <v>0</v>
      </c>
      <c r="H57" s="77">
        <v>8134</v>
      </c>
      <c r="I57" s="77">
        <v>62106</v>
      </c>
      <c r="J57" s="78">
        <f t="shared" si="8"/>
        <v>0.13096963256368144</v>
      </c>
      <c r="K57" s="73">
        <f t="shared" si="7"/>
        <v>0</v>
      </c>
      <c r="L57" s="202">
        <f>K57*Reference!$J$22</f>
        <v>0</v>
      </c>
      <c r="M57" s="203">
        <f t="shared" si="9"/>
        <v>0</v>
      </c>
      <c r="N57" s="202">
        <f>K57*Reference!$J$23</f>
        <v>0</v>
      </c>
      <c r="O57" s="203">
        <f t="shared" si="2"/>
        <v>0</v>
      </c>
      <c r="P57" s="202">
        <f>K57*Reference!$J$21</f>
        <v>0</v>
      </c>
      <c r="Q57" s="203">
        <f t="shared" si="5"/>
        <v>0</v>
      </c>
    </row>
    <row r="58" spans="1:17" x14ac:dyDescent="0.2">
      <c r="A58" s="7" t="s">
        <v>154</v>
      </c>
      <c r="B58" t="s">
        <v>155</v>
      </c>
      <c r="C58" t="s">
        <v>34</v>
      </c>
      <c r="D58" s="71">
        <v>43830</v>
      </c>
      <c r="E58" s="74">
        <v>0.34</v>
      </c>
      <c r="F58" s="73">
        <v>0</v>
      </c>
      <c r="G58" s="72">
        <f t="shared" si="6"/>
        <v>0</v>
      </c>
      <c r="H58" s="77">
        <v>28960</v>
      </c>
      <c r="I58" s="77">
        <v>172732</v>
      </c>
      <c r="J58" s="78">
        <f t="shared" si="8"/>
        <v>0.16765856934441795</v>
      </c>
      <c r="K58" s="73">
        <f t="shared" si="7"/>
        <v>0</v>
      </c>
      <c r="L58" s="202">
        <f>K58*Reference!$J$22</f>
        <v>0</v>
      </c>
      <c r="M58" s="203">
        <f t="shared" si="9"/>
        <v>0</v>
      </c>
      <c r="N58" s="202">
        <f>K58*Reference!$J$23</f>
        <v>0</v>
      </c>
      <c r="O58" s="203">
        <f t="shared" si="2"/>
        <v>0</v>
      </c>
      <c r="P58" s="202">
        <f>K58*Reference!$J$21</f>
        <v>0</v>
      </c>
      <c r="Q58" s="203">
        <f t="shared" si="5"/>
        <v>0</v>
      </c>
    </row>
    <row r="59" spans="1:17" x14ac:dyDescent="0.2">
      <c r="A59" s="7" t="s">
        <v>156</v>
      </c>
      <c r="B59" t="s">
        <v>157</v>
      </c>
      <c r="C59" t="s">
        <v>34</v>
      </c>
      <c r="D59" s="71">
        <v>43830</v>
      </c>
      <c r="E59" s="74">
        <v>3.7</v>
      </c>
      <c r="F59" s="73">
        <v>0</v>
      </c>
      <c r="G59" s="72">
        <f t="shared" si="6"/>
        <v>0</v>
      </c>
      <c r="H59" s="77">
        <v>154</v>
      </c>
      <c r="I59" s="77">
        <v>7421</v>
      </c>
      <c r="J59" s="78">
        <f t="shared" si="8"/>
        <v>2.0751920226384585E-2</v>
      </c>
      <c r="K59" s="73">
        <f t="shared" si="7"/>
        <v>0</v>
      </c>
      <c r="L59" s="202">
        <f>K59*Reference!$J$22</f>
        <v>0</v>
      </c>
      <c r="M59" s="203">
        <f t="shared" si="9"/>
        <v>0</v>
      </c>
      <c r="N59" s="202">
        <f>K59*Reference!$J$23</f>
        <v>0</v>
      </c>
      <c r="O59" s="203">
        <f t="shared" si="2"/>
        <v>0</v>
      </c>
      <c r="P59" s="202">
        <f>K59*Reference!$J$21</f>
        <v>0</v>
      </c>
      <c r="Q59" s="203">
        <f t="shared" si="5"/>
        <v>0</v>
      </c>
    </row>
    <row r="60" spans="1:17" x14ac:dyDescent="0.2">
      <c r="A60" s="7" t="s">
        <v>158</v>
      </c>
      <c r="B60" t="s">
        <v>159</v>
      </c>
      <c r="C60" t="s">
        <v>42</v>
      </c>
      <c r="D60" s="71">
        <v>43830</v>
      </c>
      <c r="E60" s="74">
        <v>1.64</v>
      </c>
      <c r="F60" s="73">
        <v>0</v>
      </c>
      <c r="G60" s="72">
        <f t="shared" si="6"/>
        <v>0</v>
      </c>
      <c r="H60" s="77">
        <v>23</v>
      </c>
      <c r="I60" s="77">
        <v>1226</v>
      </c>
      <c r="J60" s="78">
        <f t="shared" si="8"/>
        <v>1.8760195758564437E-2</v>
      </c>
      <c r="K60" s="73">
        <f t="shared" si="7"/>
        <v>0</v>
      </c>
      <c r="L60" s="202">
        <f>K60*Reference!$J$22</f>
        <v>0</v>
      </c>
      <c r="M60" s="203">
        <f t="shared" si="9"/>
        <v>0</v>
      </c>
      <c r="N60" s="202">
        <f>K60*Reference!$J$23</f>
        <v>0</v>
      </c>
      <c r="O60" s="203">
        <f t="shared" si="2"/>
        <v>0</v>
      </c>
      <c r="P60" s="202">
        <f>K60*Reference!$J$21</f>
        <v>0</v>
      </c>
      <c r="Q60" s="203">
        <f t="shared" si="5"/>
        <v>0</v>
      </c>
    </row>
    <row r="61" spans="1:17" x14ac:dyDescent="0.2">
      <c r="A61" s="7" t="s">
        <v>160</v>
      </c>
      <c r="B61" t="s">
        <v>161</v>
      </c>
      <c r="C61" t="s">
        <v>34</v>
      </c>
      <c r="D61" s="71">
        <v>43890</v>
      </c>
      <c r="E61" s="74">
        <v>1.4</v>
      </c>
      <c r="F61" s="73">
        <v>0</v>
      </c>
      <c r="G61" s="72">
        <f t="shared" si="6"/>
        <v>0</v>
      </c>
      <c r="H61" s="77">
        <v>54852</v>
      </c>
      <c r="I61" s="77">
        <v>121153</v>
      </c>
      <c r="J61" s="78">
        <f t="shared" si="8"/>
        <v>0.45274982872896258</v>
      </c>
      <c r="K61" s="73">
        <f t="shared" si="7"/>
        <v>0</v>
      </c>
      <c r="L61" s="202">
        <f>K61*Reference!$J$22</f>
        <v>0</v>
      </c>
      <c r="M61" s="203">
        <f t="shared" si="9"/>
        <v>0</v>
      </c>
      <c r="N61" s="202">
        <f>K61*Reference!$J$23</f>
        <v>0</v>
      </c>
      <c r="O61" s="203">
        <f t="shared" si="2"/>
        <v>0</v>
      </c>
      <c r="P61" s="202">
        <f>K61*Reference!$J$21</f>
        <v>0</v>
      </c>
      <c r="Q61" s="203">
        <f t="shared" si="5"/>
        <v>0</v>
      </c>
    </row>
    <row r="62" spans="1:17" x14ac:dyDescent="0.2">
      <c r="A62" s="7" t="s">
        <v>162</v>
      </c>
      <c r="B62" t="s">
        <v>163</v>
      </c>
      <c r="C62"/>
      <c r="D62" s="71">
        <v>43890</v>
      </c>
      <c r="E62" s="74">
        <v>3.67</v>
      </c>
      <c r="F62" s="73">
        <v>0</v>
      </c>
      <c r="G62" s="72">
        <f t="shared" si="6"/>
        <v>0</v>
      </c>
      <c r="H62" s="77">
        <v>9599</v>
      </c>
      <c r="I62" s="77">
        <v>69260</v>
      </c>
      <c r="J62" s="78">
        <f t="shared" si="8"/>
        <v>0.13859370488016171</v>
      </c>
      <c r="K62" s="73">
        <f t="shared" si="7"/>
        <v>0</v>
      </c>
      <c r="L62" s="202">
        <f>K62*Reference!$J$22</f>
        <v>0</v>
      </c>
      <c r="M62" s="203">
        <f t="shared" si="9"/>
        <v>0</v>
      </c>
      <c r="N62" s="202">
        <f>K62*Reference!$J$23</f>
        <v>0</v>
      </c>
      <c r="O62" s="203">
        <f t="shared" si="2"/>
        <v>0</v>
      </c>
      <c r="P62" s="202">
        <f>K62*Reference!$J$21</f>
        <v>0</v>
      </c>
      <c r="Q62" s="203">
        <f t="shared" si="5"/>
        <v>0</v>
      </c>
    </row>
    <row r="63" spans="1:17" x14ac:dyDescent="0.2">
      <c r="A63" s="7" t="s">
        <v>164</v>
      </c>
      <c r="B63" t="s">
        <v>165</v>
      </c>
      <c r="C63" t="s">
        <v>42</v>
      </c>
      <c r="D63" s="71">
        <v>43982</v>
      </c>
      <c r="E63" s="74">
        <v>1.8</v>
      </c>
      <c r="F63" s="73">
        <v>88421.65</v>
      </c>
      <c r="G63" s="72">
        <f t="shared" si="6"/>
        <v>159158.97</v>
      </c>
      <c r="H63" s="77">
        <v>1402</v>
      </c>
      <c r="I63" s="77">
        <v>37919</v>
      </c>
      <c r="J63" s="78">
        <f t="shared" si="8"/>
        <v>3.6973548880508453E-2</v>
      </c>
      <c r="K63" s="73">
        <f t="shared" si="7"/>
        <v>5884.6719570663781</v>
      </c>
      <c r="L63" s="202">
        <f>K63*Reference!$J$22</f>
        <v>1936.6455410705448</v>
      </c>
      <c r="M63" s="203">
        <f t="shared" si="9"/>
        <v>3948.0264159958333</v>
      </c>
      <c r="N63" s="202">
        <f>K63*Reference!$J$23</f>
        <v>2071.4045288873649</v>
      </c>
      <c r="O63" s="203">
        <f t="shared" si="2"/>
        <v>3813.2674281790132</v>
      </c>
      <c r="P63" s="202">
        <f>K63*Reference!$J$21</f>
        <v>2314.4414807142066</v>
      </c>
      <c r="Q63" s="203">
        <f t="shared" si="5"/>
        <v>3570.2304763521715</v>
      </c>
    </row>
    <row r="64" spans="1:17" x14ac:dyDescent="0.2">
      <c r="A64" s="7" t="s">
        <v>166</v>
      </c>
      <c r="B64" t="s">
        <v>167</v>
      </c>
      <c r="C64" t="s">
        <v>31</v>
      </c>
      <c r="D64" s="71">
        <v>44012</v>
      </c>
      <c r="E64" s="74">
        <v>6.63</v>
      </c>
      <c r="F64" s="73">
        <v>0</v>
      </c>
      <c r="G64" s="72">
        <f t="shared" si="6"/>
        <v>0</v>
      </c>
      <c r="H64" s="77">
        <v>185</v>
      </c>
      <c r="I64" s="77">
        <v>8058</v>
      </c>
      <c r="J64" s="78">
        <f t="shared" si="8"/>
        <v>2.2958550508811119E-2</v>
      </c>
      <c r="K64" s="73">
        <f t="shared" si="7"/>
        <v>0</v>
      </c>
      <c r="L64" s="202">
        <f>K64*Reference!$J$22</f>
        <v>0</v>
      </c>
      <c r="M64" s="203">
        <f t="shared" si="9"/>
        <v>0</v>
      </c>
      <c r="N64" s="202">
        <f>K64*Reference!$J$23</f>
        <v>0</v>
      </c>
      <c r="O64" s="203">
        <f t="shared" si="2"/>
        <v>0</v>
      </c>
      <c r="P64" s="202">
        <f>K64*Reference!$J$21</f>
        <v>0</v>
      </c>
      <c r="Q64" s="203">
        <f t="shared" si="5"/>
        <v>0</v>
      </c>
    </row>
    <row r="65" spans="1:17" x14ac:dyDescent="0.2">
      <c r="A65" s="7" t="s">
        <v>168</v>
      </c>
      <c r="B65" t="s">
        <v>169</v>
      </c>
      <c r="C65" t="s">
        <v>170</v>
      </c>
      <c r="D65" s="71">
        <v>43921</v>
      </c>
      <c r="E65" s="74">
        <v>3.09</v>
      </c>
      <c r="F65" s="73">
        <v>0</v>
      </c>
      <c r="G65" s="72">
        <f t="shared" si="6"/>
        <v>0</v>
      </c>
      <c r="H65" s="77">
        <v>17990</v>
      </c>
      <c r="I65" s="77">
        <v>148028</v>
      </c>
      <c r="J65" s="78">
        <f t="shared" si="8"/>
        <v>0.12153106169103142</v>
      </c>
      <c r="K65" s="73">
        <f t="shared" si="7"/>
        <v>0</v>
      </c>
      <c r="L65" s="202">
        <f>K65*Reference!$J$22</f>
        <v>0</v>
      </c>
      <c r="M65" s="203">
        <f t="shared" si="9"/>
        <v>0</v>
      </c>
      <c r="N65" s="202">
        <f>K65*Reference!$J$23</f>
        <v>0</v>
      </c>
      <c r="O65" s="203">
        <f t="shared" si="2"/>
        <v>0</v>
      </c>
      <c r="P65" s="202">
        <f>K65*Reference!$J$21</f>
        <v>0</v>
      </c>
      <c r="Q65" s="203">
        <f t="shared" si="5"/>
        <v>0</v>
      </c>
    </row>
    <row r="66" spans="1:17" x14ac:dyDescent="0.2">
      <c r="A66" s="7" t="s">
        <v>171</v>
      </c>
      <c r="B66" t="s">
        <v>172</v>
      </c>
      <c r="C66" t="s">
        <v>39</v>
      </c>
      <c r="D66" s="71">
        <v>44104</v>
      </c>
      <c r="E66" s="74">
        <v>31.47</v>
      </c>
      <c r="F66" s="73">
        <v>0</v>
      </c>
      <c r="G66" s="72">
        <f t="shared" si="6"/>
        <v>0</v>
      </c>
      <c r="H66" s="77">
        <v>13063</v>
      </c>
      <c r="I66" s="77">
        <v>21379</v>
      </c>
      <c r="J66" s="78">
        <f t="shared" si="8"/>
        <v>0.61102015997006409</v>
      </c>
      <c r="K66" s="73">
        <f t="shared" si="7"/>
        <v>0</v>
      </c>
      <c r="L66" s="202">
        <f>K66*Reference!$J$22</f>
        <v>0</v>
      </c>
      <c r="M66" s="203">
        <f t="shared" si="9"/>
        <v>0</v>
      </c>
      <c r="N66" s="202">
        <f>K66*Reference!$J$23</f>
        <v>0</v>
      </c>
      <c r="O66" s="203">
        <f t="shared" si="2"/>
        <v>0</v>
      </c>
      <c r="P66" s="202">
        <f>K66*Reference!$J$21</f>
        <v>0</v>
      </c>
      <c r="Q66" s="203">
        <f t="shared" si="5"/>
        <v>0</v>
      </c>
    </row>
    <row r="67" spans="1:17" x14ac:dyDescent="0.2">
      <c r="A67" s="7" t="s">
        <v>173</v>
      </c>
      <c r="B67" t="s">
        <v>174</v>
      </c>
      <c r="C67" t="s">
        <v>104</v>
      </c>
      <c r="D67" s="71">
        <v>44012</v>
      </c>
      <c r="E67" s="74">
        <v>85.2</v>
      </c>
      <c r="F67" s="73">
        <v>0</v>
      </c>
      <c r="G67" s="72">
        <f t="shared" ref="G67:G70" si="10">F67*E67</f>
        <v>0</v>
      </c>
      <c r="H67" s="77">
        <v>26883</v>
      </c>
      <c r="I67" s="77">
        <v>51428</v>
      </c>
      <c r="J67" s="78">
        <f t="shared" si="8"/>
        <v>0.52273080812009021</v>
      </c>
      <c r="K67" s="73">
        <f t="shared" ref="K67:K70" si="11">G67*J67</f>
        <v>0</v>
      </c>
      <c r="L67" s="202">
        <f>K67*Reference!$J$22</f>
        <v>0</v>
      </c>
      <c r="M67" s="203">
        <f t="shared" si="9"/>
        <v>0</v>
      </c>
      <c r="N67" s="202">
        <f>K67*Reference!$J$23</f>
        <v>0</v>
      </c>
      <c r="O67" s="203">
        <f t="shared" ref="O67:O69" si="12">K67-N67</f>
        <v>0</v>
      </c>
      <c r="P67" s="202">
        <f>K67*Reference!$J$21</f>
        <v>0</v>
      </c>
      <c r="Q67" s="203">
        <f t="shared" si="5"/>
        <v>0</v>
      </c>
    </row>
    <row r="68" spans="1:17" x14ac:dyDescent="0.2">
      <c r="A68" s="7" t="s">
        <v>175</v>
      </c>
      <c r="B68" t="s">
        <v>176</v>
      </c>
      <c r="C68" t="s">
        <v>75</v>
      </c>
      <c r="D68" s="71">
        <v>44012</v>
      </c>
      <c r="E68" s="74">
        <v>13.55</v>
      </c>
      <c r="F68" s="73">
        <v>0</v>
      </c>
      <c r="G68" s="72">
        <f t="shared" si="10"/>
        <v>0</v>
      </c>
      <c r="H68" s="77">
        <v>14075</v>
      </c>
      <c r="I68" s="77">
        <v>30827</v>
      </c>
      <c r="J68" s="78">
        <f t="shared" si="8"/>
        <v>0.4565802705420573</v>
      </c>
      <c r="K68" s="73">
        <f t="shared" si="11"/>
        <v>0</v>
      </c>
      <c r="L68" s="202">
        <f>K68*Reference!$J$22</f>
        <v>0</v>
      </c>
      <c r="M68" s="203">
        <f>K68-L68</f>
        <v>0</v>
      </c>
      <c r="N68" s="202">
        <f>K68*Reference!$J$23</f>
        <v>0</v>
      </c>
      <c r="O68" s="203">
        <f t="shared" si="12"/>
        <v>0</v>
      </c>
      <c r="P68" s="202">
        <f>K68*Reference!$J$21</f>
        <v>0</v>
      </c>
      <c r="Q68" s="203">
        <f t="shared" ref="Q68:Q70" si="13">K68-P68</f>
        <v>0</v>
      </c>
    </row>
    <row r="69" spans="1:17" x14ac:dyDescent="0.2">
      <c r="A69" s="7" t="s">
        <v>177</v>
      </c>
      <c r="B69" t="s">
        <v>178</v>
      </c>
      <c r="C69" t="s">
        <v>34</v>
      </c>
      <c r="D69" s="71">
        <v>43830</v>
      </c>
      <c r="E69" s="74"/>
      <c r="F69" s="73">
        <v>97023.75</v>
      </c>
      <c r="G69" s="72">
        <f t="shared" si="10"/>
        <v>0</v>
      </c>
      <c r="H69" s="77">
        <v>9903</v>
      </c>
      <c r="I69" s="77">
        <v>284246</v>
      </c>
      <c r="J69" s="78">
        <f t="shared" si="8"/>
        <v>3.4839540398105863E-2</v>
      </c>
      <c r="K69" s="73">
        <f t="shared" si="11"/>
        <v>0</v>
      </c>
      <c r="L69" s="202">
        <f>K69*Reference!$J$22</f>
        <v>0</v>
      </c>
      <c r="M69" s="203">
        <f t="shared" si="9"/>
        <v>0</v>
      </c>
      <c r="N69" s="202">
        <f>K69*Reference!$J$23</f>
        <v>0</v>
      </c>
      <c r="O69" s="203">
        <f t="shared" si="12"/>
        <v>0</v>
      </c>
      <c r="P69" s="202">
        <f>K69*Reference!$J$21</f>
        <v>0</v>
      </c>
      <c r="Q69" s="203">
        <f t="shared" si="13"/>
        <v>0</v>
      </c>
    </row>
    <row r="70" spans="1:17" x14ac:dyDescent="0.2">
      <c r="A70" s="7" t="s">
        <v>179</v>
      </c>
      <c r="B70" t="s">
        <v>180</v>
      </c>
      <c r="C70" t="s">
        <v>31</v>
      </c>
      <c r="D70" s="71">
        <v>44012</v>
      </c>
      <c r="E70" s="74">
        <v>2.64</v>
      </c>
      <c r="F70" s="73">
        <v>96382.24</v>
      </c>
      <c r="G70" s="72">
        <f t="shared" si="10"/>
        <v>254449.11360000001</v>
      </c>
      <c r="H70" s="77">
        <v>0</v>
      </c>
      <c r="I70" s="77">
        <v>28016</v>
      </c>
      <c r="J70" s="78">
        <f t="shared" si="8"/>
        <v>0</v>
      </c>
      <c r="K70" s="73">
        <f t="shared" si="11"/>
        <v>0</v>
      </c>
      <c r="L70" s="202">
        <f>K70*Reference!$J$22</f>
        <v>0</v>
      </c>
      <c r="M70" s="203">
        <f t="shared" si="9"/>
        <v>0</v>
      </c>
      <c r="N70" s="202">
        <f>K70*Reference!$J$23</f>
        <v>0</v>
      </c>
      <c r="O70" s="203">
        <f>K70-N70</f>
        <v>0</v>
      </c>
      <c r="P70" s="202">
        <f>K70*Reference!$J$21</f>
        <v>0</v>
      </c>
      <c r="Q70" s="203">
        <f t="shared" si="13"/>
        <v>0</v>
      </c>
    </row>
    <row r="71" spans="1:17" x14ac:dyDescent="0.2">
      <c r="D71" s="79"/>
      <c r="E71" s="79"/>
      <c r="F71" s="79"/>
      <c r="G71" s="80"/>
      <c r="H71" s="79"/>
      <c r="I71" s="81"/>
      <c r="J71" s="81"/>
      <c r="K71" s="79"/>
      <c r="L71" s="204"/>
      <c r="M71" s="205"/>
      <c r="N71" s="204"/>
      <c r="O71" s="205"/>
      <c r="P71" s="204"/>
      <c r="Q71" s="205"/>
    </row>
    <row r="72" spans="1:17" ht="15.75" thickBot="1" x14ac:dyDescent="0.25">
      <c r="D72" s="79"/>
      <c r="E72" s="84">
        <f>SUM(E3:E70)</f>
        <v>3644.9900000000007</v>
      </c>
      <c r="F72" s="83"/>
      <c r="G72" s="82">
        <f t="shared" ref="G72:N72" si="14">SUM(G3:G70)</f>
        <v>353753438.39410007</v>
      </c>
      <c r="H72" s="85">
        <f t="shared" si="14"/>
        <v>1737280</v>
      </c>
      <c r="I72" s="85">
        <f t="shared" si="14"/>
        <v>7271852</v>
      </c>
      <c r="J72" s="83"/>
      <c r="K72" s="83">
        <f t="shared" si="14"/>
        <v>109038576.76327424</v>
      </c>
      <c r="L72" s="206">
        <f t="shared" si="14"/>
        <v>35884595.61279355</v>
      </c>
      <c r="M72" s="207">
        <f t="shared" si="14"/>
        <v>73153981.150480703</v>
      </c>
      <c r="N72" s="206">
        <f t="shared" si="14"/>
        <v>38381579.02067253</v>
      </c>
      <c r="O72" s="207">
        <f>SUM(O3:O70)</f>
        <v>70656997.742601708</v>
      </c>
      <c r="P72" s="206">
        <f t="shared" ref="P72" si="15">SUM(P3:P70)</f>
        <v>42884872.240995757</v>
      </c>
      <c r="Q72" s="207">
        <f>SUM(Q3:Q70)</f>
        <v>66153704.522278488</v>
      </c>
    </row>
    <row r="73" spans="1:17" ht="15.75" thickTop="1" x14ac:dyDescent="0.2"/>
  </sheetData>
  <autoFilter ref="A2:N51" xr:uid="{00000000-0009-0000-0000-000000000000}"/>
  <mergeCells count="4">
    <mergeCell ref="L1:M1"/>
    <mergeCell ref="N1:O1"/>
    <mergeCell ref="A1:K1"/>
    <mergeCell ref="P1:Q1"/>
  </mergeCells>
  <pageMargins left="0.7" right="0.7" top="0.75" bottom="0.75" header="0.3" footer="0.3"/>
  <pageSetup scale="35" orientation="landscape" r:id="rId1"/>
  <headerFooter>
    <oddHeader>&amp;L&amp;"Arial,Bold Italic"&amp;48DRAFT&amp;C&amp;"Arial,Bold"&amp;18 SFY 2021
ESTIMATED GRADUATE MEDICAL EDUCATION PAYMENTS</oddHeader>
    <oddFooter>&amp;LPrepared by HHSC Provider Finance Department&amp;CPage &amp;P of &amp;N&amp;RNovember 8,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workbookViewId="0">
      <selection activeCell="L21" sqref="L21"/>
    </sheetView>
  </sheetViews>
  <sheetFormatPr defaultRowHeight="15" x14ac:dyDescent="0.2"/>
  <cols>
    <col min="2" max="2" width="27.19921875" bestFit="1" customWidth="1"/>
  </cols>
  <sheetData>
    <row r="1" spans="1:13" ht="15" customHeight="1" x14ac:dyDescent="0.2">
      <c r="A1">
        <v>1</v>
      </c>
      <c r="B1" t="s">
        <v>181</v>
      </c>
      <c r="C1" t="s">
        <v>182</v>
      </c>
      <c r="I1" s="194"/>
      <c r="J1" s="211" t="s">
        <v>183</v>
      </c>
      <c r="K1" s="212"/>
      <c r="L1" s="212"/>
      <c r="M1" s="213"/>
    </row>
    <row r="2" spans="1:13" ht="15" customHeight="1" x14ac:dyDescent="0.2">
      <c r="A2">
        <v>2</v>
      </c>
      <c r="B2" t="s">
        <v>184</v>
      </c>
      <c r="C2" t="s">
        <v>182</v>
      </c>
      <c r="I2" s="195"/>
      <c r="J2" s="214" t="s">
        <v>185</v>
      </c>
      <c r="K2" s="215"/>
      <c r="L2" s="216" t="s">
        <v>186</v>
      </c>
      <c r="M2" s="217"/>
    </row>
    <row r="3" spans="1:13" ht="15" customHeight="1" x14ac:dyDescent="0.2">
      <c r="A3">
        <v>3</v>
      </c>
      <c r="B3" t="s">
        <v>187</v>
      </c>
      <c r="C3" t="s">
        <v>182</v>
      </c>
      <c r="I3" s="196"/>
      <c r="J3" s="147" t="s">
        <v>188</v>
      </c>
      <c r="K3" s="148" t="s">
        <v>189</v>
      </c>
      <c r="L3" s="149" t="s">
        <v>188</v>
      </c>
      <c r="M3" s="150" t="s">
        <v>189</v>
      </c>
    </row>
    <row r="4" spans="1:13" ht="15" customHeight="1" x14ac:dyDescent="0.2">
      <c r="A4">
        <v>4</v>
      </c>
      <c r="B4" t="s">
        <v>190</v>
      </c>
      <c r="C4" t="s">
        <v>182</v>
      </c>
      <c r="I4" s="197" t="s">
        <v>191</v>
      </c>
      <c r="J4" s="151"/>
      <c r="K4" s="152"/>
      <c r="L4" s="153"/>
      <c r="M4" s="154"/>
    </row>
    <row r="5" spans="1:13" x14ac:dyDescent="0.2">
      <c r="A5">
        <v>5</v>
      </c>
      <c r="B5" t="s">
        <v>192</v>
      </c>
      <c r="C5" t="s">
        <v>182</v>
      </c>
      <c r="I5" s="197" t="s">
        <v>193</v>
      </c>
      <c r="J5" s="151">
        <v>0.39800000000000002</v>
      </c>
      <c r="K5" s="152">
        <v>0.27859999999999996</v>
      </c>
      <c r="L5" s="153">
        <v>0.60199999999999998</v>
      </c>
      <c r="M5" s="154">
        <v>0.72140000000000004</v>
      </c>
    </row>
    <row r="6" spans="1:13" x14ac:dyDescent="0.2">
      <c r="A6">
        <v>6</v>
      </c>
      <c r="B6" t="s">
        <v>194</v>
      </c>
      <c r="C6" t="s">
        <v>182</v>
      </c>
      <c r="I6" s="197" t="s">
        <v>195</v>
      </c>
      <c r="J6" s="151">
        <v>0.39180000000000004</v>
      </c>
      <c r="K6" s="152">
        <v>0.27429999999999999</v>
      </c>
      <c r="L6" s="153">
        <v>0.60819999999999996</v>
      </c>
      <c r="M6" s="154">
        <v>0.72570000000000001</v>
      </c>
    </row>
    <row r="7" spans="1:13" x14ac:dyDescent="0.2">
      <c r="A7">
        <v>7</v>
      </c>
      <c r="B7" t="s">
        <v>196</v>
      </c>
      <c r="C7" t="s">
        <v>197</v>
      </c>
      <c r="I7" s="197" t="s">
        <v>198</v>
      </c>
      <c r="J7" s="151">
        <v>0.39319999999999999</v>
      </c>
      <c r="K7" s="152">
        <v>0.27529999999999999</v>
      </c>
      <c r="L7" s="153">
        <v>0.60680000000000001</v>
      </c>
      <c r="M7" s="154">
        <v>0.72470000000000001</v>
      </c>
    </row>
    <row r="8" spans="1:13" x14ac:dyDescent="0.2">
      <c r="A8">
        <v>8</v>
      </c>
      <c r="B8" t="s">
        <v>199</v>
      </c>
      <c r="C8" t="s">
        <v>197</v>
      </c>
      <c r="I8" s="197" t="s">
        <v>200</v>
      </c>
      <c r="J8" s="151">
        <v>0.39229999999999998</v>
      </c>
      <c r="K8" s="152">
        <v>0.27459999999999996</v>
      </c>
      <c r="L8" s="153">
        <v>0.60770000000000002</v>
      </c>
      <c r="M8" s="154">
        <v>0.72540000000000004</v>
      </c>
    </row>
    <row r="9" spans="1:13" x14ac:dyDescent="0.2">
      <c r="A9">
        <v>9</v>
      </c>
      <c r="B9" t="s">
        <v>201</v>
      </c>
      <c r="C9" t="s">
        <v>197</v>
      </c>
      <c r="I9" s="197" t="s">
        <v>202</v>
      </c>
      <c r="J9" s="151">
        <v>0.39419999999999999</v>
      </c>
      <c r="K9" s="152">
        <v>0.27600000000000002</v>
      </c>
      <c r="L9" s="153">
        <v>0.60580000000000001</v>
      </c>
      <c r="M9" s="154">
        <v>0.72399999999999998</v>
      </c>
    </row>
    <row r="10" spans="1:13" x14ac:dyDescent="0.2">
      <c r="A10">
        <v>10</v>
      </c>
      <c r="B10" t="s">
        <v>203</v>
      </c>
      <c r="C10" t="s">
        <v>204</v>
      </c>
      <c r="I10" s="197" t="s">
        <v>205</v>
      </c>
      <c r="J10" s="155">
        <v>0.40469999999999995</v>
      </c>
      <c r="K10" s="152">
        <v>0.28320000000000001</v>
      </c>
      <c r="L10" s="156">
        <v>0.59530000000000005</v>
      </c>
      <c r="M10" s="154">
        <v>0.71679999999999999</v>
      </c>
    </row>
    <row r="11" spans="1:13" x14ac:dyDescent="0.2">
      <c r="A11">
        <v>11</v>
      </c>
      <c r="B11" t="s">
        <v>206</v>
      </c>
      <c r="C11" t="s">
        <v>197</v>
      </c>
      <c r="I11" s="197" t="s">
        <v>207</v>
      </c>
      <c r="J11" s="155">
        <v>0.41210000000000002</v>
      </c>
      <c r="K11" s="152">
        <v>0.28849999999999998</v>
      </c>
      <c r="L11" s="156">
        <v>0.58789999999999998</v>
      </c>
      <c r="M11" s="154">
        <v>0.71150000000000002</v>
      </c>
    </row>
    <row r="12" spans="1:13" x14ac:dyDescent="0.2">
      <c r="A12">
        <v>12</v>
      </c>
      <c r="B12" t="s">
        <v>208</v>
      </c>
      <c r="C12" t="s">
        <v>197</v>
      </c>
      <c r="I12" s="197" t="s">
        <v>209</v>
      </c>
      <c r="J12" s="155">
        <v>0.39590000000000003</v>
      </c>
      <c r="K12" s="152">
        <v>0.2772</v>
      </c>
      <c r="L12" s="156">
        <v>0.60409999999999997</v>
      </c>
      <c r="M12" s="154">
        <v>0.7228</v>
      </c>
    </row>
    <row r="13" spans="1:13" x14ac:dyDescent="0.2">
      <c r="A13">
        <v>13</v>
      </c>
      <c r="B13" t="s">
        <v>210</v>
      </c>
      <c r="C13" t="s">
        <v>197</v>
      </c>
      <c r="I13" s="197" t="s">
        <v>211</v>
      </c>
      <c r="J13" s="151">
        <v>0.41579999999999995</v>
      </c>
      <c r="K13" s="152">
        <v>0.29110000000000003</v>
      </c>
      <c r="L13" s="153">
        <v>0.58420000000000005</v>
      </c>
      <c r="M13" s="154">
        <v>0.70889999999999997</v>
      </c>
    </row>
    <row r="14" spans="1:13" x14ac:dyDescent="0.2">
      <c r="I14" s="197" t="s">
        <v>212</v>
      </c>
      <c r="J14" s="151">
        <v>0.40790000000000004</v>
      </c>
      <c r="K14" s="152">
        <v>0.28549999999999998</v>
      </c>
      <c r="L14" s="153">
        <v>0.59209999999999996</v>
      </c>
      <c r="M14" s="154">
        <v>0.71450000000000002</v>
      </c>
    </row>
    <row r="15" spans="1:13" x14ac:dyDescent="0.2">
      <c r="I15" s="197" t="s">
        <v>213</v>
      </c>
      <c r="J15" s="151">
        <v>0.41259999999999997</v>
      </c>
      <c r="K15" s="152">
        <v>0.28879999999999995</v>
      </c>
      <c r="L15" s="153">
        <v>0.58740000000000003</v>
      </c>
      <c r="M15" s="154">
        <v>0.71120000000000005</v>
      </c>
    </row>
    <row r="16" spans="1:13" x14ac:dyDescent="0.2">
      <c r="I16" s="197" t="s">
        <v>214</v>
      </c>
      <c r="J16" s="151">
        <v>0.41900000000000004</v>
      </c>
      <c r="K16" s="152">
        <v>0.29320000000000002</v>
      </c>
      <c r="L16" s="153">
        <v>0.58099999999999996</v>
      </c>
      <c r="M16" s="154">
        <v>0.70679999999999998</v>
      </c>
    </row>
    <row r="17" spans="1:13" x14ac:dyDescent="0.2">
      <c r="I17" s="197" t="s">
        <v>215</v>
      </c>
      <c r="J17" s="151">
        <v>0.42789999999999995</v>
      </c>
      <c r="K17" s="157">
        <v>0.29959999999999998</v>
      </c>
      <c r="L17" s="153">
        <v>0.57210000000000005</v>
      </c>
      <c r="M17" s="158">
        <v>0.70040000000000002</v>
      </c>
    </row>
    <row r="18" spans="1:13" x14ac:dyDescent="0.2">
      <c r="I18" s="197" t="s">
        <v>216</v>
      </c>
      <c r="J18" s="151">
        <v>0.43740000000000001</v>
      </c>
      <c r="K18" s="157">
        <v>0.30610000000000004</v>
      </c>
      <c r="L18" s="153">
        <v>0.56259999999999999</v>
      </c>
      <c r="M18" s="158">
        <v>0.69389999999999996</v>
      </c>
    </row>
    <row r="19" spans="1:13" x14ac:dyDescent="0.2">
      <c r="I19" s="197" t="s">
        <v>217</v>
      </c>
      <c r="J19" s="151">
        <v>0.43179999999999996</v>
      </c>
      <c r="K19" s="157">
        <v>0.30220000000000002</v>
      </c>
      <c r="L19" s="153">
        <v>0.56820000000000004</v>
      </c>
      <c r="M19" s="158">
        <v>0.69779999999999998</v>
      </c>
    </row>
    <row r="20" spans="1:13" x14ac:dyDescent="0.2">
      <c r="A20" t="s">
        <v>218</v>
      </c>
      <c r="I20" s="197" t="s">
        <v>219</v>
      </c>
      <c r="J20" s="151">
        <v>0.41920000000000002</v>
      </c>
      <c r="K20" s="157">
        <v>0.29349999999999998</v>
      </c>
      <c r="L20" s="153">
        <v>0.58079999999999998</v>
      </c>
      <c r="M20" s="158">
        <v>0.70650000000000002</v>
      </c>
    </row>
    <row r="21" spans="1:13" x14ac:dyDescent="0.2">
      <c r="A21" t="s">
        <v>220</v>
      </c>
      <c r="I21" s="198" t="s">
        <v>221</v>
      </c>
      <c r="J21" s="159">
        <v>0.39329999999999998</v>
      </c>
      <c r="K21" s="160">
        <v>0.27539999999999998</v>
      </c>
      <c r="L21" s="161">
        <v>0.60670000000000002</v>
      </c>
      <c r="M21" s="162">
        <v>0.72460000000000002</v>
      </c>
    </row>
    <row r="22" spans="1:13" x14ac:dyDescent="0.2">
      <c r="A22" t="s">
        <v>222</v>
      </c>
      <c r="I22" s="199" t="s">
        <v>223</v>
      </c>
      <c r="J22" s="163">
        <v>0.32909999999999995</v>
      </c>
      <c r="K22" s="164">
        <v>0.23036999999999996</v>
      </c>
      <c r="L22" s="165">
        <v>0.67090000000000005</v>
      </c>
      <c r="M22" s="166">
        <v>0.76963000000000004</v>
      </c>
    </row>
    <row r="23" spans="1:13" x14ac:dyDescent="0.2">
      <c r="A23" t="s">
        <v>224</v>
      </c>
      <c r="I23" s="200" t="s">
        <v>225</v>
      </c>
      <c r="J23" s="167">
        <v>0.35199999999999998</v>
      </c>
      <c r="K23" s="168">
        <v>0.24639999999999995</v>
      </c>
      <c r="L23" s="169">
        <v>0.64800000000000002</v>
      </c>
      <c r="M23" s="170">
        <v>0.75360000000000005</v>
      </c>
    </row>
    <row r="24" spans="1:13" x14ac:dyDescent="0.2">
      <c r="A24" t="s">
        <v>226</v>
      </c>
      <c r="I24" s="198" t="s">
        <v>227</v>
      </c>
      <c r="J24" s="171">
        <v>0.38270000000000004</v>
      </c>
      <c r="K24" s="172">
        <v>0.26780000000000004</v>
      </c>
      <c r="L24" s="173">
        <v>0.61729999999999996</v>
      </c>
      <c r="M24" s="174">
        <v>0.73219999999999996</v>
      </c>
    </row>
    <row r="25" spans="1:13" x14ac:dyDescent="0.2">
      <c r="A25" t="s">
        <v>228</v>
      </c>
      <c r="I25" s="199" t="s">
        <v>229</v>
      </c>
      <c r="J25" s="175">
        <v>0.32069999999999999</v>
      </c>
      <c r="K25" s="164">
        <v>0.22450000000000003</v>
      </c>
      <c r="L25" s="176">
        <v>0.67930000000000001</v>
      </c>
      <c r="M25" s="177">
        <v>0.77549999999999997</v>
      </c>
    </row>
    <row r="26" spans="1:13" x14ac:dyDescent="0.2">
      <c r="A26" t="s">
        <v>230</v>
      </c>
      <c r="I26" s="200" t="s">
        <v>231</v>
      </c>
      <c r="J26" s="178">
        <v>0.32069999999999999</v>
      </c>
      <c r="K26" s="168">
        <v>0.22450000000000003</v>
      </c>
      <c r="L26" s="179">
        <v>0.67930000000000001</v>
      </c>
      <c r="M26" s="180">
        <v>0.77549999999999997</v>
      </c>
    </row>
    <row r="27" spans="1:13" x14ac:dyDescent="0.2">
      <c r="A27" t="s">
        <v>232</v>
      </c>
      <c r="I27" s="198" t="s">
        <v>233</v>
      </c>
      <c r="J27" s="171">
        <v>0.39119999999999999</v>
      </c>
      <c r="K27" s="172">
        <v>0.27380000000000004</v>
      </c>
      <c r="L27" s="173">
        <v>0.60880000000000001</v>
      </c>
      <c r="M27" s="174">
        <v>0.72619999999999996</v>
      </c>
    </row>
    <row r="28" spans="1:13" x14ac:dyDescent="0.2">
      <c r="A28" t="s">
        <v>234</v>
      </c>
      <c r="I28" s="199" t="s">
        <v>235</v>
      </c>
      <c r="J28" s="175">
        <v>0.32750000000000001</v>
      </c>
      <c r="K28" s="164">
        <v>0.22919999999999996</v>
      </c>
      <c r="L28" s="176">
        <v>0.67249999999999999</v>
      </c>
      <c r="M28" s="181">
        <v>0.77080000000000004</v>
      </c>
    </row>
    <row r="29" spans="1:13" x14ac:dyDescent="0.2">
      <c r="A29" t="s">
        <v>236</v>
      </c>
      <c r="I29" s="200" t="s">
        <v>237</v>
      </c>
      <c r="J29" s="178">
        <v>0.37050000000000005</v>
      </c>
      <c r="K29" s="168">
        <v>0.25929999999999997</v>
      </c>
      <c r="L29" s="169">
        <v>0.62949999999999995</v>
      </c>
      <c r="M29" s="170">
        <v>0.74070000000000003</v>
      </c>
    </row>
    <row r="30" spans="1:13" x14ac:dyDescent="0.2">
      <c r="A30" t="s">
        <v>238</v>
      </c>
      <c r="I30" s="197" t="s">
        <v>239</v>
      </c>
      <c r="J30" s="182">
        <v>0.38929999999999998</v>
      </c>
      <c r="K30" s="183">
        <v>0.27259999999999995</v>
      </c>
      <c r="L30" s="184">
        <v>0.61070000000000002</v>
      </c>
      <c r="M30" s="185">
        <v>0.72740000000000005</v>
      </c>
    </row>
    <row r="31" spans="1:13" x14ac:dyDescent="0.2">
      <c r="A31" t="s">
        <v>240</v>
      </c>
      <c r="I31" s="197" t="s">
        <v>241</v>
      </c>
      <c r="J31" s="186">
        <v>0.3891</v>
      </c>
      <c r="K31" s="187">
        <v>0.27239999999999998</v>
      </c>
      <c r="L31" s="188">
        <v>0.6109</v>
      </c>
      <c r="M31" s="189">
        <v>0.72760000000000002</v>
      </c>
    </row>
    <row r="32" spans="1:13" x14ac:dyDescent="0.2">
      <c r="A32" t="s">
        <v>242</v>
      </c>
      <c r="I32" s="197" t="s">
        <v>243</v>
      </c>
      <c r="J32" s="186">
        <v>0.3891</v>
      </c>
      <c r="K32" s="187">
        <v>0.27239999999999998</v>
      </c>
      <c r="L32" s="188">
        <v>0.6109</v>
      </c>
      <c r="M32" s="189">
        <v>0.72760000000000002</v>
      </c>
    </row>
    <row r="33" spans="9:13" x14ac:dyDescent="0.2">
      <c r="I33" s="197" t="s">
        <v>244</v>
      </c>
      <c r="J33" s="190">
        <v>0.3891</v>
      </c>
      <c r="K33" s="191">
        <v>0.27239999999999998</v>
      </c>
      <c r="L33" s="192">
        <v>0.6109</v>
      </c>
      <c r="M33" s="193">
        <v>0.72760000000000002</v>
      </c>
    </row>
  </sheetData>
  <mergeCells count="3">
    <mergeCell ref="J1:M1"/>
    <mergeCell ref="J2:K2"/>
    <mergeCell ref="L2:M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9"/>
  <sheetViews>
    <sheetView topLeftCell="C34" workbookViewId="0">
      <selection activeCell="I65" sqref="I65"/>
    </sheetView>
  </sheetViews>
  <sheetFormatPr defaultRowHeight="15" x14ac:dyDescent="0.2"/>
  <cols>
    <col min="1" max="2" width="15.3984375" customWidth="1"/>
    <col min="4" max="4" width="38.796875" bestFit="1" customWidth="1"/>
    <col min="8" max="8" width="14.19921875" style="144" bestFit="1" customWidth="1"/>
    <col min="22" max="22" width="14.19921875" style="144" bestFit="1" customWidth="1"/>
    <col min="23" max="23" width="14.8984375" bestFit="1" customWidth="1"/>
  </cols>
  <sheetData>
    <row r="1" spans="1:23" s="9" customFormat="1" ht="150" x14ac:dyDescent="0.2">
      <c r="A1" s="9" t="s">
        <v>245</v>
      </c>
      <c r="B1" s="9" t="s">
        <v>246</v>
      </c>
      <c r="C1" s="10" t="s">
        <v>247</v>
      </c>
      <c r="D1" s="9" t="s">
        <v>248</v>
      </c>
      <c r="E1" s="9" t="s">
        <v>249</v>
      </c>
      <c r="F1" s="9" t="s">
        <v>250</v>
      </c>
      <c r="G1" s="9" t="s">
        <v>251</v>
      </c>
      <c r="H1" s="143" t="s">
        <v>252</v>
      </c>
      <c r="I1" s="9" t="s">
        <v>253</v>
      </c>
      <c r="J1" s="9" t="s">
        <v>254</v>
      </c>
      <c r="K1" s="9" t="s">
        <v>255</v>
      </c>
      <c r="L1" s="9" t="s">
        <v>256</v>
      </c>
      <c r="M1" s="9" t="s">
        <v>257</v>
      </c>
      <c r="N1" s="9" t="s">
        <v>258</v>
      </c>
      <c r="O1" s="9" t="s">
        <v>259</v>
      </c>
      <c r="P1" s="9" t="s">
        <v>260</v>
      </c>
      <c r="Q1" s="9" t="s">
        <v>261</v>
      </c>
      <c r="R1" s="9" t="s">
        <v>262</v>
      </c>
      <c r="S1" s="9" t="s">
        <v>263</v>
      </c>
      <c r="T1" s="9" t="s">
        <v>264</v>
      </c>
      <c r="U1" s="9" t="s">
        <v>265</v>
      </c>
      <c r="V1" s="143"/>
    </row>
    <row r="2" spans="1:23" x14ac:dyDescent="0.2">
      <c r="A2" s="1">
        <v>43647</v>
      </c>
      <c r="B2" s="1">
        <v>44012</v>
      </c>
      <c r="C2" s="7" t="s">
        <v>21</v>
      </c>
      <c r="D2" t="s">
        <v>22</v>
      </c>
      <c r="E2">
        <v>2</v>
      </c>
      <c r="F2" t="str">
        <f>VLOOKUP(E2,Reference!$A$1:$C$13,3,FALSE)</f>
        <v>Private</v>
      </c>
      <c r="G2" t="s">
        <v>23</v>
      </c>
      <c r="H2" s="144">
        <v>34836</v>
      </c>
      <c r="I2">
        <v>4.82</v>
      </c>
      <c r="J2">
        <v>88735.56</v>
      </c>
      <c r="K2">
        <v>88735.56</v>
      </c>
      <c r="L2">
        <v>18015</v>
      </c>
      <c r="M2">
        <v>4244</v>
      </c>
      <c r="N2">
        <v>273</v>
      </c>
      <c r="O2">
        <v>728</v>
      </c>
      <c r="P2">
        <f>M2+N2+O2+L2</f>
        <v>23260</v>
      </c>
      <c r="Q2">
        <v>117703</v>
      </c>
      <c r="R2">
        <v>11436</v>
      </c>
      <c r="S2">
        <v>1147</v>
      </c>
      <c r="T2">
        <f>SUM(Q2:S2)</f>
        <v>130286</v>
      </c>
      <c r="U2" t="s">
        <v>266</v>
      </c>
      <c r="V2" s="144">
        <f>I2*J2</f>
        <v>427705.39919999999</v>
      </c>
      <c r="W2" s="146">
        <f>V2-H2</f>
        <v>392869.39919999999</v>
      </c>
    </row>
    <row r="3" spans="1:23" x14ac:dyDescent="0.2">
      <c r="A3" s="1">
        <v>43617</v>
      </c>
      <c r="B3" s="1">
        <v>43982</v>
      </c>
      <c r="C3" s="7" t="s">
        <v>24</v>
      </c>
      <c r="D3" t="s">
        <v>25</v>
      </c>
      <c r="E3">
        <v>4</v>
      </c>
      <c r="F3" t="str">
        <f>VLOOKUP(E3,Reference!$A$1:$C$13,3,FALSE)</f>
        <v>Private</v>
      </c>
      <c r="G3" t="s">
        <v>26</v>
      </c>
      <c r="H3" s="144">
        <v>91865</v>
      </c>
      <c r="I3">
        <v>0.63</v>
      </c>
      <c r="J3">
        <v>104660.98</v>
      </c>
      <c r="K3">
        <v>104660.98</v>
      </c>
      <c r="L3">
        <v>22131</v>
      </c>
      <c r="M3">
        <v>4749</v>
      </c>
      <c r="N3">
        <v>356</v>
      </c>
      <c r="O3">
        <v>738</v>
      </c>
      <c r="P3">
        <f t="shared" ref="P3:P66" si="0">M3+N3+O3+L3</f>
        <v>27974</v>
      </c>
      <c r="Q3">
        <v>98866</v>
      </c>
      <c r="R3">
        <v>3552</v>
      </c>
      <c r="S3">
        <v>1092</v>
      </c>
      <c r="T3">
        <f t="shared" ref="T3:T66" si="1">SUM(Q3:S3)</f>
        <v>103510</v>
      </c>
      <c r="U3" t="s">
        <v>266</v>
      </c>
      <c r="V3" s="144">
        <f t="shared" ref="V3:V66" si="2">I3*J3</f>
        <v>65936.417399999991</v>
      </c>
      <c r="W3" s="146">
        <f t="shared" ref="W3:W66" si="3">V3-H3</f>
        <v>-25928.582600000009</v>
      </c>
    </row>
    <row r="4" spans="1:23" x14ac:dyDescent="0.2">
      <c r="A4" s="1">
        <v>43739</v>
      </c>
      <c r="B4" s="1">
        <v>44104</v>
      </c>
      <c r="C4" s="7" t="s">
        <v>27</v>
      </c>
      <c r="D4" t="s">
        <v>28</v>
      </c>
      <c r="E4">
        <v>2</v>
      </c>
      <c r="F4" t="str">
        <f>VLOOKUP(E4,Reference!$A$1:$C$13,3,FALSE)</f>
        <v>Private</v>
      </c>
      <c r="G4" t="s">
        <v>26</v>
      </c>
      <c r="H4" s="144">
        <v>140576</v>
      </c>
      <c r="I4">
        <v>7.65</v>
      </c>
      <c r="J4">
        <v>92913.26</v>
      </c>
      <c r="K4">
        <v>92913.26</v>
      </c>
      <c r="L4">
        <v>38451</v>
      </c>
      <c r="M4">
        <v>6447</v>
      </c>
      <c r="N4">
        <v>808</v>
      </c>
      <c r="P4">
        <f t="shared" si="0"/>
        <v>45706</v>
      </c>
      <c r="Q4">
        <v>81187</v>
      </c>
      <c r="R4">
        <v>13561</v>
      </c>
      <c r="S4">
        <v>0</v>
      </c>
      <c r="T4">
        <f t="shared" si="1"/>
        <v>94748</v>
      </c>
      <c r="U4" t="s">
        <v>267</v>
      </c>
      <c r="V4" s="144">
        <f t="shared" si="2"/>
        <v>710786.43900000001</v>
      </c>
      <c r="W4" s="146">
        <f t="shared" si="3"/>
        <v>570210.43900000001</v>
      </c>
    </row>
    <row r="5" spans="1:23" x14ac:dyDescent="0.2">
      <c r="A5" s="1">
        <v>43617</v>
      </c>
      <c r="B5" s="1">
        <v>43982</v>
      </c>
      <c r="C5" s="7" t="s">
        <v>29</v>
      </c>
      <c r="D5" t="s">
        <v>30</v>
      </c>
      <c r="E5">
        <v>4</v>
      </c>
      <c r="F5" t="str">
        <f>VLOOKUP(E5,Reference!$A$1:$C$13,3,FALSE)</f>
        <v>Private</v>
      </c>
      <c r="G5" t="s">
        <v>31</v>
      </c>
      <c r="H5" s="144">
        <v>152362</v>
      </c>
      <c r="I5">
        <v>1.17</v>
      </c>
      <c r="J5">
        <v>96010.65</v>
      </c>
      <c r="K5">
        <v>96010.65</v>
      </c>
      <c r="L5">
        <v>40836</v>
      </c>
      <c r="M5">
        <v>7352</v>
      </c>
      <c r="N5">
        <v>617</v>
      </c>
      <c r="O5">
        <v>225</v>
      </c>
      <c r="P5">
        <f t="shared" si="0"/>
        <v>49030</v>
      </c>
      <c r="Q5">
        <v>188386</v>
      </c>
      <c r="R5">
        <v>5449</v>
      </c>
      <c r="S5">
        <v>1226</v>
      </c>
      <c r="T5">
        <f t="shared" si="1"/>
        <v>195061</v>
      </c>
      <c r="U5" t="s">
        <v>266</v>
      </c>
      <c r="V5" s="144">
        <f t="shared" si="2"/>
        <v>112332.46049999999</v>
      </c>
      <c r="W5" s="146">
        <f t="shared" si="3"/>
        <v>-40029.539500000014</v>
      </c>
    </row>
    <row r="6" spans="1:23" x14ac:dyDescent="0.2">
      <c r="A6" s="1">
        <v>43617</v>
      </c>
      <c r="B6" s="1">
        <v>43982</v>
      </c>
      <c r="C6" s="7" t="s">
        <v>32</v>
      </c>
      <c r="D6" t="s">
        <v>33</v>
      </c>
      <c r="E6">
        <v>4</v>
      </c>
      <c r="F6" t="str">
        <f>VLOOKUP(E6,Reference!$A$1:$C$13,3,FALSE)</f>
        <v>Private</v>
      </c>
      <c r="G6" t="s">
        <v>34</v>
      </c>
      <c r="H6" s="144">
        <v>229248</v>
      </c>
      <c r="I6">
        <v>1.99</v>
      </c>
      <c r="J6">
        <v>87788.93</v>
      </c>
      <c r="K6">
        <v>87788.93</v>
      </c>
      <c r="L6">
        <v>14912</v>
      </c>
      <c r="M6">
        <v>7918</v>
      </c>
      <c r="N6">
        <v>645</v>
      </c>
      <c r="O6">
        <v>653</v>
      </c>
      <c r="P6">
        <f t="shared" si="0"/>
        <v>24128</v>
      </c>
      <c r="Q6">
        <v>66594</v>
      </c>
      <c r="R6">
        <v>4455</v>
      </c>
      <c r="S6">
        <v>761</v>
      </c>
      <c r="T6">
        <f t="shared" si="1"/>
        <v>71810</v>
      </c>
      <c r="U6" t="s">
        <v>266</v>
      </c>
      <c r="V6" s="144">
        <f t="shared" si="2"/>
        <v>174699.97069999998</v>
      </c>
      <c r="W6" s="146">
        <f t="shared" si="3"/>
        <v>-54548.029300000024</v>
      </c>
    </row>
    <row r="7" spans="1:23" x14ac:dyDescent="0.2">
      <c r="A7" s="1">
        <v>43739</v>
      </c>
      <c r="B7" s="1">
        <v>44104</v>
      </c>
      <c r="C7" s="7" t="s">
        <v>35</v>
      </c>
      <c r="D7" t="s">
        <v>36</v>
      </c>
      <c r="E7">
        <v>2</v>
      </c>
      <c r="F7" t="str">
        <f>VLOOKUP(E7,Reference!$A$1:$C$13,3,FALSE)</f>
        <v>Private</v>
      </c>
      <c r="G7" t="s">
        <v>26</v>
      </c>
      <c r="H7" s="144">
        <v>357917</v>
      </c>
      <c r="I7">
        <v>2.12</v>
      </c>
      <c r="J7">
        <v>92913.26</v>
      </c>
      <c r="K7">
        <v>92913.26</v>
      </c>
      <c r="L7">
        <v>29907</v>
      </c>
      <c r="M7">
        <v>5461</v>
      </c>
      <c r="N7">
        <v>1238</v>
      </c>
      <c r="O7">
        <v>1129</v>
      </c>
      <c r="P7">
        <f t="shared" si="0"/>
        <v>37735</v>
      </c>
      <c r="Q7">
        <v>188739</v>
      </c>
      <c r="R7">
        <v>10890</v>
      </c>
      <c r="S7">
        <v>2346</v>
      </c>
      <c r="T7">
        <f t="shared" si="1"/>
        <v>201975</v>
      </c>
      <c r="U7" t="s">
        <v>266</v>
      </c>
      <c r="V7" s="144">
        <f t="shared" si="2"/>
        <v>196976.11119999998</v>
      </c>
      <c r="W7" s="146">
        <f t="shared" si="3"/>
        <v>-160940.88880000002</v>
      </c>
    </row>
    <row r="8" spans="1:23" x14ac:dyDescent="0.2">
      <c r="A8" s="1">
        <v>43617</v>
      </c>
      <c r="B8" s="1">
        <v>43982</v>
      </c>
      <c r="C8" s="7" t="s">
        <v>37</v>
      </c>
      <c r="D8" t="s">
        <v>38</v>
      </c>
      <c r="E8">
        <v>4</v>
      </c>
      <c r="F8" t="str">
        <f>VLOOKUP(E8,Reference!$A$1:$C$13,3,FALSE)</f>
        <v>Private</v>
      </c>
      <c r="G8" t="s">
        <v>39</v>
      </c>
      <c r="H8" s="144">
        <v>729598</v>
      </c>
      <c r="I8">
        <v>4.0999999999999996</v>
      </c>
      <c r="J8">
        <v>88398.31</v>
      </c>
      <c r="K8">
        <v>88398.31</v>
      </c>
      <c r="L8">
        <v>17750</v>
      </c>
      <c r="M8">
        <v>7969</v>
      </c>
      <c r="N8">
        <v>753</v>
      </c>
      <c r="O8">
        <v>565</v>
      </c>
      <c r="P8">
        <f t="shared" si="0"/>
        <v>27037</v>
      </c>
      <c r="Q8">
        <v>61789</v>
      </c>
      <c r="R8">
        <v>2769</v>
      </c>
      <c r="S8">
        <v>886</v>
      </c>
      <c r="T8">
        <f t="shared" si="1"/>
        <v>65444</v>
      </c>
      <c r="U8" t="s">
        <v>266</v>
      </c>
      <c r="V8" s="144">
        <f t="shared" si="2"/>
        <v>362433.07099999994</v>
      </c>
      <c r="W8" s="146">
        <f t="shared" si="3"/>
        <v>-367164.92900000006</v>
      </c>
    </row>
    <row r="9" spans="1:23" x14ac:dyDescent="0.2">
      <c r="A9" s="1">
        <v>43647</v>
      </c>
      <c r="B9" s="1">
        <v>44012</v>
      </c>
      <c r="C9" s="7" t="s">
        <v>40</v>
      </c>
      <c r="D9" t="s">
        <v>41</v>
      </c>
      <c r="E9">
        <v>4</v>
      </c>
      <c r="F9" t="str">
        <f>VLOOKUP(E9,Reference!$A$1:$C$13,3,FALSE)</f>
        <v>Private</v>
      </c>
      <c r="G9" t="s">
        <v>42</v>
      </c>
      <c r="H9" s="144">
        <v>801139</v>
      </c>
      <c r="I9">
        <v>10.33</v>
      </c>
      <c r="J9">
        <v>87770.16</v>
      </c>
      <c r="K9">
        <v>87770.16</v>
      </c>
      <c r="L9">
        <v>43628</v>
      </c>
      <c r="M9">
        <v>22733</v>
      </c>
      <c r="N9">
        <v>1522</v>
      </c>
      <c r="O9">
        <v>1541</v>
      </c>
      <c r="P9">
        <f t="shared" si="0"/>
        <v>69424</v>
      </c>
      <c r="Q9">
        <v>259766</v>
      </c>
      <c r="R9">
        <v>16390</v>
      </c>
      <c r="S9">
        <v>2730</v>
      </c>
      <c r="T9">
        <f t="shared" si="1"/>
        <v>278886</v>
      </c>
      <c r="U9" t="s">
        <v>266</v>
      </c>
      <c r="V9" s="144">
        <f t="shared" si="2"/>
        <v>906665.75280000002</v>
      </c>
      <c r="W9" s="146">
        <f t="shared" si="3"/>
        <v>105526.75280000002</v>
      </c>
    </row>
    <row r="10" spans="1:23" x14ac:dyDescent="0.2">
      <c r="A10" s="1">
        <v>43739</v>
      </c>
      <c r="B10" s="1">
        <v>44104</v>
      </c>
      <c r="C10" s="7" t="s">
        <v>43</v>
      </c>
      <c r="D10" t="s">
        <v>44</v>
      </c>
      <c r="E10">
        <v>4</v>
      </c>
      <c r="F10" t="str">
        <f>VLOOKUP(E10,Reference!$A$1:$C$13,3,FALSE)</f>
        <v>Private</v>
      </c>
      <c r="G10" t="s">
        <v>42</v>
      </c>
      <c r="H10" s="144">
        <v>1005300</v>
      </c>
      <c r="I10">
        <v>6.59</v>
      </c>
      <c r="K10">
        <v>87521.89</v>
      </c>
      <c r="L10">
        <v>6033</v>
      </c>
      <c r="M10">
        <v>4576</v>
      </c>
      <c r="N10">
        <v>1</v>
      </c>
      <c r="O10">
        <v>349</v>
      </c>
      <c r="P10">
        <f t="shared" si="0"/>
        <v>10959</v>
      </c>
      <c r="Q10">
        <v>30770</v>
      </c>
      <c r="R10">
        <v>3272</v>
      </c>
      <c r="S10">
        <v>374</v>
      </c>
      <c r="T10">
        <f t="shared" si="1"/>
        <v>34416</v>
      </c>
      <c r="U10" t="s">
        <v>266</v>
      </c>
      <c r="V10" s="144">
        <f t="shared" si="2"/>
        <v>0</v>
      </c>
      <c r="W10" s="146">
        <f t="shared" si="3"/>
        <v>-1005300</v>
      </c>
    </row>
    <row r="11" spans="1:23" x14ac:dyDescent="0.2">
      <c r="A11" s="1">
        <v>43466</v>
      </c>
      <c r="B11" s="1">
        <v>43830</v>
      </c>
      <c r="C11" s="7" t="s">
        <v>45</v>
      </c>
      <c r="D11" t="s">
        <v>46</v>
      </c>
      <c r="E11">
        <v>4</v>
      </c>
      <c r="F11" t="str">
        <f>VLOOKUP(E11,Reference!$A$1:$C$13,3,FALSE)</f>
        <v>Private</v>
      </c>
      <c r="G11" t="s">
        <v>47</v>
      </c>
      <c r="H11" s="144">
        <v>1039141</v>
      </c>
      <c r="I11">
        <v>22.3</v>
      </c>
      <c r="J11">
        <v>87567.62</v>
      </c>
      <c r="L11">
        <v>13427</v>
      </c>
      <c r="M11">
        <v>1945</v>
      </c>
      <c r="N11">
        <v>848</v>
      </c>
      <c r="P11">
        <f t="shared" si="0"/>
        <v>16220</v>
      </c>
      <c r="Q11">
        <v>98500</v>
      </c>
      <c r="R11">
        <v>8479</v>
      </c>
      <c r="S11">
        <v>1</v>
      </c>
      <c r="T11">
        <f t="shared" si="1"/>
        <v>106980</v>
      </c>
      <c r="U11" t="s">
        <v>268</v>
      </c>
      <c r="V11" s="144">
        <f t="shared" si="2"/>
        <v>1952757.926</v>
      </c>
      <c r="W11" s="146">
        <f t="shared" si="3"/>
        <v>913616.92599999998</v>
      </c>
    </row>
    <row r="12" spans="1:23" x14ac:dyDescent="0.2">
      <c r="A12" s="1">
        <v>43466</v>
      </c>
      <c r="B12" s="1">
        <v>43830</v>
      </c>
      <c r="C12" s="7" t="s">
        <v>48</v>
      </c>
      <c r="D12" t="s">
        <v>49</v>
      </c>
      <c r="E12">
        <v>4</v>
      </c>
      <c r="F12" t="str">
        <f>VLOOKUP(E12,Reference!$A$1:$C$13,3,FALSE)</f>
        <v>Private</v>
      </c>
      <c r="G12" t="s">
        <v>50</v>
      </c>
      <c r="H12" s="144">
        <v>1081261</v>
      </c>
      <c r="I12">
        <v>12.25</v>
      </c>
      <c r="J12">
        <v>87625.39</v>
      </c>
      <c r="K12">
        <v>87775.24</v>
      </c>
      <c r="L12">
        <v>5853</v>
      </c>
      <c r="M12">
        <v>2079</v>
      </c>
      <c r="N12">
        <v>80</v>
      </c>
      <c r="O12">
        <v>172</v>
      </c>
      <c r="P12">
        <f t="shared" si="0"/>
        <v>8184</v>
      </c>
      <c r="Q12">
        <v>27194</v>
      </c>
      <c r="R12">
        <v>3221</v>
      </c>
      <c r="S12">
        <v>205</v>
      </c>
      <c r="T12">
        <f t="shared" si="1"/>
        <v>30620</v>
      </c>
      <c r="U12" t="s">
        <v>266</v>
      </c>
      <c r="V12" s="144">
        <f t="shared" si="2"/>
        <v>1073411.0275000001</v>
      </c>
      <c r="W12" s="146">
        <f t="shared" si="3"/>
        <v>-7849.9724999999162</v>
      </c>
    </row>
    <row r="13" spans="1:23" x14ac:dyDescent="0.2">
      <c r="A13" s="1">
        <v>43466</v>
      </c>
      <c r="B13" s="1">
        <v>43830</v>
      </c>
      <c r="C13" s="7" t="s">
        <v>51</v>
      </c>
      <c r="D13" t="s">
        <v>52</v>
      </c>
      <c r="E13">
        <v>2</v>
      </c>
      <c r="F13" t="str">
        <f>VLOOKUP(E13,Reference!$A$1:$C$13,3,FALSE)</f>
        <v>Private</v>
      </c>
      <c r="G13" t="s">
        <v>53</v>
      </c>
      <c r="H13" s="144">
        <v>1151911</v>
      </c>
      <c r="I13">
        <v>11.47</v>
      </c>
      <c r="J13">
        <v>100000</v>
      </c>
      <c r="L13">
        <v>6587</v>
      </c>
      <c r="M13">
        <v>3677</v>
      </c>
      <c r="N13">
        <v>295</v>
      </c>
      <c r="O13">
        <v>515</v>
      </c>
      <c r="P13">
        <f t="shared" si="0"/>
        <v>11074</v>
      </c>
      <c r="Q13">
        <v>31207</v>
      </c>
      <c r="R13">
        <v>295</v>
      </c>
      <c r="S13">
        <v>579</v>
      </c>
      <c r="T13">
        <f t="shared" si="1"/>
        <v>32081</v>
      </c>
      <c r="U13" t="s">
        <v>266</v>
      </c>
      <c r="V13" s="144">
        <f t="shared" si="2"/>
        <v>1147000</v>
      </c>
      <c r="W13" s="146">
        <f t="shared" si="3"/>
        <v>-4911</v>
      </c>
    </row>
    <row r="14" spans="1:23" x14ac:dyDescent="0.2">
      <c r="A14" s="1">
        <v>43647</v>
      </c>
      <c r="B14" s="1">
        <v>44012</v>
      </c>
      <c r="C14" s="7" t="s">
        <v>54</v>
      </c>
      <c r="D14" t="s">
        <v>55</v>
      </c>
      <c r="E14">
        <v>5</v>
      </c>
      <c r="F14" t="str">
        <f>VLOOKUP(E14,Reference!$A$1:$C$13,3,FALSE)</f>
        <v>Private</v>
      </c>
      <c r="G14" t="s">
        <v>42</v>
      </c>
      <c r="H14" s="144">
        <v>1185215</v>
      </c>
      <c r="I14">
        <v>62.28</v>
      </c>
      <c r="J14">
        <v>88735.56</v>
      </c>
      <c r="K14">
        <v>88735.56</v>
      </c>
      <c r="L14">
        <v>81977</v>
      </c>
      <c r="M14">
        <v>15772</v>
      </c>
      <c r="N14">
        <v>2113</v>
      </c>
      <c r="O14">
        <v>1441</v>
      </c>
      <c r="P14">
        <f t="shared" si="0"/>
        <v>101303</v>
      </c>
      <c r="Q14">
        <v>439499</v>
      </c>
      <c r="R14">
        <v>19018</v>
      </c>
      <c r="S14">
        <v>2435</v>
      </c>
      <c r="T14">
        <f t="shared" si="1"/>
        <v>460952</v>
      </c>
      <c r="U14" t="s">
        <v>266</v>
      </c>
      <c r="V14" s="144">
        <f t="shared" si="2"/>
        <v>5526450.6767999995</v>
      </c>
      <c r="W14" s="146">
        <f t="shared" si="3"/>
        <v>4341235.6767999995</v>
      </c>
    </row>
    <row r="15" spans="1:23" x14ac:dyDescent="0.2">
      <c r="A15" s="1">
        <v>43647</v>
      </c>
      <c r="B15" s="1">
        <v>44012</v>
      </c>
      <c r="C15" s="7" t="s">
        <v>56</v>
      </c>
      <c r="D15" t="s">
        <v>57</v>
      </c>
      <c r="E15">
        <v>1</v>
      </c>
      <c r="F15" t="str">
        <f>VLOOKUP(E15,Reference!$A$1:$C$13,3,FALSE)</f>
        <v>Private</v>
      </c>
      <c r="G15" t="s">
        <v>58</v>
      </c>
      <c r="H15" s="144">
        <v>1368118</v>
      </c>
      <c r="I15">
        <v>5.61</v>
      </c>
      <c r="J15">
        <v>88735.56</v>
      </c>
      <c r="L15">
        <v>6886</v>
      </c>
      <c r="M15">
        <v>516</v>
      </c>
      <c r="O15">
        <v>294</v>
      </c>
      <c r="P15">
        <f t="shared" si="0"/>
        <v>7696</v>
      </c>
      <c r="Q15">
        <v>59015</v>
      </c>
      <c r="R15">
        <v>1688</v>
      </c>
      <c r="S15">
        <v>769</v>
      </c>
      <c r="T15">
        <f t="shared" si="1"/>
        <v>61472</v>
      </c>
      <c r="U15" t="s">
        <v>266</v>
      </c>
      <c r="V15" s="144">
        <f t="shared" si="2"/>
        <v>497806.49160000001</v>
      </c>
      <c r="W15" s="146">
        <f t="shared" si="3"/>
        <v>-870311.50839999993</v>
      </c>
    </row>
    <row r="16" spans="1:23" x14ac:dyDescent="0.2">
      <c r="A16" s="1">
        <v>43466</v>
      </c>
      <c r="B16" s="1">
        <v>43830</v>
      </c>
      <c r="C16" s="7" t="s">
        <v>59</v>
      </c>
      <c r="D16" t="s">
        <v>60</v>
      </c>
      <c r="E16">
        <v>2</v>
      </c>
      <c r="F16" t="str">
        <f>VLOOKUP(E16,Reference!$A$1:$C$13,3,FALSE)</f>
        <v>Private</v>
      </c>
      <c r="G16" t="s">
        <v>34</v>
      </c>
      <c r="H16" s="144">
        <v>1369316</v>
      </c>
      <c r="I16">
        <v>8.32</v>
      </c>
      <c r="J16">
        <v>121586.66</v>
      </c>
      <c r="K16">
        <v>115131.88</v>
      </c>
      <c r="L16">
        <v>9546</v>
      </c>
      <c r="M16">
        <v>3321</v>
      </c>
      <c r="P16">
        <f t="shared" si="0"/>
        <v>12867</v>
      </c>
      <c r="Q16">
        <v>64530</v>
      </c>
      <c r="R16">
        <v>11823</v>
      </c>
      <c r="S16">
        <v>4309</v>
      </c>
      <c r="T16">
        <f t="shared" si="1"/>
        <v>80662</v>
      </c>
      <c r="U16" t="s">
        <v>266</v>
      </c>
      <c r="V16" s="144">
        <f t="shared" si="2"/>
        <v>1011601.0112000001</v>
      </c>
      <c r="W16" s="146">
        <f t="shared" si="3"/>
        <v>-357714.98879999993</v>
      </c>
    </row>
    <row r="17" spans="1:23" x14ac:dyDescent="0.2">
      <c r="A17" s="1">
        <v>43647</v>
      </c>
      <c r="B17" s="1">
        <v>44012</v>
      </c>
      <c r="C17" s="7" t="s">
        <v>61</v>
      </c>
      <c r="D17" t="s">
        <v>62</v>
      </c>
      <c r="E17">
        <v>1</v>
      </c>
      <c r="F17" t="str">
        <f>VLOOKUP(E17,Reference!$A$1:$C$13,3,FALSE)</f>
        <v>Private</v>
      </c>
      <c r="G17" t="s">
        <v>50</v>
      </c>
      <c r="H17" s="144">
        <v>1656266</v>
      </c>
      <c r="I17">
        <v>12.25</v>
      </c>
      <c r="J17">
        <v>88735.56</v>
      </c>
      <c r="L17">
        <v>11984</v>
      </c>
      <c r="M17">
        <v>541</v>
      </c>
      <c r="N17">
        <v>346</v>
      </c>
      <c r="O17">
        <v>334</v>
      </c>
      <c r="P17">
        <f t="shared" si="0"/>
        <v>13205</v>
      </c>
      <c r="Q17">
        <v>61480</v>
      </c>
      <c r="R17">
        <v>6844</v>
      </c>
      <c r="S17">
        <v>483</v>
      </c>
      <c r="T17">
        <f t="shared" si="1"/>
        <v>68807</v>
      </c>
      <c r="U17" t="s">
        <v>266</v>
      </c>
      <c r="V17" s="144">
        <f t="shared" si="2"/>
        <v>1087010.6099999999</v>
      </c>
      <c r="W17" s="146">
        <f t="shared" si="3"/>
        <v>-569255.39000000013</v>
      </c>
    </row>
    <row r="18" spans="1:23" x14ac:dyDescent="0.2">
      <c r="A18" s="1">
        <v>43770</v>
      </c>
      <c r="B18" s="1">
        <v>44135</v>
      </c>
      <c r="C18" s="7" t="s">
        <v>63</v>
      </c>
      <c r="D18" t="s">
        <v>64</v>
      </c>
      <c r="E18">
        <v>4</v>
      </c>
      <c r="F18" t="str">
        <f>VLOOKUP(E18,Reference!$A$1:$C$13,3,FALSE)</f>
        <v>Private</v>
      </c>
      <c r="G18" t="s">
        <v>23</v>
      </c>
      <c r="H18" s="144">
        <v>1861204</v>
      </c>
      <c r="I18">
        <v>14.52</v>
      </c>
      <c r="J18">
        <v>87235.01</v>
      </c>
      <c r="K18">
        <v>87235.01</v>
      </c>
      <c r="L18">
        <v>9798</v>
      </c>
      <c r="M18">
        <v>1708</v>
      </c>
      <c r="N18">
        <v>22</v>
      </c>
      <c r="O18">
        <v>69</v>
      </c>
      <c r="P18">
        <f t="shared" si="0"/>
        <v>11597</v>
      </c>
      <c r="Q18">
        <v>104292</v>
      </c>
      <c r="R18">
        <v>3514</v>
      </c>
      <c r="S18">
        <v>283</v>
      </c>
      <c r="T18">
        <f t="shared" si="1"/>
        <v>108089</v>
      </c>
      <c r="U18" t="s">
        <v>268</v>
      </c>
      <c r="V18" s="144">
        <f t="shared" si="2"/>
        <v>1266652.3451999999</v>
      </c>
      <c r="W18" s="146">
        <f t="shared" si="3"/>
        <v>-594551.65480000013</v>
      </c>
    </row>
    <row r="19" spans="1:23" x14ac:dyDescent="0.2">
      <c r="A19" s="1">
        <v>43466</v>
      </c>
      <c r="B19" s="1">
        <v>43830</v>
      </c>
      <c r="C19" s="7" t="s">
        <v>65</v>
      </c>
      <c r="D19" t="s">
        <v>66</v>
      </c>
      <c r="E19">
        <v>4</v>
      </c>
      <c r="F19" t="str">
        <f>VLOOKUP(E19,Reference!$A$1:$C$13,3,FALSE)</f>
        <v>Private</v>
      </c>
      <c r="G19" t="s">
        <v>34</v>
      </c>
      <c r="H19" s="144">
        <v>2116533</v>
      </c>
      <c r="I19">
        <v>15.61</v>
      </c>
      <c r="J19">
        <v>97023.76</v>
      </c>
      <c r="K19">
        <v>97023.76</v>
      </c>
      <c r="L19">
        <v>10660</v>
      </c>
      <c r="M19">
        <v>6074</v>
      </c>
      <c r="N19">
        <v>962</v>
      </c>
      <c r="O19">
        <v>492</v>
      </c>
      <c r="P19">
        <f t="shared" si="0"/>
        <v>18188</v>
      </c>
      <c r="Q19">
        <v>62428</v>
      </c>
      <c r="R19">
        <v>5730</v>
      </c>
      <c r="S19">
        <v>664</v>
      </c>
      <c r="T19">
        <f t="shared" si="1"/>
        <v>68822</v>
      </c>
      <c r="U19" t="s">
        <v>266</v>
      </c>
      <c r="V19" s="144">
        <f t="shared" si="2"/>
        <v>1514540.8935999998</v>
      </c>
      <c r="W19" s="146">
        <f t="shared" si="3"/>
        <v>-601992.10640000016</v>
      </c>
    </row>
    <row r="20" spans="1:23" x14ac:dyDescent="0.2">
      <c r="A20" s="1">
        <v>43466</v>
      </c>
      <c r="B20" s="1">
        <v>43830</v>
      </c>
      <c r="C20" s="7" t="s">
        <v>67</v>
      </c>
      <c r="D20" t="s">
        <v>68</v>
      </c>
      <c r="E20">
        <v>4</v>
      </c>
      <c r="F20" t="str">
        <f>VLOOKUP(E20,Reference!$A$1:$C$13,3,FALSE)</f>
        <v>Private</v>
      </c>
      <c r="G20" t="s">
        <v>69</v>
      </c>
      <c r="H20" s="144">
        <v>2450632</v>
      </c>
      <c r="I20">
        <v>20.18</v>
      </c>
      <c r="J20">
        <v>87171.24</v>
      </c>
      <c r="L20">
        <v>9032</v>
      </c>
      <c r="M20">
        <v>4054</v>
      </c>
      <c r="N20">
        <v>1334</v>
      </c>
      <c r="O20">
        <v>330</v>
      </c>
      <c r="P20">
        <f t="shared" si="0"/>
        <v>14750</v>
      </c>
      <c r="Q20">
        <v>69792</v>
      </c>
      <c r="R20">
        <v>9889</v>
      </c>
      <c r="S20">
        <v>425</v>
      </c>
      <c r="T20">
        <f t="shared" si="1"/>
        <v>80106</v>
      </c>
      <c r="U20" t="s">
        <v>266</v>
      </c>
      <c r="V20" s="144">
        <f t="shared" si="2"/>
        <v>1759115.6232</v>
      </c>
      <c r="W20" s="146">
        <f t="shared" si="3"/>
        <v>-691516.37679999997</v>
      </c>
    </row>
    <row r="21" spans="1:23" x14ac:dyDescent="0.2">
      <c r="A21" s="1">
        <v>43466</v>
      </c>
      <c r="B21" s="1">
        <v>43830</v>
      </c>
      <c r="C21" s="7" t="s">
        <v>70</v>
      </c>
      <c r="D21" t="s">
        <v>71</v>
      </c>
      <c r="E21">
        <v>4</v>
      </c>
      <c r="F21" t="str">
        <f>VLOOKUP(E21,Reference!$A$1:$C$13,3,FALSE)</f>
        <v>Private</v>
      </c>
      <c r="G21" t="s">
        <v>72</v>
      </c>
      <c r="H21" s="144">
        <v>2476829</v>
      </c>
      <c r="I21">
        <v>12.7</v>
      </c>
      <c r="J21">
        <v>87171.26</v>
      </c>
      <c r="K21">
        <v>87171.26</v>
      </c>
      <c r="L21">
        <v>7858</v>
      </c>
      <c r="M21">
        <v>1543</v>
      </c>
      <c r="N21">
        <v>42</v>
      </c>
      <c r="O21">
        <v>177</v>
      </c>
      <c r="P21">
        <f t="shared" si="0"/>
        <v>9620</v>
      </c>
      <c r="Q21">
        <v>91592</v>
      </c>
      <c r="R21">
        <v>2919</v>
      </c>
      <c r="S21">
        <v>590</v>
      </c>
      <c r="T21">
        <f t="shared" si="1"/>
        <v>95101</v>
      </c>
      <c r="U21" t="s">
        <v>266</v>
      </c>
      <c r="V21" s="144">
        <f t="shared" si="2"/>
        <v>1107075.0019999999</v>
      </c>
      <c r="W21" s="146">
        <f t="shared" si="3"/>
        <v>-1369753.9980000001</v>
      </c>
    </row>
    <row r="22" spans="1:23" x14ac:dyDescent="0.2">
      <c r="A22" s="1">
        <v>43647</v>
      </c>
      <c r="B22" s="1">
        <v>44012</v>
      </c>
      <c r="C22" s="7" t="s">
        <v>73</v>
      </c>
      <c r="D22" t="s">
        <v>74</v>
      </c>
      <c r="E22">
        <v>1</v>
      </c>
      <c r="F22" t="str">
        <f>VLOOKUP(E22,Reference!$A$1:$C$13,3,FALSE)</f>
        <v>Private</v>
      </c>
      <c r="G22" t="s">
        <v>75</v>
      </c>
      <c r="H22" s="144">
        <v>2499451</v>
      </c>
      <c r="I22">
        <v>17.5</v>
      </c>
      <c r="J22">
        <v>88700.89</v>
      </c>
      <c r="K22">
        <v>88700.89</v>
      </c>
      <c r="L22">
        <v>8403</v>
      </c>
      <c r="M22">
        <v>518</v>
      </c>
      <c r="N22">
        <v>162</v>
      </c>
      <c r="P22">
        <f t="shared" si="0"/>
        <v>9083</v>
      </c>
      <c r="Q22">
        <v>86722</v>
      </c>
      <c r="R22">
        <v>11539</v>
      </c>
      <c r="S22">
        <v>0</v>
      </c>
      <c r="T22">
        <f t="shared" si="1"/>
        <v>98261</v>
      </c>
      <c r="U22" t="s">
        <v>266</v>
      </c>
      <c r="V22" s="144">
        <f t="shared" si="2"/>
        <v>1552265.575</v>
      </c>
      <c r="W22" s="146">
        <f t="shared" si="3"/>
        <v>-947185.42500000005</v>
      </c>
    </row>
    <row r="23" spans="1:23" x14ac:dyDescent="0.2">
      <c r="A23" s="1">
        <v>43647</v>
      </c>
      <c r="B23" s="1">
        <v>44012</v>
      </c>
      <c r="C23" s="7" t="s">
        <v>76</v>
      </c>
      <c r="D23" t="s">
        <v>77</v>
      </c>
      <c r="E23">
        <v>2</v>
      </c>
      <c r="F23" t="str">
        <f>VLOOKUP(E23,Reference!$A$1:$C$13,3,FALSE)</f>
        <v>Private</v>
      </c>
      <c r="G23" t="s">
        <v>31</v>
      </c>
      <c r="H23" s="144">
        <v>3468939</v>
      </c>
      <c r="I23">
        <v>16.670000000000002</v>
      </c>
      <c r="J23">
        <v>203913</v>
      </c>
      <c r="K23">
        <v>193087</v>
      </c>
      <c r="L23">
        <v>12634</v>
      </c>
      <c r="M23">
        <v>1304</v>
      </c>
      <c r="O23">
        <v>55</v>
      </c>
      <c r="P23">
        <f t="shared" si="0"/>
        <v>13993</v>
      </c>
      <c r="Q23">
        <v>67807</v>
      </c>
      <c r="R23">
        <v>8446</v>
      </c>
      <c r="S23">
        <v>740</v>
      </c>
      <c r="T23">
        <f t="shared" si="1"/>
        <v>76993</v>
      </c>
      <c r="U23" t="s">
        <v>266</v>
      </c>
      <c r="V23" s="144">
        <f t="shared" si="2"/>
        <v>3399229.7100000004</v>
      </c>
      <c r="W23" s="146">
        <f t="shared" si="3"/>
        <v>-69709.289999999572</v>
      </c>
    </row>
    <row r="24" spans="1:23" x14ac:dyDescent="0.2">
      <c r="A24" s="1">
        <v>43709</v>
      </c>
      <c r="B24" s="1">
        <v>44074</v>
      </c>
      <c r="C24" s="7" t="s">
        <v>78</v>
      </c>
      <c r="D24" t="s">
        <v>79</v>
      </c>
      <c r="E24">
        <v>1</v>
      </c>
      <c r="F24" t="str">
        <f>VLOOKUP(E24,Reference!$A$1:$C$13,3,FALSE)</f>
        <v>Private</v>
      </c>
      <c r="G24" t="s">
        <v>58</v>
      </c>
      <c r="H24" s="144">
        <v>3518601</v>
      </c>
      <c r="I24">
        <v>16.68</v>
      </c>
      <c r="J24">
        <v>87947.41</v>
      </c>
      <c r="L24">
        <v>14214</v>
      </c>
      <c r="M24">
        <v>2120</v>
      </c>
      <c r="O24">
        <v>569</v>
      </c>
      <c r="P24">
        <f t="shared" si="0"/>
        <v>16903</v>
      </c>
      <c r="Q24">
        <v>57943</v>
      </c>
      <c r="R24">
        <v>4204</v>
      </c>
      <c r="S24">
        <v>820</v>
      </c>
      <c r="T24">
        <f t="shared" si="1"/>
        <v>62967</v>
      </c>
      <c r="U24" t="s">
        <v>266</v>
      </c>
      <c r="V24" s="144">
        <f t="shared" si="2"/>
        <v>1466962.7988</v>
      </c>
      <c r="W24" s="146">
        <f t="shared" si="3"/>
        <v>-2051638.2012</v>
      </c>
    </row>
    <row r="25" spans="1:23" x14ac:dyDescent="0.2">
      <c r="A25" s="1">
        <v>43466</v>
      </c>
      <c r="B25" s="1">
        <v>43830</v>
      </c>
      <c r="C25" s="7" t="s">
        <v>80</v>
      </c>
      <c r="D25" t="s">
        <v>81</v>
      </c>
      <c r="E25">
        <v>2</v>
      </c>
      <c r="F25" t="str">
        <f>VLOOKUP(E25,Reference!$A$1:$C$13,3,FALSE)</f>
        <v>Private</v>
      </c>
      <c r="G25" t="s">
        <v>34</v>
      </c>
      <c r="H25" s="144">
        <v>3552271</v>
      </c>
      <c r="I25">
        <v>13.52</v>
      </c>
      <c r="K25">
        <v>97023.76</v>
      </c>
      <c r="L25">
        <v>863</v>
      </c>
      <c r="M25">
        <v>2371</v>
      </c>
      <c r="P25">
        <f t="shared" si="0"/>
        <v>3234</v>
      </c>
      <c r="Q25">
        <v>37153</v>
      </c>
      <c r="R25">
        <v>0</v>
      </c>
      <c r="S25">
        <v>0</v>
      </c>
      <c r="T25">
        <f t="shared" si="1"/>
        <v>37153</v>
      </c>
      <c r="U25" t="s">
        <v>266</v>
      </c>
      <c r="V25" s="144">
        <f t="shared" si="2"/>
        <v>0</v>
      </c>
      <c r="W25" s="146">
        <f t="shared" si="3"/>
        <v>-3552271</v>
      </c>
    </row>
    <row r="26" spans="1:23" x14ac:dyDescent="0.2">
      <c r="A26" s="1">
        <v>43647</v>
      </c>
      <c r="B26" s="1">
        <v>44012</v>
      </c>
      <c r="C26" s="7" t="s">
        <v>82</v>
      </c>
      <c r="D26" t="s">
        <v>83</v>
      </c>
      <c r="E26">
        <v>1</v>
      </c>
      <c r="F26" t="str">
        <f>VLOOKUP(E26,Reference!$A$1:$C$13,3,FALSE)</f>
        <v>Private</v>
      </c>
      <c r="G26" t="s">
        <v>84</v>
      </c>
      <c r="H26" s="144">
        <v>3903022</v>
      </c>
      <c r="I26">
        <v>35.549999999999997</v>
      </c>
      <c r="J26">
        <v>88523.29</v>
      </c>
      <c r="K26">
        <v>88523.89</v>
      </c>
      <c r="L26">
        <v>9714</v>
      </c>
      <c r="M26">
        <v>1775</v>
      </c>
      <c r="O26">
        <v>278</v>
      </c>
      <c r="P26">
        <f t="shared" si="0"/>
        <v>11767</v>
      </c>
      <c r="Q26">
        <v>64761</v>
      </c>
      <c r="R26">
        <v>9975</v>
      </c>
      <c r="S26">
        <v>380</v>
      </c>
      <c r="T26">
        <f t="shared" si="1"/>
        <v>75116</v>
      </c>
      <c r="U26" t="s">
        <v>266</v>
      </c>
      <c r="V26" s="144">
        <f t="shared" si="2"/>
        <v>3147002.9594999994</v>
      </c>
      <c r="W26" s="146">
        <f t="shared" si="3"/>
        <v>-756019.04050000058</v>
      </c>
    </row>
    <row r="27" spans="1:23" x14ac:dyDescent="0.2">
      <c r="A27" s="1">
        <v>43770</v>
      </c>
      <c r="B27" s="1">
        <v>44135</v>
      </c>
      <c r="C27" s="7" t="s">
        <v>85</v>
      </c>
      <c r="D27" t="s">
        <v>86</v>
      </c>
      <c r="E27">
        <v>6</v>
      </c>
      <c r="F27" t="str">
        <f>VLOOKUP(E27,Reference!$A$1:$C$13,3,FALSE)</f>
        <v>Private</v>
      </c>
      <c r="G27" t="s">
        <v>34</v>
      </c>
      <c r="H27" s="144">
        <v>4208921</v>
      </c>
      <c r="I27">
        <v>34.31</v>
      </c>
      <c r="J27">
        <v>162208.70000000001</v>
      </c>
      <c r="K27">
        <v>161985.19</v>
      </c>
      <c r="L27">
        <v>12290</v>
      </c>
      <c r="M27">
        <v>11190</v>
      </c>
      <c r="N27">
        <v>244</v>
      </c>
      <c r="O27">
        <v>1136</v>
      </c>
      <c r="P27">
        <f t="shared" si="0"/>
        <v>24860</v>
      </c>
      <c r="Q27">
        <v>50262</v>
      </c>
      <c r="R27">
        <v>1685</v>
      </c>
      <c r="S27">
        <v>1263</v>
      </c>
      <c r="T27">
        <f t="shared" si="1"/>
        <v>53210</v>
      </c>
      <c r="U27" t="s">
        <v>266</v>
      </c>
      <c r="V27" s="144">
        <f t="shared" si="2"/>
        <v>5565380.4970000004</v>
      </c>
      <c r="W27" s="146">
        <f t="shared" si="3"/>
        <v>1356459.4970000004</v>
      </c>
    </row>
    <row r="28" spans="1:23" x14ac:dyDescent="0.2">
      <c r="A28" s="1">
        <v>43709</v>
      </c>
      <c r="B28" s="1">
        <v>44074</v>
      </c>
      <c r="C28" s="7" t="s">
        <v>87</v>
      </c>
      <c r="D28" t="s">
        <v>88</v>
      </c>
      <c r="E28">
        <v>4</v>
      </c>
      <c r="F28" t="str">
        <f>VLOOKUP(E28,Reference!$A$1:$C$13,3,FALSE)</f>
        <v>Private</v>
      </c>
      <c r="G28" t="s">
        <v>89</v>
      </c>
      <c r="H28" s="144">
        <v>4256545</v>
      </c>
      <c r="I28">
        <v>40.81</v>
      </c>
      <c r="J28">
        <v>88861.21</v>
      </c>
      <c r="K28">
        <v>88861.21</v>
      </c>
      <c r="L28">
        <v>7987</v>
      </c>
      <c r="M28">
        <v>10937</v>
      </c>
      <c r="N28">
        <v>1609</v>
      </c>
      <c r="O28">
        <v>492</v>
      </c>
      <c r="P28">
        <f t="shared" si="0"/>
        <v>21025</v>
      </c>
      <c r="Q28">
        <v>82515</v>
      </c>
      <c r="R28">
        <v>5533</v>
      </c>
      <c r="S28">
        <v>588</v>
      </c>
      <c r="T28">
        <f t="shared" si="1"/>
        <v>88636</v>
      </c>
      <c r="U28" t="s">
        <v>266</v>
      </c>
      <c r="V28" s="144">
        <f t="shared" si="2"/>
        <v>3626425.9801000003</v>
      </c>
      <c r="W28" s="146">
        <f t="shared" si="3"/>
        <v>-630119.01989999972</v>
      </c>
    </row>
    <row r="29" spans="1:23" x14ac:dyDescent="0.2">
      <c r="A29" s="1">
        <v>43739</v>
      </c>
      <c r="B29" s="1">
        <v>44104</v>
      </c>
      <c r="C29" s="7" t="s">
        <v>90</v>
      </c>
      <c r="D29" t="s">
        <v>91</v>
      </c>
      <c r="E29">
        <v>4</v>
      </c>
      <c r="F29" t="str">
        <f>VLOOKUP(E29,Reference!$A$1:$C$13,3,FALSE)</f>
        <v>Private</v>
      </c>
      <c r="G29" t="s">
        <v>92</v>
      </c>
      <c r="H29" s="144">
        <v>4665980</v>
      </c>
      <c r="I29">
        <v>36.270000000000003</v>
      </c>
      <c r="J29">
        <v>87524.59</v>
      </c>
      <c r="K29">
        <v>87524.59</v>
      </c>
      <c r="L29">
        <v>2116</v>
      </c>
      <c r="M29">
        <v>495</v>
      </c>
      <c r="N29">
        <v>88</v>
      </c>
      <c r="O29">
        <v>96</v>
      </c>
      <c r="P29">
        <f t="shared" si="0"/>
        <v>2795</v>
      </c>
      <c r="Q29">
        <v>18252</v>
      </c>
      <c r="R29">
        <v>1234</v>
      </c>
      <c r="S29">
        <v>177</v>
      </c>
      <c r="T29">
        <f t="shared" si="1"/>
        <v>19663</v>
      </c>
      <c r="U29" t="s">
        <v>266</v>
      </c>
      <c r="V29" s="144">
        <f t="shared" si="2"/>
        <v>3174516.8793000001</v>
      </c>
      <c r="W29" s="146">
        <f t="shared" si="3"/>
        <v>-1491463.1206999999</v>
      </c>
    </row>
    <row r="30" spans="1:23" x14ac:dyDescent="0.2">
      <c r="A30" s="1">
        <v>43647</v>
      </c>
      <c r="B30" s="1">
        <v>44012</v>
      </c>
      <c r="C30" s="7" t="s">
        <v>93</v>
      </c>
      <c r="D30" t="s">
        <v>94</v>
      </c>
      <c r="E30">
        <v>1</v>
      </c>
      <c r="F30" t="str">
        <f>VLOOKUP(E30,Reference!$A$1:$C$13,3,FALSE)</f>
        <v>Private</v>
      </c>
      <c r="G30" t="s">
        <v>95</v>
      </c>
      <c r="H30" s="144">
        <v>5007772</v>
      </c>
      <c r="I30">
        <v>28.43</v>
      </c>
      <c r="J30">
        <v>86281.09</v>
      </c>
      <c r="L30">
        <v>7614</v>
      </c>
      <c r="M30">
        <v>4120</v>
      </c>
      <c r="O30">
        <v>466</v>
      </c>
      <c r="P30">
        <f t="shared" si="0"/>
        <v>12200</v>
      </c>
      <c r="Q30">
        <v>58225</v>
      </c>
      <c r="R30">
        <v>7264</v>
      </c>
      <c r="S30">
        <v>715</v>
      </c>
      <c r="T30">
        <f t="shared" si="1"/>
        <v>66204</v>
      </c>
      <c r="U30" t="s">
        <v>266</v>
      </c>
      <c r="V30" s="144">
        <f t="shared" si="2"/>
        <v>2452971.3887</v>
      </c>
      <c r="W30" s="146">
        <f t="shared" si="3"/>
        <v>-2554800.6113</v>
      </c>
    </row>
    <row r="31" spans="1:23" x14ac:dyDescent="0.2">
      <c r="A31" s="1">
        <v>43709</v>
      </c>
      <c r="B31" s="1">
        <v>44074</v>
      </c>
      <c r="C31" s="7" t="s">
        <v>96</v>
      </c>
      <c r="D31" t="s">
        <v>97</v>
      </c>
      <c r="E31">
        <v>4</v>
      </c>
      <c r="F31" t="str">
        <f>VLOOKUP(E31,Reference!$A$1:$C$13,3,FALSE)</f>
        <v>Private</v>
      </c>
      <c r="G31" t="s">
        <v>98</v>
      </c>
      <c r="H31" s="144">
        <v>5071369</v>
      </c>
      <c r="I31">
        <v>43.33</v>
      </c>
      <c r="J31">
        <v>108202.27</v>
      </c>
      <c r="K31">
        <v>100450.37</v>
      </c>
      <c r="L31">
        <v>26608</v>
      </c>
      <c r="M31">
        <v>2605</v>
      </c>
      <c r="N31">
        <v>299</v>
      </c>
      <c r="O31">
        <v>1011</v>
      </c>
      <c r="P31">
        <f t="shared" si="0"/>
        <v>30523</v>
      </c>
      <c r="Q31">
        <v>110136</v>
      </c>
      <c r="R31">
        <v>4002</v>
      </c>
      <c r="S31">
        <v>1381</v>
      </c>
      <c r="T31">
        <f t="shared" si="1"/>
        <v>115519</v>
      </c>
      <c r="U31" t="s">
        <v>266</v>
      </c>
      <c r="V31" s="144">
        <f t="shared" si="2"/>
        <v>4688404.3591</v>
      </c>
      <c r="W31" s="146">
        <f t="shared" si="3"/>
        <v>-382964.6409</v>
      </c>
    </row>
    <row r="32" spans="1:23" x14ac:dyDescent="0.2">
      <c r="A32" s="1">
        <v>43739</v>
      </c>
      <c r="B32" s="1">
        <v>44104</v>
      </c>
      <c r="C32" s="7" t="s">
        <v>99</v>
      </c>
      <c r="D32" t="s">
        <v>100</v>
      </c>
      <c r="E32">
        <v>4</v>
      </c>
      <c r="F32" t="str">
        <f>VLOOKUP(E32,Reference!$A$1:$C$13,3,FALSE)</f>
        <v>Private</v>
      </c>
      <c r="G32" t="s">
        <v>101</v>
      </c>
      <c r="H32" s="144">
        <v>5367439</v>
      </c>
      <c r="I32">
        <v>36.119999999999997</v>
      </c>
      <c r="J32">
        <v>87524.59</v>
      </c>
      <c r="K32">
        <v>87524.59</v>
      </c>
      <c r="L32">
        <v>10243</v>
      </c>
      <c r="M32">
        <v>7205</v>
      </c>
      <c r="O32">
        <v>980</v>
      </c>
      <c r="P32">
        <f t="shared" si="0"/>
        <v>18428</v>
      </c>
      <c r="Q32">
        <v>70550</v>
      </c>
      <c r="R32">
        <v>4910</v>
      </c>
      <c r="S32">
        <v>1253</v>
      </c>
      <c r="T32">
        <f t="shared" si="1"/>
        <v>76713</v>
      </c>
      <c r="U32" t="s">
        <v>268</v>
      </c>
      <c r="V32" s="144">
        <f t="shared" si="2"/>
        <v>3161388.1907999995</v>
      </c>
      <c r="W32" s="146">
        <f t="shared" si="3"/>
        <v>-2206050.8092000005</v>
      </c>
    </row>
    <row r="33" spans="1:23" x14ac:dyDescent="0.2">
      <c r="A33" s="1">
        <v>43647</v>
      </c>
      <c r="B33" s="1">
        <v>44012</v>
      </c>
      <c r="C33" s="7" t="s">
        <v>102</v>
      </c>
      <c r="D33" t="s">
        <v>103</v>
      </c>
      <c r="E33">
        <v>2</v>
      </c>
      <c r="F33" t="str">
        <f>VLOOKUP(E33,Reference!$A$1:$C$13,3,FALSE)</f>
        <v>Private</v>
      </c>
      <c r="G33" t="s">
        <v>104</v>
      </c>
      <c r="H33" s="144">
        <v>5374899</v>
      </c>
      <c r="I33">
        <v>28.27</v>
      </c>
      <c r="J33">
        <v>87611.81</v>
      </c>
      <c r="K33">
        <v>87577.58</v>
      </c>
      <c r="L33">
        <v>15362</v>
      </c>
      <c r="M33">
        <v>10510</v>
      </c>
      <c r="P33">
        <f t="shared" si="0"/>
        <v>25872</v>
      </c>
      <c r="Q33">
        <v>100119</v>
      </c>
      <c r="R33">
        <v>6509</v>
      </c>
      <c r="S33">
        <v>0</v>
      </c>
      <c r="T33">
        <f t="shared" si="1"/>
        <v>106628</v>
      </c>
      <c r="U33" t="s">
        <v>266</v>
      </c>
      <c r="V33" s="144">
        <f t="shared" si="2"/>
        <v>2476785.8687</v>
      </c>
      <c r="W33" s="146">
        <f t="shared" si="3"/>
        <v>-2898113.1313</v>
      </c>
    </row>
    <row r="34" spans="1:23" x14ac:dyDescent="0.2">
      <c r="A34" s="1">
        <v>43647</v>
      </c>
      <c r="B34" s="1">
        <v>44012</v>
      </c>
      <c r="C34" s="7" t="s">
        <v>105</v>
      </c>
      <c r="D34" t="s">
        <v>106</v>
      </c>
      <c r="E34">
        <v>1</v>
      </c>
      <c r="F34" t="str">
        <f>VLOOKUP(E34,Reference!$A$1:$C$13,3,FALSE)</f>
        <v>Private</v>
      </c>
      <c r="G34" t="s">
        <v>42</v>
      </c>
      <c r="H34" s="144">
        <v>5587224</v>
      </c>
      <c r="I34">
        <v>50.58</v>
      </c>
      <c r="J34">
        <v>97794.63</v>
      </c>
      <c r="K34">
        <v>97794.63</v>
      </c>
      <c r="L34">
        <v>22292</v>
      </c>
      <c r="M34">
        <v>2783</v>
      </c>
      <c r="N34">
        <v>171</v>
      </c>
      <c r="O34">
        <v>1090</v>
      </c>
      <c r="P34">
        <f t="shared" si="0"/>
        <v>26336</v>
      </c>
      <c r="Q34">
        <v>33267</v>
      </c>
      <c r="R34">
        <v>3189</v>
      </c>
      <c r="S34">
        <v>1638</v>
      </c>
      <c r="T34">
        <f t="shared" si="1"/>
        <v>38094</v>
      </c>
      <c r="U34" t="s">
        <v>267</v>
      </c>
      <c r="V34" s="144">
        <f t="shared" si="2"/>
        <v>4946452.3854</v>
      </c>
      <c r="W34" s="146">
        <f t="shared" si="3"/>
        <v>-640771.61459999997</v>
      </c>
    </row>
    <row r="35" spans="1:23" x14ac:dyDescent="0.2">
      <c r="A35" s="1">
        <v>43739</v>
      </c>
      <c r="B35" s="1">
        <v>44104</v>
      </c>
      <c r="C35" s="7" t="s">
        <v>107</v>
      </c>
      <c r="D35" t="s">
        <v>108</v>
      </c>
      <c r="E35">
        <v>4</v>
      </c>
      <c r="F35" t="str">
        <f>VLOOKUP(E35,Reference!$A$1:$C$13,3,FALSE)</f>
        <v>Private</v>
      </c>
      <c r="G35" t="s">
        <v>109</v>
      </c>
      <c r="H35" s="144">
        <v>6184591</v>
      </c>
      <c r="I35">
        <v>22.24</v>
      </c>
      <c r="J35">
        <v>87524.59</v>
      </c>
      <c r="L35">
        <v>4977</v>
      </c>
      <c r="M35">
        <v>2248</v>
      </c>
      <c r="O35">
        <v>24</v>
      </c>
      <c r="P35">
        <f t="shared" si="0"/>
        <v>7249</v>
      </c>
      <c r="Q35">
        <v>31378</v>
      </c>
      <c r="R35">
        <v>4699</v>
      </c>
      <c r="S35">
        <v>452</v>
      </c>
      <c r="T35">
        <f t="shared" si="1"/>
        <v>36529</v>
      </c>
      <c r="U35" t="s">
        <v>266</v>
      </c>
      <c r="V35" s="144">
        <f t="shared" si="2"/>
        <v>1946546.8815999997</v>
      </c>
      <c r="W35" s="146">
        <f t="shared" si="3"/>
        <v>-4238044.1184</v>
      </c>
    </row>
    <row r="36" spans="1:23" x14ac:dyDescent="0.2">
      <c r="A36" s="1">
        <v>43466</v>
      </c>
      <c r="B36" s="1">
        <v>43830</v>
      </c>
      <c r="C36" s="7" t="s">
        <v>110</v>
      </c>
      <c r="D36" t="s">
        <v>111</v>
      </c>
      <c r="E36">
        <v>2</v>
      </c>
      <c r="F36" t="str">
        <f>VLOOKUP(E36,Reference!$A$1:$C$13,3,FALSE)</f>
        <v>Private</v>
      </c>
      <c r="G36" t="s">
        <v>31</v>
      </c>
      <c r="H36" s="144">
        <v>6309763</v>
      </c>
      <c r="I36">
        <v>31.54</v>
      </c>
      <c r="J36">
        <v>93198.22</v>
      </c>
      <c r="K36">
        <v>93198.22</v>
      </c>
      <c r="L36">
        <v>19508</v>
      </c>
      <c r="M36">
        <v>4188</v>
      </c>
      <c r="N36">
        <v>183</v>
      </c>
      <c r="P36">
        <f t="shared" si="0"/>
        <v>23879</v>
      </c>
      <c r="Q36">
        <v>130253</v>
      </c>
      <c r="R36">
        <v>10495</v>
      </c>
      <c r="S36">
        <v>2648</v>
      </c>
      <c r="T36">
        <f t="shared" si="1"/>
        <v>143396</v>
      </c>
      <c r="U36" t="s">
        <v>266</v>
      </c>
      <c r="V36" s="144">
        <f t="shared" si="2"/>
        <v>2939471.8588</v>
      </c>
      <c r="W36" s="146">
        <f t="shared" si="3"/>
        <v>-3370291.1412</v>
      </c>
    </row>
    <row r="37" spans="1:23" x14ac:dyDescent="0.2">
      <c r="A37" s="1">
        <v>43617</v>
      </c>
      <c r="B37" s="1">
        <v>43982</v>
      </c>
      <c r="C37" s="7" t="s">
        <v>112</v>
      </c>
      <c r="D37" t="s">
        <v>113</v>
      </c>
      <c r="E37">
        <v>2</v>
      </c>
      <c r="F37" t="str">
        <f>VLOOKUP(E37,Reference!$A$1:$C$13,3,FALSE)</f>
        <v>Private</v>
      </c>
      <c r="G37" t="s">
        <v>114</v>
      </c>
      <c r="H37" s="144">
        <v>6350715</v>
      </c>
      <c r="I37">
        <v>34.979999999999997</v>
      </c>
      <c r="J37">
        <v>87480</v>
      </c>
      <c r="L37">
        <v>1886</v>
      </c>
      <c r="M37">
        <v>601</v>
      </c>
      <c r="N37">
        <v>68</v>
      </c>
      <c r="O37">
        <v>48</v>
      </c>
      <c r="P37">
        <f t="shared" si="0"/>
        <v>2603</v>
      </c>
      <c r="Q37">
        <v>36188</v>
      </c>
      <c r="R37">
        <v>4616</v>
      </c>
      <c r="S37">
        <v>2384</v>
      </c>
      <c r="T37">
        <f t="shared" si="1"/>
        <v>43188</v>
      </c>
      <c r="U37" t="s">
        <v>268</v>
      </c>
      <c r="V37" s="144">
        <f t="shared" si="2"/>
        <v>3060050.4</v>
      </c>
      <c r="W37" s="146">
        <f t="shared" si="3"/>
        <v>-3290664.6</v>
      </c>
    </row>
    <row r="38" spans="1:23" x14ac:dyDescent="0.2">
      <c r="A38" s="1">
        <v>43678</v>
      </c>
      <c r="B38" s="1">
        <v>44043</v>
      </c>
      <c r="C38" s="7" t="s">
        <v>115</v>
      </c>
      <c r="D38" t="s">
        <v>116</v>
      </c>
      <c r="E38">
        <v>4</v>
      </c>
      <c r="F38" t="str">
        <f>VLOOKUP(E38,Reference!$A$1:$C$13,3,FALSE)</f>
        <v>Private</v>
      </c>
      <c r="G38" t="s">
        <v>39</v>
      </c>
      <c r="H38" s="144">
        <v>6813980</v>
      </c>
      <c r="I38">
        <v>46.95</v>
      </c>
      <c r="J38">
        <v>89840.2</v>
      </c>
      <c r="K38">
        <v>89840.2</v>
      </c>
      <c r="L38">
        <v>24148</v>
      </c>
      <c r="M38">
        <v>4183</v>
      </c>
      <c r="N38">
        <v>1138</v>
      </c>
      <c r="O38">
        <v>914</v>
      </c>
      <c r="P38">
        <f t="shared" si="0"/>
        <v>30383</v>
      </c>
      <c r="Q38">
        <v>118210</v>
      </c>
      <c r="R38">
        <v>7772</v>
      </c>
      <c r="S38">
        <v>1613</v>
      </c>
      <c r="T38">
        <f t="shared" si="1"/>
        <v>127595</v>
      </c>
      <c r="U38" t="s">
        <v>266</v>
      </c>
      <c r="V38" s="144">
        <f t="shared" si="2"/>
        <v>4217997.3899999997</v>
      </c>
      <c r="W38" s="146">
        <f t="shared" si="3"/>
        <v>-2595982.6100000003</v>
      </c>
    </row>
    <row r="39" spans="1:23" x14ac:dyDescent="0.2">
      <c r="A39" s="1">
        <v>43647</v>
      </c>
      <c r="B39" s="1">
        <v>44012</v>
      </c>
      <c r="C39" s="7" t="s">
        <v>117</v>
      </c>
      <c r="D39" t="s">
        <v>118</v>
      </c>
      <c r="E39">
        <v>1</v>
      </c>
      <c r="F39" t="str">
        <f>VLOOKUP(E39,Reference!$A$1:$C$13,3,FALSE)</f>
        <v>Private</v>
      </c>
      <c r="G39" t="s">
        <v>42</v>
      </c>
      <c r="H39" s="144">
        <v>7267835</v>
      </c>
      <c r="I39">
        <v>32.99</v>
      </c>
      <c r="J39">
        <v>91087.05</v>
      </c>
      <c r="K39">
        <v>91087.05</v>
      </c>
      <c r="L39">
        <v>10145</v>
      </c>
      <c r="M39">
        <v>2109</v>
      </c>
      <c r="N39">
        <v>852</v>
      </c>
      <c r="O39">
        <v>561</v>
      </c>
      <c r="P39">
        <f t="shared" si="0"/>
        <v>13667</v>
      </c>
      <c r="Q39">
        <v>79866</v>
      </c>
      <c r="R39">
        <v>11265</v>
      </c>
      <c r="S39">
        <v>823</v>
      </c>
      <c r="T39">
        <f t="shared" si="1"/>
        <v>91954</v>
      </c>
      <c r="U39" t="s">
        <v>266</v>
      </c>
      <c r="V39" s="144">
        <f t="shared" si="2"/>
        <v>3004961.7795000002</v>
      </c>
      <c r="W39" s="146">
        <f t="shared" si="3"/>
        <v>-4262873.2204999998</v>
      </c>
    </row>
    <row r="40" spans="1:23" x14ac:dyDescent="0.2">
      <c r="A40" s="1">
        <v>43497</v>
      </c>
      <c r="B40" s="1">
        <v>43861</v>
      </c>
      <c r="C40" s="7" t="s">
        <v>119</v>
      </c>
      <c r="D40" t="s">
        <v>120</v>
      </c>
      <c r="E40">
        <v>4</v>
      </c>
      <c r="F40" t="str">
        <f>VLOOKUP(E40,Reference!$A$1:$C$13,3,FALSE)</f>
        <v>Private</v>
      </c>
      <c r="G40" t="s">
        <v>26</v>
      </c>
      <c r="H40" s="144">
        <v>7483518</v>
      </c>
      <c r="I40">
        <v>66.02</v>
      </c>
      <c r="J40">
        <v>92156.06</v>
      </c>
      <c r="K40">
        <v>92156.06</v>
      </c>
      <c r="L40">
        <v>4581</v>
      </c>
      <c r="M40">
        <v>874</v>
      </c>
      <c r="P40">
        <f t="shared" si="0"/>
        <v>5455</v>
      </c>
      <c r="Q40">
        <v>58809</v>
      </c>
      <c r="R40">
        <v>1477</v>
      </c>
      <c r="S40">
        <v>0</v>
      </c>
      <c r="T40">
        <f t="shared" si="1"/>
        <v>60286</v>
      </c>
      <c r="U40" t="s">
        <v>266</v>
      </c>
      <c r="V40" s="144">
        <f t="shared" si="2"/>
        <v>6084143.0811999999</v>
      </c>
      <c r="W40" s="146">
        <f t="shared" si="3"/>
        <v>-1399374.9188000001</v>
      </c>
    </row>
    <row r="41" spans="1:23" x14ac:dyDescent="0.2">
      <c r="A41" s="1">
        <v>43739</v>
      </c>
      <c r="B41" s="1">
        <v>44104</v>
      </c>
      <c r="C41" s="7" t="s">
        <v>121</v>
      </c>
      <c r="D41" t="s">
        <v>122</v>
      </c>
      <c r="E41">
        <v>4</v>
      </c>
      <c r="F41" t="str">
        <f>VLOOKUP(E41,Reference!$A$1:$C$13,3,FALSE)</f>
        <v>Private</v>
      </c>
      <c r="G41" t="s">
        <v>34</v>
      </c>
      <c r="H41" s="144">
        <v>7541084</v>
      </c>
      <c r="I41">
        <v>43.58</v>
      </c>
      <c r="J41">
        <v>98233.45</v>
      </c>
      <c r="K41">
        <v>98233.45</v>
      </c>
      <c r="L41">
        <v>17479</v>
      </c>
      <c r="M41">
        <v>4936</v>
      </c>
      <c r="N41">
        <v>1082</v>
      </c>
      <c r="O41">
        <v>396</v>
      </c>
      <c r="P41">
        <f t="shared" si="0"/>
        <v>23893</v>
      </c>
      <c r="Q41">
        <v>139691</v>
      </c>
      <c r="R41">
        <v>10437</v>
      </c>
      <c r="S41">
        <v>687</v>
      </c>
      <c r="T41">
        <f t="shared" si="1"/>
        <v>150815</v>
      </c>
      <c r="U41" t="s">
        <v>266</v>
      </c>
      <c r="V41" s="144">
        <f t="shared" si="2"/>
        <v>4281013.7510000002</v>
      </c>
      <c r="W41" s="146">
        <f t="shared" si="3"/>
        <v>-3260070.2489999998</v>
      </c>
    </row>
    <row r="42" spans="1:23" x14ac:dyDescent="0.2">
      <c r="A42" s="1">
        <v>43709</v>
      </c>
      <c r="B42" s="1">
        <v>44074</v>
      </c>
      <c r="C42" s="7" t="s">
        <v>123</v>
      </c>
      <c r="D42" t="s">
        <v>124</v>
      </c>
      <c r="E42">
        <v>2</v>
      </c>
      <c r="F42" t="str">
        <f>VLOOKUP(E42,Reference!$A$1:$C$13,3,FALSE)</f>
        <v>Private</v>
      </c>
      <c r="G42" t="s">
        <v>98</v>
      </c>
      <c r="H42" s="144">
        <v>10325718</v>
      </c>
      <c r="I42">
        <v>47.03</v>
      </c>
      <c r="J42">
        <v>92399.16</v>
      </c>
      <c r="L42">
        <v>18812</v>
      </c>
      <c r="M42">
        <v>2298</v>
      </c>
      <c r="N42">
        <v>187</v>
      </c>
      <c r="P42">
        <f t="shared" si="0"/>
        <v>21297</v>
      </c>
      <c r="Q42">
        <v>24651</v>
      </c>
      <c r="R42">
        <v>3707</v>
      </c>
      <c r="S42">
        <v>0</v>
      </c>
      <c r="T42">
        <f t="shared" si="1"/>
        <v>28358</v>
      </c>
      <c r="U42" t="s">
        <v>267</v>
      </c>
      <c r="V42" s="144">
        <f t="shared" si="2"/>
        <v>4345532.4948000005</v>
      </c>
      <c r="W42" s="146">
        <f t="shared" si="3"/>
        <v>-5980185.5051999995</v>
      </c>
    </row>
    <row r="43" spans="1:23" x14ac:dyDescent="0.2">
      <c r="A43" s="1">
        <v>43647</v>
      </c>
      <c r="B43" s="1">
        <v>44012</v>
      </c>
      <c r="C43" s="7" t="s">
        <v>125</v>
      </c>
      <c r="D43" t="s">
        <v>126</v>
      </c>
      <c r="E43">
        <v>1</v>
      </c>
      <c r="F43" t="s">
        <v>269</v>
      </c>
      <c r="G43" t="s">
        <v>98</v>
      </c>
      <c r="H43" s="144">
        <v>10946358</v>
      </c>
      <c r="I43">
        <v>63.24</v>
      </c>
      <c r="J43">
        <v>88735.56</v>
      </c>
      <c r="K43">
        <v>88735.56</v>
      </c>
      <c r="L43">
        <v>19447</v>
      </c>
      <c r="M43">
        <v>5627</v>
      </c>
      <c r="N43">
        <v>2322</v>
      </c>
      <c r="O43">
        <v>623</v>
      </c>
      <c r="P43">
        <f t="shared" si="0"/>
        <v>28019</v>
      </c>
      <c r="Q43">
        <v>130786</v>
      </c>
      <c r="R43">
        <v>19015</v>
      </c>
      <c r="S43">
        <v>910</v>
      </c>
      <c r="T43">
        <f t="shared" si="1"/>
        <v>150711</v>
      </c>
      <c r="U43" t="s">
        <v>266</v>
      </c>
      <c r="V43" s="144">
        <f t="shared" si="2"/>
        <v>5611636.8143999996</v>
      </c>
      <c r="W43" s="146">
        <f t="shared" si="3"/>
        <v>-5334721.1856000004</v>
      </c>
    </row>
    <row r="44" spans="1:23" x14ac:dyDescent="0.2">
      <c r="A44" s="1">
        <v>43647</v>
      </c>
      <c r="B44" s="1">
        <v>44012</v>
      </c>
      <c r="C44" s="7" t="s">
        <v>127</v>
      </c>
      <c r="D44" t="s">
        <v>128</v>
      </c>
      <c r="E44">
        <v>2</v>
      </c>
      <c r="F44" t="str">
        <f>VLOOKUP(E44,Reference!$A$1:$C$13,3,FALSE)</f>
        <v>Private</v>
      </c>
      <c r="G44" t="s">
        <v>34</v>
      </c>
      <c r="H44" s="144">
        <v>12255227</v>
      </c>
      <c r="I44">
        <v>50.62</v>
      </c>
      <c r="J44">
        <v>130720.09</v>
      </c>
      <c r="K44">
        <v>123780.42</v>
      </c>
      <c r="L44">
        <v>37869</v>
      </c>
      <c r="M44">
        <v>29573</v>
      </c>
      <c r="N44">
        <v>2381</v>
      </c>
      <c r="O44">
        <v>2470</v>
      </c>
      <c r="P44">
        <f t="shared" si="0"/>
        <v>72293</v>
      </c>
      <c r="Q44">
        <v>322534</v>
      </c>
      <c r="R44">
        <v>35082</v>
      </c>
      <c r="S44">
        <v>3910</v>
      </c>
      <c r="T44">
        <f t="shared" si="1"/>
        <v>361526</v>
      </c>
      <c r="U44" t="s">
        <v>266</v>
      </c>
      <c r="V44" s="144">
        <f t="shared" si="2"/>
        <v>6617050.9557999996</v>
      </c>
      <c r="W44" s="146">
        <f t="shared" si="3"/>
        <v>-5638176.0442000004</v>
      </c>
    </row>
    <row r="45" spans="1:23" x14ac:dyDescent="0.2">
      <c r="A45" s="1">
        <v>43647</v>
      </c>
      <c r="B45" s="1">
        <v>44012</v>
      </c>
      <c r="C45" s="7" t="s">
        <v>129</v>
      </c>
      <c r="D45" t="s">
        <v>130</v>
      </c>
      <c r="E45">
        <v>12</v>
      </c>
      <c r="F45" t="s">
        <v>269</v>
      </c>
      <c r="G45" t="s">
        <v>104</v>
      </c>
      <c r="H45" s="144">
        <v>13984491</v>
      </c>
      <c r="I45">
        <v>159.66</v>
      </c>
      <c r="J45">
        <v>94047.77</v>
      </c>
      <c r="K45">
        <v>94047.77</v>
      </c>
      <c r="L45">
        <v>7398</v>
      </c>
      <c r="M45">
        <v>3035</v>
      </c>
      <c r="P45">
        <f t="shared" si="0"/>
        <v>10433</v>
      </c>
      <c r="Q45">
        <v>66762</v>
      </c>
      <c r="R45">
        <v>6009</v>
      </c>
      <c r="S45">
        <v>0</v>
      </c>
      <c r="T45">
        <f t="shared" si="1"/>
        <v>72771</v>
      </c>
      <c r="U45" t="s">
        <v>266</v>
      </c>
      <c r="V45" s="144">
        <f t="shared" si="2"/>
        <v>15015666.9582</v>
      </c>
      <c r="W45" s="146">
        <f t="shared" si="3"/>
        <v>1031175.9582000002</v>
      </c>
    </row>
    <row r="46" spans="1:23" x14ac:dyDescent="0.2">
      <c r="A46" s="1">
        <v>43466</v>
      </c>
      <c r="B46" s="1">
        <v>43830</v>
      </c>
      <c r="C46" s="7" t="s">
        <v>131</v>
      </c>
      <c r="D46" t="s">
        <v>132</v>
      </c>
      <c r="E46">
        <v>4</v>
      </c>
      <c r="F46" t="str">
        <f>VLOOKUP(E46,Reference!$A$1:$C$13,3,FALSE)</f>
        <v>Private</v>
      </c>
      <c r="G46" t="s">
        <v>72</v>
      </c>
      <c r="H46" s="144">
        <v>15361578</v>
      </c>
      <c r="I46">
        <v>64</v>
      </c>
      <c r="J46">
        <v>88112.7</v>
      </c>
      <c r="L46">
        <v>21067</v>
      </c>
      <c r="M46">
        <v>5470</v>
      </c>
      <c r="N46">
        <v>980</v>
      </c>
      <c r="P46">
        <f t="shared" si="0"/>
        <v>27517</v>
      </c>
      <c r="Q46">
        <v>74585</v>
      </c>
      <c r="R46">
        <v>3997</v>
      </c>
      <c r="S46">
        <v>1</v>
      </c>
      <c r="T46">
        <f t="shared" si="1"/>
        <v>78583</v>
      </c>
      <c r="U46" t="s">
        <v>266</v>
      </c>
      <c r="V46" s="144">
        <f t="shared" si="2"/>
        <v>5639212.7999999998</v>
      </c>
      <c r="W46" s="146">
        <f t="shared" si="3"/>
        <v>-9722365.1999999993</v>
      </c>
    </row>
    <row r="47" spans="1:23" x14ac:dyDescent="0.2">
      <c r="A47" s="1">
        <v>43647</v>
      </c>
      <c r="B47" s="1">
        <v>44012</v>
      </c>
      <c r="C47" s="7" t="s">
        <v>133</v>
      </c>
      <c r="D47" t="s">
        <v>134</v>
      </c>
      <c r="E47">
        <v>2</v>
      </c>
      <c r="F47" t="str">
        <f>VLOOKUP(E47,Reference!$A$1:$C$13,3,FALSE)</f>
        <v>Private</v>
      </c>
      <c r="G47" t="s">
        <v>31</v>
      </c>
      <c r="H47" s="144">
        <v>20520551</v>
      </c>
      <c r="I47">
        <v>66.900000000000006</v>
      </c>
      <c r="J47">
        <v>96357.18</v>
      </c>
      <c r="K47">
        <v>96357.18</v>
      </c>
      <c r="L47">
        <v>17963</v>
      </c>
      <c r="M47">
        <v>3730</v>
      </c>
      <c r="N47">
        <v>1103</v>
      </c>
      <c r="O47">
        <v>405</v>
      </c>
      <c r="P47">
        <f t="shared" si="0"/>
        <v>23201</v>
      </c>
      <c r="Q47">
        <v>77284</v>
      </c>
      <c r="R47">
        <v>14918</v>
      </c>
      <c r="S47">
        <v>2127</v>
      </c>
      <c r="T47">
        <f t="shared" si="1"/>
        <v>94329</v>
      </c>
      <c r="U47" t="s">
        <v>266</v>
      </c>
      <c r="V47" s="144">
        <f t="shared" si="2"/>
        <v>6446295.3420000002</v>
      </c>
      <c r="W47" s="146">
        <f t="shared" si="3"/>
        <v>-14074255.658</v>
      </c>
    </row>
    <row r="48" spans="1:23" x14ac:dyDescent="0.2">
      <c r="A48" s="1">
        <v>43466</v>
      </c>
      <c r="B48" s="1">
        <v>43830</v>
      </c>
      <c r="C48" s="7" t="s">
        <v>135</v>
      </c>
      <c r="D48" t="s">
        <v>136</v>
      </c>
      <c r="E48">
        <v>5</v>
      </c>
      <c r="F48" t="str">
        <f>VLOOKUP(E48,Reference!$A$1:$C$13,3,FALSE)</f>
        <v>Private</v>
      </c>
      <c r="G48" t="s">
        <v>53</v>
      </c>
      <c r="H48" s="144">
        <v>33585374</v>
      </c>
      <c r="I48">
        <v>94.3</v>
      </c>
      <c r="J48">
        <v>87225.49</v>
      </c>
      <c r="K48">
        <v>87225.49</v>
      </c>
      <c r="L48">
        <v>45678</v>
      </c>
      <c r="M48">
        <v>14031</v>
      </c>
      <c r="P48">
        <f t="shared" si="0"/>
        <v>59709</v>
      </c>
      <c r="Q48">
        <v>122952</v>
      </c>
      <c r="R48">
        <v>8008</v>
      </c>
      <c r="S48">
        <v>2875</v>
      </c>
      <c r="T48">
        <f t="shared" si="1"/>
        <v>133835</v>
      </c>
      <c r="U48" t="s">
        <v>266</v>
      </c>
      <c r="V48" s="144">
        <f t="shared" si="2"/>
        <v>8225363.7070000004</v>
      </c>
      <c r="W48" s="146">
        <f t="shared" si="3"/>
        <v>-25360010.292999998</v>
      </c>
    </row>
    <row r="49" spans="1:23" x14ac:dyDescent="0.2">
      <c r="A49" s="1">
        <v>43647</v>
      </c>
      <c r="B49" s="1">
        <v>44012</v>
      </c>
      <c r="C49" s="7" t="s">
        <v>137</v>
      </c>
      <c r="D49" t="s">
        <v>138</v>
      </c>
      <c r="E49">
        <v>1</v>
      </c>
      <c r="F49" t="str">
        <f>VLOOKUP(E49,Reference!$A$1:$C$13,3,FALSE)</f>
        <v>Private</v>
      </c>
      <c r="G49" t="s">
        <v>31</v>
      </c>
      <c r="H49" s="144">
        <v>35483346</v>
      </c>
      <c r="I49">
        <v>199.9</v>
      </c>
      <c r="J49">
        <v>96339.29</v>
      </c>
      <c r="K49">
        <v>96339.29</v>
      </c>
      <c r="L49">
        <v>25908</v>
      </c>
      <c r="M49">
        <v>4180</v>
      </c>
      <c r="O49">
        <v>372</v>
      </c>
      <c r="P49">
        <f t="shared" si="0"/>
        <v>30460</v>
      </c>
      <c r="Q49">
        <v>229426</v>
      </c>
      <c r="R49">
        <v>9347</v>
      </c>
      <c r="S49">
        <v>1434</v>
      </c>
      <c r="T49">
        <f t="shared" si="1"/>
        <v>240207</v>
      </c>
      <c r="U49" t="s">
        <v>266</v>
      </c>
      <c r="V49" s="144">
        <f t="shared" si="2"/>
        <v>19258224.070999999</v>
      </c>
      <c r="W49" s="146">
        <f t="shared" si="3"/>
        <v>-16225121.929000001</v>
      </c>
    </row>
    <row r="50" spans="1:23" x14ac:dyDescent="0.2">
      <c r="A50" s="1">
        <v>43647</v>
      </c>
      <c r="B50" s="1">
        <v>44012</v>
      </c>
      <c r="C50" s="7" t="s">
        <v>139</v>
      </c>
      <c r="D50" t="s">
        <v>140</v>
      </c>
      <c r="E50">
        <v>2</v>
      </c>
      <c r="F50" t="str">
        <f>VLOOKUP(E50,Reference!$A$1:$C$13,3,FALSE)</f>
        <v>Private</v>
      </c>
      <c r="G50" t="s">
        <v>34</v>
      </c>
      <c r="H50" s="144">
        <v>36506935</v>
      </c>
      <c r="I50">
        <v>193.74</v>
      </c>
      <c r="J50">
        <v>97580.87</v>
      </c>
      <c r="K50">
        <v>97580.87</v>
      </c>
      <c r="L50">
        <v>12165</v>
      </c>
      <c r="M50">
        <v>4614</v>
      </c>
      <c r="P50">
        <f t="shared" si="0"/>
        <v>16779</v>
      </c>
      <c r="Q50">
        <v>141428</v>
      </c>
      <c r="R50">
        <v>9595</v>
      </c>
      <c r="S50">
        <v>0</v>
      </c>
      <c r="T50">
        <f t="shared" si="1"/>
        <v>151023</v>
      </c>
      <c r="U50" t="s">
        <v>266</v>
      </c>
      <c r="V50" s="144">
        <f t="shared" si="2"/>
        <v>18905317.753800001</v>
      </c>
      <c r="W50" s="146">
        <f t="shared" si="3"/>
        <v>-17601617.246199999</v>
      </c>
    </row>
    <row r="51" spans="1:23" x14ac:dyDescent="0.2">
      <c r="A51" s="1">
        <v>43466</v>
      </c>
      <c r="B51" s="1">
        <v>43830</v>
      </c>
      <c r="C51" s="7" t="s">
        <v>141</v>
      </c>
      <c r="D51" t="s">
        <v>142</v>
      </c>
      <c r="E51">
        <v>2</v>
      </c>
      <c r="F51" t="str">
        <f>VLOOKUP(E51,Reference!$A$1:$C$13,3,FALSE)</f>
        <v>Private</v>
      </c>
      <c r="G51" t="s">
        <v>31</v>
      </c>
      <c r="H51" s="144">
        <v>40169102</v>
      </c>
      <c r="I51">
        <v>241.74</v>
      </c>
      <c r="J51">
        <v>94677.91</v>
      </c>
      <c r="K51">
        <v>94677.91</v>
      </c>
      <c r="L51">
        <v>47798</v>
      </c>
      <c r="M51">
        <v>10757</v>
      </c>
      <c r="P51">
        <f t="shared" si="0"/>
        <v>58555</v>
      </c>
      <c r="Q51">
        <v>91358</v>
      </c>
      <c r="R51">
        <v>18162</v>
      </c>
      <c r="S51">
        <v>0</v>
      </c>
      <c r="T51">
        <f t="shared" si="1"/>
        <v>109520</v>
      </c>
      <c r="U51" t="s">
        <v>267</v>
      </c>
      <c r="V51" s="144">
        <f t="shared" si="2"/>
        <v>22887437.963400003</v>
      </c>
      <c r="W51" s="146">
        <f t="shared" si="3"/>
        <v>-17281664.036599997</v>
      </c>
    </row>
    <row r="52" spans="1:23" x14ac:dyDescent="0.2">
      <c r="A52" s="1">
        <v>43739</v>
      </c>
      <c r="B52" s="1">
        <v>44104</v>
      </c>
      <c r="C52" s="7" t="s">
        <v>143</v>
      </c>
      <c r="D52" t="s">
        <v>144</v>
      </c>
      <c r="E52">
        <v>2</v>
      </c>
      <c r="F52" t="str">
        <f>VLOOKUP(E52,Reference!$A$1:$C$13,3,FALSE)</f>
        <v>Private</v>
      </c>
      <c r="G52" t="s">
        <v>34</v>
      </c>
      <c r="H52" s="144">
        <v>49060353</v>
      </c>
      <c r="I52">
        <v>432.7</v>
      </c>
      <c r="J52">
        <v>97499.3</v>
      </c>
      <c r="K52">
        <v>97499.3</v>
      </c>
      <c r="L52">
        <v>125360</v>
      </c>
      <c r="M52">
        <v>18316</v>
      </c>
      <c r="N52">
        <v>6401</v>
      </c>
      <c r="O52">
        <v>3572</v>
      </c>
      <c r="P52">
        <f t="shared" si="0"/>
        <v>153649</v>
      </c>
      <c r="Q52">
        <v>221884</v>
      </c>
      <c r="R52">
        <v>12505</v>
      </c>
      <c r="S52">
        <v>9190</v>
      </c>
      <c r="T52">
        <f t="shared" si="1"/>
        <v>243579</v>
      </c>
      <c r="U52" t="s">
        <v>267</v>
      </c>
      <c r="V52" s="144">
        <f t="shared" si="2"/>
        <v>42187947.109999999</v>
      </c>
      <c r="W52" s="146">
        <f t="shared" si="3"/>
        <v>-6872405.8900000006</v>
      </c>
    </row>
    <row r="53" spans="1:23" x14ac:dyDescent="0.2">
      <c r="A53" s="1">
        <v>43647</v>
      </c>
      <c r="B53" s="1">
        <v>44012</v>
      </c>
      <c r="C53" s="7" t="s">
        <v>145</v>
      </c>
      <c r="D53" t="s">
        <v>146</v>
      </c>
      <c r="E53">
        <v>2</v>
      </c>
      <c r="F53" t="str">
        <f>VLOOKUP(E53,Reference!$A$1:$C$13,3,FALSE)</f>
        <v>Private</v>
      </c>
      <c r="G53" t="s">
        <v>34</v>
      </c>
      <c r="H53" s="144">
        <v>51345709</v>
      </c>
      <c r="I53">
        <v>586.79</v>
      </c>
      <c r="J53">
        <v>98764.87</v>
      </c>
      <c r="K53">
        <v>98764.87</v>
      </c>
      <c r="L53">
        <v>61837</v>
      </c>
      <c r="M53">
        <v>28472</v>
      </c>
      <c r="N53">
        <v>3069</v>
      </c>
      <c r="O53">
        <v>1500</v>
      </c>
      <c r="P53">
        <f t="shared" si="0"/>
        <v>94878</v>
      </c>
      <c r="Q53">
        <v>270946</v>
      </c>
      <c r="R53">
        <v>12355</v>
      </c>
      <c r="S53">
        <v>2505</v>
      </c>
      <c r="T53">
        <f t="shared" si="1"/>
        <v>285806</v>
      </c>
      <c r="U53" t="s">
        <v>266</v>
      </c>
      <c r="V53" s="144">
        <f t="shared" si="2"/>
        <v>57954238.067299992</v>
      </c>
      <c r="W53" s="146">
        <f t="shared" si="3"/>
        <v>6608529.0672999918</v>
      </c>
    </row>
    <row r="54" spans="1:23" x14ac:dyDescent="0.2">
      <c r="A54" s="1">
        <v>43709</v>
      </c>
      <c r="B54" s="1">
        <v>44074</v>
      </c>
      <c r="C54" s="7" t="s">
        <v>147</v>
      </c>
      <c r="D54" t="s">
        <v>148</v>
      </c>
      <c r="E54">
        <v>2</v>
      </c>
      <c r="F54" t="str">
        <f>VLOOKUP(E54,Reference!$A$1:$C$13,3,FALSE)</f>
        <v>Private</v>
      </c>
      <c r="G54" t="s">
        <v>149</v>
      </c>
      <c r="H54" s="144">
        <v>86862182</v>
      </c>
      <c r="I54">
        <v>357.01</v>
      </c>
      <c r="J54">
        <v>146394.91</v>
      </c>
      <c r="K54">
        <v>147153.73000000001</v>
      </c>
      <c r="L54">
        <v>32527</v>
      </c>
      <c r="M54">
        <v>4140</v>
      </c>
      <c r="N54">
        <v>456</v>
      </c>
      <c r="O54">
        <v>553</v>
      </c>
      <c r="P54">
        <f t="shared" si="0"/>
        <v>37676</v>
      </c>
      <c r="Q54">
        <v>163879</v>
      </c>
      <c r="R54">
        <v>17693</v>
      </c>
      <c r="S54">
        <v>965</v>
      </c>
      <c r="T54">
        <f t="shared" si="1"/>
        <v>182537</v>
      </c>
      <c r="U54" t="s">
        <v>266</v>
      </c>
      <c r="V54" s="144">
        <f t="shared" si="2"/>
        <v>52264446.8191</v>
      </c>
      <c r="W54" s="146">
        <f t="shared" si="3"/>
        <v>-34597735.1809</v>
      </c>
    </row>
    <row r="55" spans="1:23" x14ac:dyDescent="0.2">
      <c r="A55" s="2">
        <v>43466</v>
      </c>
      <c r="B55" s="2">
        <v>43830</v>
      </c>
      <c r="C55" s="8" t="s">
        <v>150</v>
      </c>
      <c r="D55" s="3" t="s">
        <v>151</v>
      </c>
      <c r="E55" s="3">
        <v>4</v>
      </c>
      <c r="F55" s="3" t="str">
        <f>VLOOKUP(E55,Reference!$A$1:$C$13,3,FALSE)</f>
        <v>Private</v>
      </c>
      <c r="G55" s="3" t="s">
        <v>53</v>
      </c>
      <c r="H55" s="145">
        <v>0</v>
      </c>
      <c r="I55" s="3">
        <v>18</v>
      </c>
      <c r="J55" s="3"/>
      <c r="K55" s="3"/>
      <c r="L55">
        <v>32044</v>
      </c>
      <c r="M55" s="3">
        <v>12480</v>
      </c>
      <c r="N55" s="3">
        <v>8962</v>
      </c>
      <c r="O55" s="3"/>
      <c r="P55">
        <f t="shared" si="0"/>
        <v>53486</v>
      </c>
      <c r="Q55">
        <v>135375</v>
      </c>
      <c r="R55">
        <v>21144</v>
      </c>
      <c r="S55">
        <v>1</v>
      </c>
      <c r="T55">
        <f t="shared" si="1"/>
        <v>156520</v>
      </c>
      <c r="U55" t="s">
        <v>266</v>
      </c>
      <c r="V55" s="144">
        <f t="shared" si="2"/>
        <v>0</v>
      </c>
      <c r="W55" s="146">
        <f t="shared" si="3"/>
        <v>0</v>
      </c>
    </row>
    <row r="56" spans="1:23" x14ac:dyDescent="0.2">
      <c r="A56" s="2">
        <v>43647</v>
      </c>
      <c r="B56" s="2">
        <v>44012</v>
      </c>
      <c r="C56" s="8" t="s">
        <v>152</v>
      </c>
      <c r="D56" s="3" t="s">
        <v>153</v>
      </c>
      <c r="E56" s="3">
        <v>2</v>
      </c>
      <c r="F56" s="3" t="str">
        <f>VLOOKUP(E56,Reference!$A$1:$C$13,3,FALSE)</f>
        <v>Private</v>
      </c>
      <c r="G56" s="3" t="s">
        <v>31</v>
      </c>
      <c r="H56" s="145">
        <v>0</v>
      </c>
      <c r="I56" s="3">
        <v>1</v>
      </c>
      <c r="J56" s="3"/>
      <c r="K56" s="3"/>
      <c r="L56">
        <v>6948</v>
      </c>
      <c r="M56" s="3">
        <v>801</v>
      </c>
      <c r="N56" s="3">
        <v>311</v>
      </c>
      <c r="O56" s="3">
        <v>74</v>
      </c>
      <c r="P56">
        <f t="shared" si="0"/>
        <v>8134</v>
      </c>
      <c r="Q56">
        <v>52610</v>
      </c>
      <c r="R56">
        <v>8385</v>
      </c>
      <c r="S56">
        <v>1111</v>
      </c>
      <c r="T56">
        <f t="shared" si="1"/>
        <v>62106</v>
      </c>
      <c r="U56" t="s">
        <v>268</v>
      </c>
      <c r="V56" s="144">
        <f t="shared" si="2"/>
        <v>0</v>
      </c>
      <c r="W56" s="146">
        <f t="shared" si="3"/>
        <v>0</v>
      </c>
    </row>
    <row r="57" spans="1:23" x14ac:dyDescent="0.2">
      <c r="A57" s="2">
        <v>43466</v>
      </c>
      <c r="B57" s="2">
        <v>43830</v>
      </c>
      <c r="C57" s="8" t="s">
        <v>154</v>
      </c>
      <c r="D57" s="3" t="s">
        <v>155</v>
      </c>
      <c r="E57" s="3">
        <v>4</v>
      </c>
      <c r="F57" s="3" t="str">
        <f>VLOOKUP(E57,Reference!$A$1:$C$13,3,FALSE)</f>
        <v>Private</v>
      </c>
      <c r="G57" s="3" t="s">
        <v>34</v>
      </c>
      <c r="H57" s="145">
        <v>0</v>
      </c>
      <c r="I57" s="3">
        <v>0.34</v>
      </c>
      <c r="J57" s="3"/>
      <c r="K57" s="3"/>
      <c r="L57">
        <v>22728</v>
      </c>
      <c r="M57" s="3">
        <v>4266</v>
      </c>
      <c r="N57" s="3">
        <v>1521</v>
      </c>
      <c r="O57" s="3">
        <v>445</v>
      </c>
      <c r="P57">
        <f t="shared" si="0"/>
        <v>28960</v>
      </c>
      <c r="Q57">
        <v>157767</v>
      </c>
      <c r="R57">
        <v>14095</v>
      </c>
      <c r="S57">
        <v>870</v>
      </c>
      <c r="T57">
        <f t="shared" si="1"/>
        <v>172732</v>
      </c>
      <c r="U57" t="s">
        <v>268</v>
      </c>
      <c r="V57" s="144">
        <f t="shared" si="2"/>
        <v>0</v>
      </c>
      <c r="W57" s="146">
        <f t="shared" si="3"/>
        <v>0</v>
      </c>
    </row>
    <row r="58" spans="1:23" x14ac:dyDescent="0.2">
      <c r="A58" s="2">
        <v>43466</v>
      </c>
      <c r="B58" s="2">
        <v>43830</v>
      </c>
      <c r="C58" s="8" t="s">
        <v>156</v>
      </c>
      <c r="D58" s="3" t="s">
        <v>157</v>
      </c>
      <c r="E58" s="3">
        <v>5</v>
      </c>
      <c r="F58" s="3" t="str">
        <f>VLOOKUP(E58,Reference!$A$1:$C$13,3,FALSE)</f>
        <v>Private</v>
      </c>
      <c r="G58" s="3" t="s">
        <v>34</v>
      </c>
      <c r="H58" s="145">
        <v>0</v>
      </c>
      <c r="I58" s="3">
        <v>3.7</v>
      </c>
      <c r="J58" s="3"/>
      <c r="K58" s="3"/>
      <c r="L58">
        <v>149</v>
      </c>
      <c r="M58" s="3">
        <v>5</v>
      </c>
      <c r="N58" s="3"/>
      <c r="O58" s="3"/>
      <c r="P58">
        <f t="shared" si="0"/>
        <v>154</v>
      </c>
      <c r="Q58">
        <v>7421</v>
      </c>
      <c r="R58">
        <v>0</v>
      </c>
      <c r="S58">
        <v>0</v>
      </c>
      <c r="T58">
        <f t="shared" si="1"/>
        <v>7421</v>
      </c>
      <c r="U58" t="s">
        <v>268</v>
      </c>
      <c r="V58" s="144">
        <f t="shared" si="2"/>
        <v>0</v>
      </c>
      <c r="W58" s="146">
        <f t="shared" si="3"/>
        <v>0</v>
      </c>
    </row>
    <row r="59" spans="1:23" x14ac:dyDescent="0.2">
      <c r="A59" s="2">
        <v>43466</v>
      </c>
      <c r="B59" s="2">
        <v>43830</v>
      </c>
      <c r="C59" s="8" t="s">
        <v>158</v>
      </c>
      <c r="D59" s="3" t="s">
        <v>159</v>
      </c>
      <c r="E59" s="3">
        <v>5</v>
      </c>
      <c r="F59" s="3" t="str">
        <f>VLOOKUP(E59,Reference!$A$1:$C$13,3,FALSE)</f>
        <v>Private</v>
      </c>
      <c r="G59" s="3" t="s">
        <v>42</v>
      </c>
      <c r="H59" s="145">
        <v>7874</v>
      </c>
      <c r="I59" s="3">
        <v>1.64</v>
      </c>
      <c r="J59" s="3"/>
      <c r="K59" s="3"/>
      <c r="L59">
        <v>0</v>
      </c>
      <c r="M59" s="3">
        <v>3</v>
      </c>
      <c r="N59" s="3">
        <v>20</v>
      </c>
      <c r="O59" s="3"/>
      <c r="P59">
        <f t="shared" si="0"/>
        <v>23</v>
      </c>
      <c r="Q59">
        <v>913</v>
      </c>
      <c r="R59">
        <v>313</v>
      </c>
      <c r="S59">
        <v>0</v>
      </c>
      <c r="T59">
        <f t="shared" si="1"/>
        <v>1226</v>
      </c>
      <c r="U59" t="s">
        <v>268</v>
      </c>
      <c r="V59" s="144">
        <f t="shared" si="2"/>
        <v>0</v>
      </c>
      <c r="W59" s="146">
        <f t="shared" si="3"/>
        <v>-7874</v>
      </c>
    </row>
    <row r="60" spans="1:23" x14ac:dyDescent="0.2">
      <c r="A60" s="2">
        <v>43525</v>
      </c>
      <c r="B60" s="2">
        <v>43890</v>
      </c>
      <c r="C60" s="8" t="s">
        <v>160</v>
      </c>
      <c r="D60" s="3" t="s">
        <v>161</v>
      </c>
      <c r="E60" s="3">
        <v>4</v>
      </c>
      <c r="F60" s="3" t="str">
        <f>VLOOKUP(E60,Reference!$A$1:$C$13,3,FALSE)</f>
        <v>Private</v>
      </c>
      <c r="G60" s="3" t="s">
        <v>34</v>
      </c>
      <c r="H60" s="145">
        <v>37104</v>
      </c>
      <c r="I60" s="3">
        <v>1.4</v>
      </c>
      <c r="J60" s="3"/>
      <c r="K60" s="3"/>
      <c r="L60">
        <v>43600</v>
      </c>
      <c r="M60" s="3">
        <v>9311</v>
      </c>
      <c r="N60" s="3">
        <v>1119</v>
      </c>
      <c r="O60" s="3">
        <v>822</v>
      </c>
      <c r="P60">
        <f t="shared" si="0"/>
        <v>54852</v>
      </c>
      <c r="Q60">
        <v>113615</v>
      </c>
      <c r="R60">
        <v>4545</v>
      </c>
      <c r="S60">
        <v>2993</v>
      </c>
      <c r="T60">
        <f t="shared" si="1"/>
        <v>121153</v>
      </c>
      <c r="U60" t="s">
        <v>268</v>
      </c>
      <c r="V60" s="144">
        <f t="shared" si="2"/>
        <v>0</v>
      </c>
      <c r="W60" s="146">
        <f t="shared" si="3"/>
        <v>-37104</v>
      </c>
    </row>
    <row r="61" spans="1:23" x14ac:dyDescent="0.2">
      <c r="A61" s="2">
        <v>43525</v>
      </c>
      <c r="B61" s="2">
        <v>43890</v>
      </c>
      <c r="C61" s="8" t="s">
        <v>162</v>
      </c>
      <c r="D61" s="3" t="s">
        <v>163</v>
      </c>
      <c r="E61" s="3">
        <v>5</v>
      </c>
      <c r="F61" s="3" t="str">
        <f>VLOOKUP(E61,Reference!$A$1:$C$13,3,FALSE)</f>
        <v>Private</v>
      </c>
      <c r="G61" s="3"/>
      <c r="H61" s="145">
        <v>64612</v>
      </c>
      <c r="I61" s="3">
        <v>3.67</v>
      </c>
      <c r="J61" s="3"/>
      <c r="K61" s="3"/>
      <c r="L61">
        <v>8092</v>
      </c>
      <c r="M61" s="3">
        <v>1129</v>
      </c>
      <c r="N61" s="3">
        <v>56</v>
      </c>
      <c r="O61" s="3">
        <v>322</v>
      </c>
      <c r="P61">
        <f t="shared" si="0"/>
        <v>9599</v>
      </c>
      <c r="Q61">
        <v>67166</v>
      </c>
      <c r="R61">
        <v>1434</v>
      </c>
      <c r="S61">
        <v>660</v>
      </c>
      <c r="T61">
        <f t="shared" si="1"/>
        <v>69260</v>
      </c>
      <c r="U61" t="s">
        <v>268</v>
      </c>
      <c r="V61" s="144">
        <f t="shared" si="2"/>
        <v>0</v>
      </c>
      <c r="W61" s="146">
        <f t="shared" si="3"/>
        <v>-64612</v>
      </c>
    </row>
    <row r="62" spans="1:23" x14ac:dyDescent="0.2">
      <c r="A62" s="2">
        <v>43617</v>
      </c>
      <c r="B62" s="2">
        <v>43982</v>
      </c>
      <c r="C62" s="8" t="s">
        <v>164</v>
      </c>
      <c r="D62" s="3" t="s">
        <v>165</v>
      </c>
      <c r="E62" s="3">
        <v>4</v>
      </c>
      <c r="F62" s="3" t="str">
        <f>VLOOKUP(E62,Reference!$A$1:$C$13,3,FALSE)</f>
        <v>Private</v>
      </c>
      <c r="G62" s="3" t="s">
        <v>42</v>
      </c>
      <c r="H62" s="145">
        <v>172267</v>
      </c>
      <c r="I62" s="3">
        <v>1.8</v>
      </c>
      <c r="J62" s="3"/>
      <c r="K62" s="3">
        <v>88421.65</v>
      </c>
      <c r="L62">
        <v>1402</v>
      </c>
      <c r="M62" s="3"/>
      <c r="N62" s="3"/>
      <c r="O62" s="3"/>
      <c r="P62">
        <f t="shared" si="0"/>
        <v>1402</v>
      </c>
      <c r="Q62">
        <v>37919</v>
      </c>
      <c r="R62">
        <v>0</v>
      </c>
      <c r="S62">
        <v>0</v>
      </c>
      <c r="T62">
        <f t="shared" si="1"/>
        <v>37919</v>
      </c>
      <c r="U62" t="s">
        <v>266</v>
      </c>
      <c r="V62" s="144">
        <f t="shared" si="2"/>
        <v>0</v>
      </c>
      <c r="W62" s="146">
        <f t="shared" si="3"/>
        <v>-172267</v>
      </c>
    </row>
    <row r="63" spans="1:23" x14ac:dyDescent="0.2">
      <c r="A63" s="2">
        <v>43647</v>
      </c>
      <c r="B63" s="2">
        <v>44012</v>
      </c>
      <c r="C63" s="8" t="s">
        <v>166</v>
      </c>
      <c r="D63" s="3" t="s">
        <v>167</v>
      </c>
      <c r="E63" s="3">
        <v>5</v>
      </c>
      <c r="F63" s="3" t="str">
        <f>VLOOKUP(E63,Reference!$A$1:$C$13,3,FALSE)</f>
        <v>Private</v>
      </c>
      <c r="G63" s="3" t="s">
        <v>31</v>
      </c>
      <c r="H63" s="145">
        <v>353524</v>
      </c>
      <c r="I63" s="3">
        <v>6.63</v>
      </c>
      <c r="J63" s="3"/>
      <c r="K63" s="3"/>
      <c r="L63">
        <v>112</v>
      </c>
      <c r="M63" s="3">
        <v>44</v>
      </c>
      <c r="N63" s="3">
        <v>29</v>
      </c>
      <c r="O63" s="3"/>
      <c r="P63">
        <f t="shared" si="0"/>
        <v>185</v>
      </c>
      <c r="Q63">
        <v>7360</v>
      </c>
      <c r="R63">
        <v>698</v>
      </c>
      <c r="S63">
        <v>0</v>
      </c>
      <c r="T63">
        <f t="shared" si="1"/>
        <v>8058</v>
      </c>
      <c r="U63" t="s">
        <v>266</v>
      </c>
      <c r="V63" s="144">
        <f t="shared" si="2"/>
        <v>0</v>
      </c>
      <c r="W63" s="146">
        <f t="shared" si="3"/>
        <v>-353524</v>
      </c>
    </row>
    <row r="64" spans="1:23" x14ac:dyDescent="0.2">
      <c r="A64" s="2">
        <v>43556</v>
      </c>
      <c r="B64" s="2">
        <v>43921</v>
      </c>
      <c r="C64" s="8" t="s">
        <v>168</v>
      </c>
      <c r="D64" s="3" t="s">
        <v>169</v>
      </c>
      <c r="E64" s="3">
        <v>4</v>
      </c>
      <c r="F64" s="3" t="str">
        <f>VLOOKUP(E64,Reference!$A$1:$C$13,3,FALSE)</f>
        <v>Private</v>
      </c>
      <c r="G64" s="3" t="s">
        <v>170</v>
      </c>
      <c r="H64" s="145">
        <v>476882</v>
      </c>
      <c r="I64" s="3">
        <v>3.09</v>
      </c>
      <c r="J64" s="3"/>
      <c r="K64" s="3"/>
      <c r="L64">
        <v>13651</v>
      </c>
      <c r="M64" s="3">
        <v>3861</v>
      </c>
      <c r="N64" s="3">
        <v>280</v>
      </c>
      <c r="O64" s="3">
        <v>198</v>
      </c>
      <c r="P64">
        <f t="shared" si="0"/>
        <v>17990</v>
      </c>
      <c r="Q64">
        <v>140889</v>
      </c>
      <c r="R64">
        <v>6292</v>
      </c>
      <c r="S64">
        <v>847</v>
      </c>
      <c r="T64">
        <f t="shared" si="1"/>
        <v>148028</v>
      </c>
      <c r="U64" t="s">
        <v>268</v>
      </c>
      <c r="V64" s="144">
        <f t="shared" si="2"/>
        <v>0</v>
      </c>
      <c r="W64" s="146">
        <f t="shared" si="3"/>
        <v>-476882</v>
      </c>
    </row>
    <row r="65" spans="1:23" x14ac:dyDescent="0.2">
      <c r="A65" s="2">
        <v>43739</v>
      </c>
      <c r="B65" s="2">
        <v>44104</v>
      </c>
      <c r="C65" s="8" t="s">
        <v>171</v>
      </c>
      <c r="D65" s="3" t="s">
        <v>172</v>
      </c>
      <c r="E65" s="3">
        <v>2</v>
      </c>
      <c r="F65" s="3" t="str">
        <f>VLOOKUP(E65,Reference!$A$1:$C$13,3,FALSE)</f>
        <v>Private</v>
      </c>
      <c r="G65" s="3" t="s">
        <v>39</v>
      </c>
      <c r="H65" s="145">
        <v>524718</v>
      </c>
      <c r="I65" s="3">
        <v>31.47</v>
      </c>
      <c r="J65" s="3"/>
      <c r="K65" s="3"/>
      <c r="L65">
        <v>10506</v>
      </c>
      <c r="M65" s="3">
        <v>2557</v>
      </c>
      <c r="N65" s="3"/>
      <c r="O65" s="3"/>
      <c r="P65">
        <f t="shared" si="0"/>
        <v>13063</v>
      </c>
      <c r="Q65">
        <v>20115</v>
      </c>
      <c r="R65">
        <v>1264</v>
      </c>
      <c r="S65">
        <v>0</v>
      </c>
      <c r="T65">
        <f t="shared" si="1"/>
        <v>21379</v>
      </c>
      <c r="U65" t="s">
        <v>267</v>
      </c>
      <c r="V65" s="144">
        <f t="shared" si="2"/>
        <v>0</v>
      </c>
      <c r="W65" s="146">
        <f t="shared" si="3"/>
        <v>-524718</v>
      </c>
    </row>
    <row r="66" spans="1:23" x14ac:dyDescent="0.2">
      <c r="A66" s="2">
        <v>43647</v>
      </c>
      <c r="B66" s="2">
        <v>44012</v>
      </c>
      <c r="C66" s="8" t="s">
        <v>173</v>
      </c>
      <c r="D66" s="3" t="s">
        <v>174</v>
      </c>
      <c r="E66" s="3">
        <v>2</v>
      </c>
      <c r="F66" s="3" t="str">
        <f>VLOOKUP(E66,Reference!$A$1:$C$13,3,FALSE)</f>
        <v>Private</v>
      </c>
      <c r="G66" s="3" t="s">
        <v>104</v>
      </c>
      <c r="H66" s="145">
        <v>5484079</v>
      </c>
      <c r="I66" s="3">
        <v>85.2</v>
      </c>
      <c r="J66" s="3"/>
      <c r="K66" s="3"/>
      <c r="L66">
        <v>23011</v>
      </c>
      <c r="M66" s="3">
        <v>3872</v>
      </c>
      <c r="N66" s="3"/>
      <c r="O66" s="3"/>
      <c r="P66">
        <f t="shared" si="0"/>
        <v>26883</v>
      </c>
      <c r="Q66">
        <v>45561</v>
      </c>
      <c r="R66">
        <v>5867</v>
      </c>
      <c r="S66">
        <v>0</v>
      </c>
      <c r="T66">
        <f t="shared" si="1"/>
        <v>51428</v>
      </c>
      <c r="U66" t="s">
        <v>267</v>
      </c>
      <c r="V66" s="144">
        <f t="shared" si="2"/>
        <v>0</v>
      </c>
      <c r="W66" s="146">
        <f t="shared" si="3"/>
        <v>-5484079</v>
      </c>
    </row>
    <row r="67" spans="1:23" x14ac:dyDescent="0.2">
      <c r="A67" s="2">
        <v>43647</v>
      </c>
      <c r="B67" s="2">
        <v>44012</v>
      </c>
      <c r="C67" s="8" t="s">
        <v>175</v>
      </c>
      <c r="D67" s="3" t="s">
        <v>176</v>
      </c>
      <c r="E67" s="3">
        <v>1</v>
      </c>
      <c r="F67" s="3" t="str">
        <f>VLOOKUP(E67,Reference!$A$1:$C$13,3,FALSE)</f>
        <v>Private</v>
      </c>
      <c r="G67" s="3" t="s">
        <v>75</v>
      </c>
      <c r="H67" s="145">
        <v>8021482</v>
      </c>
      <c r="I67" s="3">
        <v>13.55</v>
      </c>
      <c r="J67" s="3"/>
      <c r="K67" s="3"/>
      <c r="L67">
        <v>12252</v>
      </c>
      <c r="M67" s="3">
        <v>1716</v>
      </c>
      <c r="N67" s="3">
        <v>107</v>
      </c>
      <c r="O67" s="3"/>
      <c r="P67">
        <f t="shared" ref="P67:P69" si="4">M67+N67+O67+L67</f>
        <v>14075</v>
      </c>
      <c r="Q67">
        <v>29694</v>
      </c>
      <c r="R67">
        <v>1133</v>
      </c>
      <c r="S67">
        <v>0</v>
      </c>
      <c r="T67">
        <f t="shared" ref="T67:T69" si="5">SUM(Q67:S67)</f>
        <v>30827</v>
      </c>
      <c r="U67" t="s">
        <v>267</v>
      </c>
      <c r="V67" s="144">
        <f t="shared" ref="V67:V69" si="6">I67*J67</f>
        <v>0</v>
      </c>
      <c r="W67" s="146">
        <f t="shared" ref="W67:W69" si="7">V67-H67</f>
        <v>-8021482</v>
      </c>
    </row>
    <row r="68" spans="1:23" x14ac:dyDescent="0.2">
      <c r="A68" s="2">
        <v>43466</v>
      </c>
      <c r="B68" s="2">
        <v>43830</v>
      </c>
      <c r="C68" s="8" t="s">
        <v>177</v>
      </c>
      <c r="D68" s="3" t="s">
        <v>178</v>
      </c>
      <c r="E68" s="3">
        <v>2</v>
      </c>
      <c r="F68" s="3" t="str">
        <f>VLOOKUP(E68,Reference!$A$1:$C$13,3,FALSE)</f>
        <v>Private</v>
      </c>
      <c r="G68" s="3" t="s">
        <v>34</v>
      </c>
      <c r="H68" s="145">
        <v>36687220</v>
      </c>
      <c r="I68" s="3"/>
      <c r="J68" s="3">
        <v>97023.75</v>
      </c>
      <c r="K68" s="3">
        <v>97023.75</v>
      </c>
      <c r="L68">
        <v>6038</v>
      </c>
      <c r="M68" s="3">
        <v>3822</v>
      </c>
      <c r="N68" s="3"/>
      <c r="O68" s="3">
        <v>43</v>
      </c>
      <c r="P68">
        <f t="shared" si="4"/>
        <v>9903</v>
      </c>
      <c r="Q68">
        <v>258579</v>
      </c>
      <c r="R68">
        <v>22326</v>
      </c>
      <c r="S68">
        <v>3341</v>
      </c>
      <c r="T68">
        <f t="shared" si="5"/>
        <v>284246</v>
      </c>
      <c r="U68" t="s">
        <v>266</v>
      </c>
      <c r="V68" s="144">
        <f t="shared" si="6"/>
        <v>0</v>
      </c>
      <c r="W68" s="146">
        <f t="shared" si="7"/>
        <v>-36687220</v>
      </c>
    </row>
    <row r="69" spans="1:23" x14ac:dyDescent="0.2">
      <c r="A69" s="2">
        <v>43647</v>
      </c>
      <c r="B69" s="2">
        <v>44012</v>
      </c>
      <c r="C69" s="8" t="s">
        <v>179</v>
      </c>
      <c r="D69" s="3" t="s">
        <v>180</v>
      </c>
      <c r="E69" s="3">
        <v>4</v>
      </c>
      <c r="F69" s="3" t="str">
        <f>VLOOKUP(E69,Reference!$A$1:$C$13,3,FALSE)</f>
        <v>Private</v>
      </c>
      <c r="G69" s="3" t="s">
        <v>31</v>
      </c>
      <c r="H69" s="145">
        <v>743137</v>
      </c>
      <c r="I69" s="3">
        <v>2.64</v>
      </c>
      <c r="J69" s="3"/>
      <c r="K69" s="3">
        <v>96382.24</v>
      </c>
      <c r="L69">
        <v>0</v>
      </c>
      <c r="M69" s="3"/>
      <c r="N69" s="3"/>
      <c r="O69" s="3"/>
      <c r="P69">
        <f t="shared" si="4"/>
        <v>0</v>
      </c>
      <c r="Q69">
        <v>28016</v>
      </c>
      <c r="R69">
        <v>0</v>
      </c>
      <c r="S69">
        <v>0</v>
      </c>
      <c r="T69">
        <f t="shared" si="5"/>
        <v>28016</v>
      </c>
      <c r="U69" t="s">
        <v>268</v>
      </c>
      <c r="V69" s="144">
        <f t="shared" si="6"/>
        <v>0</v>
      </c>
      <c r="W69" s="146">
        <f t="shared" si="7"/>
        <v>-743137</v>
      </c>
    </row>
  </sheetData>
  <autoFilter ref="A1:O69" xr:uid="{6A9BCDF1-8CE3-4BE4-8658-00C707A9F99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4EC0F-EEFA-4024-B474-32528EDCF8A1}">
  <dimension ref="A1:AA76"/>
  <sheetViews>
    <sheetView zoomScale="90" zoomScaleNormal="90" workbookViewId="0">
      <selection activeCell="W17" sqref="W17"/>
    </sheetView>
  </sheetViews>
  <sheetFormatPr defaultColWidth="6.3984375" defaultRowHeight="12.75" x14ac:dyDescent="0.2"/>
  <cols>
    <col min="1" max="1" width="24.3984375" style="12" customWidth="1"/>
    <col min="2" max="17" width="6.296875" style="12" customWidth="1"/>
    <col min="18" max="16384" width="6.3984375" style="12"/>
  </cols>
  <sheetData>
    <row r="1" spans="1:27" ht="18.600000000000001" customHeight="1" x14ac:dyDescent="0.2">
      <c r="A1" s="11" t="s">
        <v>270</v>
      </c>
      <c r="B1" s="11"/>
      <c r="C1" s="11"/>
      <c r="D1" s="11"/>
      <c r="E1" s="11"/>
      <c r="F1" s="11"/>
      <c r="G1" s="11"/>
      <c r="H1" s="11"/>
      <c r="I1" s="11"/>
      <c r="J1" s="11"/>
      <c r="K1" s="11"/>
      <c r="L1" s="11"/>
      <c r="M1" s="11"/>
      <c r="N1" s="11"/>
      <c r="O1" s="11"/>
      <c r="P1" s="11"/>
      <c r="Q1" s="11"/>
      <c r="R1" s="11"/>
      <c r="S1" s="11"/>
      <c r="T1" s="11"/>
      <c r="U1" s="11"/>
      <c r="V1" s="11"/>
      <c r="W1" s="11"/>
      <c r="X1" s="11"/>
    </row>
    <row r="2" spans="1:27" ht="53.45" customHeight="1" thickBot="1" x14ac:dyDescent="0.25">
      <c r="A2" s="13" t="s">
        <v>271</v>
      </c>
      <c r="B2" s="13"/>
      <c r="C2" s="13"/>
      <c r="D2" s="13"/>
      <c r="E2" s="13"/>
      <c r="F2" s="13"/>
      <c r="G2" s="13"/>
      <c r="H2" s="13"/>
      <c r="I2" s="13"/>
      <c r="J2" s="13"/>
      <c r="K2" s="13"/>
      <c r="L2" s="13"/>
      <c r="M2" s="13"/>
      <c r="N2" s="13"/>
      <c r="O2" s="13"/>
      <c r="P2" s="13"/>
      <c r="Q2" s="13"/>
      <c r="R2" s="13"/>
      <c r="S2" s="13"/>
      <c r="T2" s="13"/>
      <c r="U2" s="13"/>
      <c r="V2" s="13"/>
      <c r="W2" s="13"/>
      <c r="X2" s="13"/>
      <c r="Y2" s="14"/>
      <c r="Z2" s="14"/>
      <c r="AA2" s="14"/>
    </row>
    <row r="3" spans="1:27" ht="26.1" customHeight="1" thickBot="1" x14ac:dyDescent="0.25">
      <c r="A3" s="15" t="s">
        <v>272</v>
      </c>
      <c r="B3" s="16" t="s">
        <v>273</v>
      </c>
      <c r="C3" s="16" t="s">
        <v>274</v>
      </c>
      <c r="D3" s="16" t="s">
        <v>275</v>
      </c>
      <c r="E3" s="16" t="s">
        <v>276</v>
      </c>
      <c r="F3" s="16" t="s">
        <v>277</v>
      </c>
      <c r="G3" s="16" t="s">
        <v>278</v>
      </c>
      <c r="H3" s="16" t="s">
        <v>279</v>
      </c>
      <c r="I3" s="16" t="s">
        <v>280</v>
      </c>
      <c r="J3" s="16" t="s">
        <v>281</v>
      </c>
      <c r="K3" s="16" t="s">
        <v>282</v>
      </c>
      <c r="L3" s="16" t="s">
        <v>283</v>
      </c>
      <c r="M3" s="16" t="s">
        <v>284</v>
      </c>
      <c r="N3" s="16" t="s">
        <v>285</v>
      </c>
      <c r="O3" s="16" t="s">
        <v>286</v>
      </c>
      <c r="P3" s="16" t="s">
        <v>287</v>
      </c>
      <c r="Q3" s="16" t="s">
        <v>288</v>
      </c>
      <c r="R3" s="16" t="s">
        <v>289</v>
      </c>
      <c r="S3" s="16" t="s">
        <v>290</v>
      </c>
      <c r="T3" s="16" t="s">
        <v>291</v>
      </c>
      <c r="U3" s="16" t="s">
        <v>292</v>
      </c>
      <c r="V3" s="16" t="s">
        <v>293</v>
      </c>
      <c r="W3" s="16" t="s">
        <v>294</v>
      </c>
      <c r="X3" s="17" t="s">
        <v>295</v>
      </c>
    </row>
    <row r="4" spans="1:27" ht="26.25" customHeight="1" x14ac:dyDescent="0.2">
      <c r="A4" s="18" t="s">
        <v>296</v>
      </c>
      <c r="B4" s="19">
        <v>2.9</v>
      </c>
      <c r="C4" s="19">
        <v>3.4</v>
      </c>
      <c r="D4" s="19">
        <v>3.3</v>
      </c>
      <c r="E4" s="19">
        <v>3.5</v>
      </c>
      <c r="F4" s="19">
        <v>3.4</v>
      </c>
      <c r="G4" s="19">
        <v>3.3</v>
      </c>
      <c r="H4" s="19">
        <v>3.7</v>
      </c>
      <c r="I4" s="19">
        <v>3.4</v>
      </c>
      <c r="J4" s="19">
        <v>3.3</v>
      </c>
      <c r="K4" s="19">
        <v>3.6</v>
      </c>
      <c r="L4" s="19">
        <v>2.1</v>
      </c>
      <c r="M4" s="19">
        <v>2.6</v>
      </c>
      <c r="N4" s="19">
        <v>3</v>
      </c>
      <c r="O4" s="19">
        <v>2.6</v>
      </c>
      <c r="P4" s="19">
        <v>2.5</v>
      </c>
      <c r="Q4" s="19">
        <v>2.9</v>
      </c>
      <c r="R4" s="19">
        <v>2.4</v>
      </c>
      <c r="S4" s="19">
        <v>2.7</v>
      </c>
      <c r="T4" s="19">
        <v>2.7</v>
      </c>
      <c r="U4" s="19">
        <v>2.9</v>
      </c>
      <c r="V4" s="19">
        <v>3</v>
      </c>
      <c r="W4" s="65">
        <v>2.4</v>
      </c>
      <c r="X4" s="20">
        <v>2.7</v>
      </c>
    </row>
    <row r="5" spans="1:27" ht="26.25" customHeight="1" x14ac:dyDescent="0.2">
      <c r="A5" s="21" t="s">
        <v>297</v>
      </c>
      <c r="B5" s="22" t="s">
        <v>298</v>
      </c>
      <c r="C5" s="22" t="s">
        <v>298</v>
      </c>
      <c r="D5" s="22" t="s">
        <v>298</v>
      </c>
      <c r="E5" s="22" t="s">
        <v>298</v>
      </c>
      <c r="F5" s="22" t="s">
        <v>298</v>
      </c>
      <c r="G5" s="22" t="s">
        <v>298</v>
      </c>
      <c r="H5" s="22" t="s">
        <v>298</v>
      </c>
      <c r="I5" s="22" t="s">
        <v>298</v>
      </c>
      <c r="J5" s="22" t="s">
        <v>298</v>
      </c>
      <c r="K5" s="22" t="s">
        <v>298</v>
      </c>
      <c r="L5" s="22" t="s">
        <v>298</v>
      </c>
      <c r="M5" s="22" t="s">
        <v>298</v>
      </c>
      <c r="N5" s="22">
        <v>1</v>
      </c>
      <c r="O5" s="22">
        <v>0.7</v>
      </c>
      <c r="P5" s="22">
        <v>0.5</v>
      </c>
      <c r="Q5" s="22">
        <v>0.5</v>
      </c>
      <c r="R5" s="22">
        <v>0.5</v>
      </c>
      <c r="S5" s="22">
        <v>0.3</v>
      </c>
      <c r="T5" s="22">
        <v>0.6</v>
      </c>
      <c r="U5" s="22">
        <v>0.8</v>
      </c>
      <c r="V5" s="22">
        <v>0.4</v>
      </c>
      <c r="W5" s="22">
        <v>0</v>
      </c>
      <c r="X5" s="23">
        <v>0.7</v>
      </c>
    </row>
    <row r="6" spans="1:27" ht="26.25" customHeight="1" thickBot="1" x14ac:dyDescent="0.25">
      <c r="A6" s="24" t="s">
        <v>299</v>
      </c>
      <c r="B6" s="25" t="s">
        <v>298</v>
      </c>
      <c r="C6" s="25" t="s">
        <v>298</v>
      </c>
      <c r="D6" s="25" t="s">
        <v>298</v>
      </c>
      <c r="E6" s="25" t="s">
        <v>298</v>
      </c>
      <c r="F6" s="25" t="s">
        <v>298</v>
      </c>
      <c r="G6" s="25" t="s">
        <v>298</v>
      </c>
      <c r="H6" s="25" t="s">
        <v>298</v>
      </c>
      <c r="I6" s="25" t="s">
        <v>298</v>
      </c>
      <c r="J6" s="25" t="s">
        <v>298</v>
      </c>
      <c r="K6" s="25" t="s">
        <v>298</v>
      </c>
      <c r="L6" s="25" t="s">
        <v>298</v>
      </c>
      <c r="M6" s="25" t="s">
        <v>298</v>
      </c>
      <c r="N6" s="25">
        <v>2</v>
      </c>
      <c r="O6" s="25">
        <v>1.9</v>
      </c>
      <c r="P6" s="25">
        <v>2</v>
      </c>
      <c r="Q6" s="25">
        <v>2.4</v>
      </c>
      <c r="R6" s="25">
        <v>1.9</v>
      </c>
      <c r="S6" s="25">
        <v>2.4</v>
      </c>
      <c r="T6" s="25">
        <v>2.1</v>
      </c>
      <c r="U6" s="25">
        <v>2.1</v>
      </c>
      <c r="V6" s="25">
        <v>2.6</v>
      </c>
      <c r="W6" s="25">
        <v>2.4</v>
      </c>
      <c r="X6" s="26">
        <v>2</v>
      </c>
    </row>
    <row r="7" spans="1:27" s="28" customFormat="1" ht="25.5" customHeight="1" x14ac:dyDescent="0.2">
      <c r="A7" s="27" t="s">
        <v>300</v>
      </c>
      <c r="B7" s="27"/>
      <c r="C7" s="27"/>
      <c r="D7" s="27"/>
      <c r="E7" s="27"/>
      <c r="F7" s="27"/>
      <c r="G7" s="27"/>
      <c r="H7" s="27"/>
      <c r="I7" s="27"/>
      <c r="J7" s="27"/>
      <c r="K7" s="27"/>
      <c r="L7" s="27"/>
      <c r="M7" s="27"/>
      <c r="N7" s="27"/>
      <c r="O7" s="27"/>
    </row>
    <row r="8" spans="1:27" s="28" customFormat="1" ht="24" customHeight="1" x14ac:dyDescent="0.2">
      <c r="A8" s="27" t="s">
        <v>301</v>
      </c>
      <c r="B8" s="27"/>
      <c r="C8" s="27"/>
      <c r="D8" s="27"/>
      <c r="E8" s="27"/>
      <c r="F8" s="27"/>
      <c r="G8" s="27"/>
      <c r="H8" s="27"/>
      <c r="I8" s="27"/>
      <c r="J8" s="27"/>
      <c r="K8" s="27"/>
      <c r="L8" s="27"/>
      <c r="M8" s="27"/>
      <c r="N8" s="27"/>
      <c r="O8" s="27"/>
    </row>
    <row r="9" spans="1:27" s="29" customFormat="1" ht="30.6" customHeight="1" thickBot="1" x14ac:dyDescent="0.25">
      <c r="A9" s="218" t="s">
        <v>302</v>
      </c>
      <c r="B9" s="218"/>
      <c r="C9" s="218"/>
      <c r="D9" s="218"/>
      <c r="E9" s="218"/>
      <c r="F9" s="218"/>
      <c r="G9" s="218"/>
      <c r="H9" s="218"/>
      <c r="I9" s="218"/>
      <c r="J9" s="218"/>
      <c r="K9" s="218"/>
      <c r="L9" s="218"/>
      <c r="M9" s="218"/>
      <c r="N9" s="218"/>
      <c r="O9" s="218"/>
      <c r="P9" s="218"/>
      <c r="Q9" s="218"/>
      <c r="R9" s="218"/>
    </row>
    <row r="10" spans="1:27" ht="26.25" customHeight="1" thickBot="1" x14ac:dyDescent="0.25">
      <c r="A10" s="15" t="s">
        <v>303</v>
      </c>
      <c r="B10" s="30" t="s">
        <v>273</v>
      </c>
      <c r="C10" s="30" t="s">
        <v>274</v>
      </c>
      <c r="D10" s="30" t="s">
        <v>275</v>
      </c>
      <c r="E10" s="30" t="s">
        <v>276</v>
      </c>
      <c r="F10" s="30" t="s">
        <v>304</v>
      </c>
      <c r="G10" s="30" t="s">
        <v>278</v>
      </c>
      <c r="H10" s="30" t="s">
        <v>279</v>
      </c>
      <c r="I10" s="16" t="s">
        <v>280</v>
      </c>
      <c r="J10" s="16" t="s">
        <v>281</v>
      </c>
      <c r="K10" s="16" t="s">
        <v>282</v>
      </c>
      <c r="L10" s="16" t="s">
        <v>283</v>
      </c>
      <c r="M10" s="16" t="s">
        <v>305</v>
      </c>
      <c r="N10" s="16" t="s">
        <v>285</v>
      </c>
      <c r="O10" s="16" t="s">
        <v>286</v>
      </c>
      <c r="P10" s="16" t="s">
        <v>306</v>
      </c>
      <c r="Q10" s="16" t="s">
        <v>288</v>
      </c>
      <c r="R10" s="16" t="s">
        <v>307</v>
      </c>
      <c r="S10" s="16" t="s">
        <v>290</v>
      </c>
      <c r="T10" s="16" t="s">
        <v>291</v>
      </c>
      <c r="U10" s="16" t="s">
        <v>292</v>
      </c>
      <c r="V10" s="16" t="s">
        <v>293</v>
      </c>
      <c r="W10" s="16" t="s">
        <v>294</v>
      </c>
      <c r="X10" s="17" t="s">
        <v>308</v>
      </c>
    </row>
    <row r="11" spans="1:27" ht="26.25" customHeight="1" x14ac:dyDescent="0.2">
      <c r="A11" s="18" t="s">
        <v>296</v>
      </c>
      <c r="B11" s="19">
        <v>3.1</v>
      </c>
      <c r="C11" s="31">
        <v>3.161</v>
      </c>
      <c r="D11" s="19">
        <v>3.3</v>
      </c>
      <c r="E11" s="19">
        <v>3.1</v>
      </c>
      <c r="F11" s="19">
        <v>3</v>
      </c>
      <c r="G11" s="19">
        <v>2.8</v>
      </c>
      <c r="H11" s="19">
        <v>3.1</v>
      </c>
      <c r="I11" s="19">
        <v>3.1</v>
      </c>
      <c r="J11" s="19">
        <v>3.3</v>
      </c>
      <c r="K11" s="19">
        <v>3.4</v>
      </c>
      <c r="L11" s="19">
        <v>2.2000000000000002</v>
      </c>
      <c r="M11" s="19">
        <v>2.2999999999999998</v>
      </c>
      <c r="N11" s="19">
        <v>2.7</v>
      </c>
      <c r="O11" s="19">
        <v>2.5</v>
      </c>
      <c r="P11" s="19">
        <v>2.2999999999999998</v>
      </c>
      <c r="Q11" s="19">
        <v>2.5</v>
      </c>
      <c r="R11" s="19">
        <v>2.2999999999999998</v>
      </c>
      <c r="S11" s="19">
        <v>2.7</v>
      </c>
      <c r="T11" s="19">
        <v>2.6</v>
      </c>
      <c r="U11" s="19">
        <v>2.8</v>
      </c>
      <c r="V11" s="19">
        <v>2.8</v>
      </c>
      <c r="W11" s="19">
        <v>2.2000000000000002</v>
      </c>
      <c r="X11" s="20">
        <v>2.7</v>
      </c>
    </row>
    <row r="12" spans="1:27" ht="26.25" customHeight="1" x14ac:dyDescent="0.2">
      <c r="A12" s="21" t="s">
        <v>297</v>
      </c>
      <c r="B12" s="22" t="s">
        <v>298</v>
      </c>
      <c r="C12" s="22" t="s">
        <v>298</v>
      </c>
      <c r="D12" s="22" t="s">
        <v>298</v>
      </c>
      <c r="E12" s="22" t="s">
        <v>298</v>
      </c>
      <c r="F12" s="22" t="s">
        <v>298</v>
      </c>
      <c r="G12" s="22" t="s">
        <v>298</v>
      </c>
      <c r="H12" s="22" t="s">
        <v>298</v>
      </c>
      <c r="I12" s="22" t="s">
        <v>298</v>
      </c>
      <c r="J12" s="22" t="s">
        <v>298</v>
      </c>
      <c r="K12" s="22" t="s">
        <v>298</v>
      </c>
      <c r="L12" s="22" t="s">
        <v>298</v>
      </c>
      <c r="M12" s="22" t="s">
        <v>298</v>
      </c>
      <c r="N12" s="22">
        <v>1</v>
      </c>
      <c r="O12" s="22">
        <v>0.7</v>
      </c>
      <c r="P12" s="22">
        <v>0.5</v>
      </c>
      <c r="Q12" s="22">
        <v>0.5</v>
      </c>
      <c r="R12" s="22">
        <v>0.5</v>
      </c>
      <c r="S12" s="22">
        <v>0.3</v>
      </c>
      <c r="T12" s="22">
        <v>0.6</v>
      </c>
      <c r="U12" s="22">
        <v>0.8</v>
      </c>
      <c r="V12" s="22">
        <v>0.4</v>
      </c>
      <c r="W12" s="22">
        <v>0</v>
      </c>
      <c r="X12" s="23">
        <v>0.7</v>
      </c>
    </row>
    <row r="13" spans="1:27" ht="26.25" customHeight="1" thickBot="1" x14ac:dyDescent="0.25">
      <c r="A13" s="24" t="s">
        <v>299</v>
      </c>
      <c r="B13" s="25" t="s">
        <v>298</v>
      </c>
      <c r="C13" s="25" t="s">
        <v>298</v>
      </c>
      <c r="D13" s="25" t="s">
        <v>298</v>
      </c>
      <c r="E13" s="25" t="s">
        <v>298</v>
      </c>
      <c r="F13" s="25" t="s">
        <v>298</v>
      </c>
      <c r="G13" s="25" t="s">
        <v>298</v>
      </c>
      <c r="H13" s="25" t="s">
        <v>298</v>
      </c>
      <c r="I13" s="25" t="s">
        <v>298</v>
      </c>
      <c r="J13" s="25" t="s">
        <v>298</v>
      </c>
      <c r="K13" s="25" t="s">
        <v>298</v>
      </c>
      <c r="L13" s="25" t="s">
        <v>298</v>
      </c>
      <c r="M13" s="25" t="s">
        <v>298</v>
      </c>
      <c r="N13" s="25">
        <v>1.7</v>
      </c>
      <c r="O13" s="25">
        <v>1.8</v>
      </c>
      <c r="P13" s="25">
        <v>1.8</v>
      </c>
      <c r="Q13" s="25">
        <v>2</v>
      </c>
      <c r="R13" s="25">
        <v>1.8</v>
      </c>
      <c r="S13" s="25">
        <v>2.4</v>
      </c>
      <c r="T13" s="25">
        <v>2</v>
      </c>
      <c r="U13" s="25">
        <v>2</v>
      </c>
      <c r="V13" s="25">
        <v>2.4</v>
      </c>
      <c r="W13" s="25">
        <v>2.2000000000000002</v>
      </c>
      <c r="X13" s="26">
        <v>2</v>
      </c>
    </row>
    <row r="14" spans="1:27" ht="27" customHeight="1" x14ac:dyDescent="0.2">
      <c r="A14" s="27" t="s">
        <v>309</v>
      </c>
      <c r="B14" s="32"/>
      <c r="C14" s="32"/>
      <c r="D14" s="32"/>
      <c r="E14" s="32"/>
      <c r="F14" s="32"/>
      <c r="G14" s="32"/>
      <c r="H14" s="32"/>
      <c r="I14" s="32"/>
      <c r="J14" s="32"/>
      <c r="K14" s="32"/>
      <c r="L14" s="32"/>
      <c r="M14" s="32"/>
      <c r="N14" s="32"/>
      <c r="O14" s="32"/>
    </row>
    <row r="15" spans="1:27" ht="20.45" customHeight="1" x14ac:dyDescent="0.2">
      <c r="A15" s="27" t="s">
        <v>310</v>
      </c>
      <c r="B15" s="32"/>
      <c r="C15" s="32"/>
      <c r="D15" s="32"/>
      <c r="E15" s="32"/>
      <c r="F15" s="32"/>
      <c r="G15" s="32"/>
      <c r="H15" s="32"/>
      <c r="I15" s="32"/>
      <c r="J15" s="32"/>
      <c r="K15" s="32"/>
      <c r="L15" s="32"/>
      <c r="M15" s="32"/>
      <c r="N15" s="32"/>
      <c r="O15" s="32"/>
    </row>
    <row r="16" spans="1:27" s="29" customFormat="1" ht="20.45" customHeight="1" x14ac:dyDescent="0.2">
      <c r="A16" s="27" t="s">
        <v>311</v>
      </c>
      <c r="B16" s="33"/>
      <c r="C16" s="33"/>
      <c r="D16" s="33"/>
      <c r="E16" s="33"/>
      <c r="F16" s="33"/>
      <c r="G16" s="33"/>
      <c r="H16" s="33"/>
      <c r="I16" s="33"/>
      <c r="J16" s="33"/>
      <c r="K16" s="33"/>
      <c r="L16" s="33"/>
      <c r="M16" s="33"/>
      <c r="N16" s="33"/>
      <c r="O16" s="33"/>
    </row>
    <row r="17" spans="1:24" s="28" customFormat="1" ht="31.15" customHeight="1" x14ac:dyDescent="0.2">
      <c r="A17" s="218" t="s">
        <v>312</v>
      </c>
      <c r="B17" s="218"/>
      <c r="C17" s="218"/>
      <c r="D17" s="218"/>
      <c r="E17" s="218"/>
      <c r="F17" s="218"/>
      <c r="G17" s="218"/>
      <c r="H17" s="218"/>
      <c r="I17" s="218"/>
      <c r="J17" s="218"/>
      <c r="K17" s="218"/>
      <c r="L17" s="218"/>
      <c r="M17" s="218"/>
      <c r="N17" s="218"/>
      <c r="O17" s="218"/>
      <c r="P17" s="218"/>
      <c r="Q17" s="218"/>
      <c r="R17" s="218"/>
    </row>
    <row r="18" spans="1:24" s="28" customFormat="1" ht="20.45" customHeight="1" x14ac:dyDescent="0.2">
      <c r="A18" s="27" t="s">
        <v>313</v>
      </c>
      <c r="B18" s="34"/>
      <c r="C18" s="34"/>
      <c r="D18" s="34"/>
      <c r="E18" s="34"/>
      <c r="F18" s="34"/>
      <c r="G18" s="34"/>
      <c r="H18" s="34"/>
      <c r="I18" s="34"/>
      <c r="J18" s="34"/>
      <c r="K18" s="34"/>
      <c r="L18" s="34"/>
      <c r="M18" s="34"/>
      <c r="N18" s="34"/>
      <c r="O18" s="34"/>
    </row>
    <row r="19" spans="1:24" s="28" customFormat="1" ht="20.45" customHeight="1" x14ac:dyDescent="0.2">
      <c r="A19" s="27" t="s">
        <v>314</v>
      </c>
      <c r="B19" s="34"/>
      <c r="C19" s="34"/>
      <c r="D19" s="34"/>
      <c r="E19" s="34"/>
      <c r="F19" s="34"/>
      <c r="G19" s="34"/>
      <c r="H19" s="34"/>
      <c r="I19" s="34"/>
      <c r="J19" s="34"/>
      <c r="K19" s="34"/>
      <c r="L19" s="34"/>
      <c r="M19" s="34"/>
      <c r="N19" s="34"/>
      <c r="O19" s="34"/>
    </row>
    <row r="20" spans="1:24" s="28" customFormat="1" ht="20.45" customHeight="1" thickBot="1" x14ac:dyDescent="0.25">
      <c r="A20" s="27" t="s">
        <v>315</v>
      </c>
      <c r="B20" s="34"/>
      <c r="C20" s="34"/>
      <c r="D20" s="34"/>
      <c r="E20" s="34"/>
      <c r="F20" s="34"/>
      <c r="G20" s="34"/>
      <c r="H20" s="34"/>
      <c r="I20" s="34"/>
      <c r="J20" s="34"/>
      <c r="K20" s="34"/>
      <c r="L20" s="34"/>
      <c r="M20" s="34"/>
      <c r="N20" s="34"/>
      <c r="O20" s="34"/>
    </row>
    <row r="21" spans="1:24" ht="26.25" customHeight="1" thickBot="1" x14ac:dyDescent="0.25">
      <c r="A21" s="35" t="s">
        <v>316</v>
      </c>
      <c r="B21" s="36" t="s">
        <v>275</v>
      </c>
      <c r="C21" s="36" t="s">
        <v>276</v>
      </c>
      <c r="D21" s="37" t="s">
        <v>317</v>
      </c>
      <c r="E21" s="36" t="s">
        <v>318</v>
      </c>
      <c r="F21" s="36" t="s">
        <v>319</v>
      </c>
      <c r="G21" s="36" t="s">
        <v>320</v>
      </c>
      <c r="H21" s="36" t="s">
        <v>321</v>
      </c>
      <c r="I21" s="36" t="s">
        <v>322</v>
      </c>
      <c r="J21" s="36" t="s">
        <v>323</v>
      </c>
      <c r="K21" s="36" t="s">
        <v>324</v>
      </c>
      <c r="L21" s="36" t="s">
        <v>325</v>
      </c>
      <c r="M21" s="36" t="s">
        <v>326</v>
      </c>
      <c r="N21" s="38" t="s">
        <v>327</v>
      </c>
      <c r="O21" s="38" t="s">
        <v>328</v>
      </c>
      <c r="P21" s="38" t="s">
        <v>329</v>
      </c>
      <c r="Q21" s="38" t="s">
        <v>330</v>
      </c>
      <c r="R21" s="38" t="s">
        <v>331</v>
      </c>
      <c r="S21" s="38" t="s">
        <v>332</v>
      </c>
      <c r="T21" s="38" t="s">
        <v>333</v>
      </c>
      <c r="U21" s="39" t="s">
        <v>334</v>
      </c>
    </row>
    <row r="22" spans="1:24" ht="26.25" customHeight="1" x14ac:dyDescent="0.2">
      <c r="A22" s="18" t="s">
        <v>296</v>
      </c>
      <c r="B22" s="19">
        <v>3.6</v>
      </c>
      <c r="C22" s="19">
        <v>3.2</v>
      </c>
      <c r="D22" s="19">
        <v>3.3</v>
      </c>
      <c r="E22" s="19">
        <v>3.1</v>
      </c>
      <c r="F22" s="19">
        <v>3.6</v>
      </c>
      <c r="G22" s="19">
        <v>3.3</v>
      </c>
      <c r="H22" s="19">
        <v>3</v>
      </c>
      <c r="I22" s="19">
        <v>2.9</v>
      </c>
      <c r="J22" s="19">
        <v>2</v>
      </c>
      <c r="K22" s="19">
        <v>2.1</v>
      </c>
      <c r="L22" s="19">
        <v>2.4</v>
      </c>
      <c r="M22" s="19">
        <v>2.2999999999999998</v>
      </c>
      <c r="N22" s="19">
        <v>2.2999999999999998</v>
      </c>
      <c r="O22" s="19">
        <v>2.6</v>
      </c>
      <c r="P22" s="19">
        <v>2.2999999999999998</v>
      </c>
      <c r="Q22" s="19">
        <v>2.8</v>
      </c>
      <c r="R22" s="19">
        <v>2.5</v>
      </c>
      <c r="S22" s="19">
        <v>3</v>
      </c>
      <c r="T22" s="19">
        <v>2.9</v>
      </c>
      <c r="U22" s="20">
        <v>2.2999999999999998</v>
      </c>
    </row>
    <row r="23" spans="1:24" ht="26.25" customHeight="1" x14ac:dyDescent="0.2">
      <c r="A23" s="21" t="s">
        <v>297</v>
      </c>
      <c r="B23" s="22" t="s">
        <v>298</v>
      </c>
      <c r="C23" s="22" t="s">
        <v>298</v>
      </c>
      <c r="D23" s="22" t="s">
        <v>298</v>
      </c>
      <c r="E23" s="22" t="s">
        <v>298</v>
      </c>
      <c r="F23" s="22" t="s">
        <v>298</v>
      </c>
      <c r="G23" s="22" t="s">
        <v>298</v>
      </c>
      <c r="H23" s="22" t="s">
        <v>298</v>
      </c>
      <c r="I23" s="22" t="s">
        <v>298</v>
      </c>
      <c r="J23" s="22" t="s">
        <v>298</v>
      </c>
      <c r="K23" s="22" t="s">
        <v>298</v>
      </c>
      <c r="L23" s="22" t="s">
        <v>298</v>
      </c>
      <c r="M23" s="22" t="s">
        <v>298</v>
      </c>
      <c r="N23" s="22" t="s">
        <v>298</v>
      </c>
      <c r="O23" s="22">
        <v>0.5</v>
      </c>
      <c r="P23" s="22">
        <v>0.4</v>
      </c>
      <c r="Q23" s="22">
        <v>0.3</v>
      </c>
      <c r="R23" s="22">
        <v>0.6</v>
      </c>
      <c r="S23" s="22">
        <v>0.8</v>
      </c>
      <c r="T23" s="22">
        <v>0.3</v>
      </c>
      <c r="U23" s="23">
        <v>0.3</v>
      </c>
    </row>
    <row r="24" spans="1:24" ht="26.25" customHeight="1" thickBot="1" x14ac:dyDescent="0.25">
      <c r="A24" s="24" t="s">
        <v>299</v>
      </c>
      <c r="B24" s="25" t="s">
        <v>298</v>
      </c>
      <c r="C24" s="25" t="s">
        <v>298</v>
      </c>
      <c r="D24" s="25" t="s">
        <v>298</v>
      </c>
      <c r="E24" s="25" t="s">
        <v>298</v>
      </c>
      <c r="F24" s="25" t="s">
        <v>298</v>
      </c>
      <c r="G24" s="25" t="s">
        <v>298</v>
      </c>
      <c r="H24" s="25" t="s">
        <v>298</v>
      </c>
      <c r="I24" s="25" t="s">
        <v>298</v>
      </c>
      <c r="J24" s="25" t="s">
        <v>298</v>
      </c>
      <c r="K24" s="25" t="s">
        <v>298</v>
      </c>
      <c r="L24" s="25" t="s">
        <v>298</v>
      </c>
      <c r="M24" s="25" t="s">
        <v>298</v>
      </c>
      <c r="N24" s="25" t="s">
        <v>298</v>
      </c>
      <c r="O24" s="25">
        <v>2.1</v>
      </c>
      <c r="P24" s="25">
        <v>1.9</v>
      </c>
      <c r="Q24" s="25">
        <v>2.5</v>
      </c>
      <c r="R24" s="25">
        <v>1.9</v>
      </c>
      <c r="S24" s="25">
        <v>2.2000000000000002</v>
      </c>
      <c r="T24" s="25">
        <v>2.6</v>
      </c>
      <c r="U24" s="26">
        <v>2</v>
      </c>
    </row>
    <row r="25" spans="1:24" ht="21.95" customHeight="1" x14ac:dyDescent="0.2">
      <c r="A25" s="27" t="s">
        <v>335</v>
      </c>
      <c r="B25" s="32"/>
      <c r="C25" s="32"/>
      <c r="D25" s="32"/>
      <c r="E25" s="32"/>
      <c r="F25" s="32"/>
      <c r="G25" s="32"/>
      <c r="H25" s="32"/>
      <c r="I25" s="32"/>
      <c r="J25" s="32"/>
      <c r="K25" s="32"/>
      <c r="L25" s="32"/>
      <c r="M25" s="32"/>
      <c r="N25" s="32"/>
      <c r="O25" s="32"/>
    </row>
    <row r="26" spans="1:24" s="28" customFormat="1" ht="23.45" customHeight="1" x14ac:dyDescent="0.2">
      <c r="A26" s="27" t="s">
        <v>336</v>
      </c>
      <c r="B26" s="27"/>
      <c r="C26" s="27"/>
      <c r="D26" s="27"/>
      <c r="E26" s="27"/>
      <c r="F26" s="27"/>
      <c r="G26" s="27"/>
      <c r="H26" s="27"/>
      <c r="I26" s="27"/>
      <c r="J26" s="27"/>
      <c r="K26" s="27"/>
      <c r="L26" s="27"/>
      <c r="M26" s="27"/>
      <c r="N26" s="27"/>
      <c r="O26" s="27"/>
    </row>
    <row r="27" spans="1:24" s="28" customFormat="1" ht="23.1" customHeight="1" x14ac:dyDescent="0.2">
      <c r="A27" s="27" t="s">
        <v>337</v>
      </c>
      <c r="B27" s="27"/>
      <c r="C27" s="27"/>
      <c r="D27" s="27"/>
      <c r="E27" s="27"/>
      <c r="F27" s="27"/>
      <c r="G27" s="27"/>
      <c r="H27" s="27"/>
      <c r="I27" s="27"/>
      <c r="J27" s="27"/>
      <c r="K27" s="27"/>
      <c r="L27" s="27"/>
      <c r="M27" s="27"/>
      <c r="N27" s="27"/>
      <c r="O27" s="27"/>
    </row>
    <row r="28" spans="1:24" ht="30" customHeight="1" thickBot="1" x14ac:dyDescent="0.25">
      <c r="A28" s="218" t="s">
        <v>338</v>
      </c>
      <c r="B28" s="218"/>
      <c r="C28" s="218"/>
      <c r="D28" s="218"/>
      <c r="E28" s="218"/>
      <c r="F28" s="218"/>
      <c r="G28" s="218"/>
      <c r="H28" s="218"/>
      <c r="I28" s="218"/>
      <c r="J28" s="218"/>
      <c r="K28" s="218"/>
      <c r="L28" s="218"/>
      <c r="M28" s="218"/>
      <c r="N28" s="218"/>
      <c r="O28" s="218"/>
      <c r="P28" s="218"/>
      <c r="Q28" s="218"/>
      <c r="R28" s="218"/>
    </row>
    <row r="29" spans="1:24" ht="26.25" customHeight="1" thickBot="1" x14ac:dyDescent="0.25">
      <c r="A29" s="15" t="s">
        <v>339</v>
      </c>
      <c r="B29" s="30" t="s">
        <v>273</v>
      </c>
      <c r="C29" s="30" t="s">
        <v>274</v>
      </c>
      <c r="D29" s="30" t="s">
        <v>275</v>
      </c>
      <c r="E29" s="30" t="s">
        <v>276</v>
      </c>
      <c r="F29" s="30" t="s">
        <v>277</v>
      </c>
      <c r="G29" s="30" t="s">
        <v>278</v>
      </c>
      <c r="H29" s="30" t="s">
        <v>279</v>
      </c>
      <c r="I29" s="16" t="s">
        <v>280</v>
      </c>
      <c r="J29" s="16" t="s">
        <v>281</v>
      </c>
      <c r="K29" s="16" t="s">
        <v>282</v>
      </c>
      <c r="L29" s="16" t="s">
        <v>283</v>
      </c>
      <c r="M29" s="16" t="s">
        <v>284</v>
      </c>
      <c r="N29" s="16" t="s">
        <v>285</v>
      </c>
      <c r="O29" s="16" t="s">
        <v>286</v>
      </c>
      <c r="P29" s="16" t="s">
        <v>287</v>
      </c>
      <c r="Q29" s="16" t="s">
        <v>288</v>
      </c>
      <c r="R29" s="16" t="s">
        <v>289</v>
      </c>
      <c r="S29" s="16" t="s">
        <v>290</v>
      </c>
      <c r="T29" s="16" t="s">
        <v>291</v>
      </c>
      <c r="U29" s="16" t="s">
        <v>292</v>
      </c>
      <c r="V29" s="16" t="s">
        <v>293</v>
      </c>
      <c r="W29" s="16" t="s">
        <v>294</v>
      </c>
      <c r="X29" s="17" t="s">
        <v>295</v>
      </c>
    </row>
    <row r="30" spans="1:24" ht="26.25" customHeight="1" thickBot="1" x14ac:dyDescent="0.25">
      <c r="A30" s="40" t="s">
        <v>296</v>
      </c>
      <c r="B30" s="41">
        <v>0.6</v>
      </c>
      <c r="C30" s="41">
        <v>0.9</v>
      </c>
      <c r="D30" s="41">
        <v>0.7</v>
      </c>
      <c r="E30" s="41">
        <v>0.7</v>
      </c>
      <c r="F30" s="41">
        <v>0.7</v>
      </c>
      <c r="G30" s="41">
        <v>0.7</v>
      </c>
      <c r="H30" s="41">
        <v>0.8</v>
      </c>
      <c r="I30" s="41">
        <v>1.1000000000000001</v>
      </c>
      <c r="J30" s="41">
        <v>1.3</v>
      </c>
      <c r="K30" s="41">
        <v>1.4</v>
      </c>
      <c r="L30" s="41">
        <v>1.2</v>
      </c>
      <c r="M30" s="41">
        <v>1.2</v>
      </c>
      <c r="N30" s="41">
        <v>1.5</v>
      </c>
      <c r="O30" s="41">
        <v>1.2</v>
      </c>
      <c r="P30" s="41">
        <v>1.2</v>
      </c>
      <c r="Q30" s="41">
        <v>1.5</v>
      </c>
      <c r="R30" s="41">
        <v>1.3</v>
      </c>
      <c r="S30" s="41">
        <v>1.2</v>
      </c>
      <c r="T30" s="41">
        <v>1.3</v>
      </c>
      <c r="U30" s="41">
        <v>1.4</v>
      </c>
      <c r="V30" s="41">
        <v>1.5</v>
      </c>
      <c r="W30" s="41">
        <v>1.1000000000000001</v>
      </c>
      <c r="X30" s="42">
        <v>1.1000000000000001</v>
      </c>
    </row>
    <row r="31" spans="1:24" s="29" customFormat="1" ht="28.15" customHeight="1" thickBot="1" x14ac:dyDescent="0.25">
      <c r="A31" s="27" t="s">
        <v>340</v>
      </c>
      <c r="B31" s="43"/>
      <c r="C31" s="43"/>
      <c r="D31" s="43"/>
      <c r="E31" s="43"/>
    </row>
    <row r="32" spans="1:24" ht="33.75" customHeight="1" thickBot="1" x14ac:dyDescent="0.25">
      <c r="A32" s="44" t="s">
        <v>341</v>
      </c>
      <c r="B32" s="30" t="s">
        <v>276</v>
      </c>
      <c r="C32" s="30" t="s">
        <v>277</v>
      </c>
      <c r="D32" s="30" t="s">
        <v>278</v>
      </c>
      <c r="E32" s="30" t="s">
        <v>279</v>
      </c>
      <c r="F32" s="16" t="s">
        <v>280</v>
      </c>
      <c r="G32" s="16" t="s">
        <v>281</v>
      </c>
      <c r="H32" s="16" t="s">
        <v>282</v>
      </c>
      <c r="I32" s="16" t="s">
        <v>283</v>
      </c>
      <c r="J32" s="16" t="s">
        <v>284</v>
      </c>
      <c r="K32" s="16" t="s">
        <v>285</v>
      </c>
      <c r="L32" s="16" t="s">
        <v>286</v>
      </c>
      <c r="M32" s="16" t="s">
        <v>287</v>
      </c>
      <c r="N32" s="16" t="s">
        <v>288</v>
      </c>
      <c r="O32" s="16" t="s">
        <v>289</v>
      </c>
      <c r="P32" s="16" t="s">
        <v>290</v>
      </c>
      <c r="Q32" s="16" t="s">
        <v>291</v>
      </c>
      <c r="R32" s="16" t="s">
        <v>292</v>
      </c>
      <c r="S32" s="16" t="s">
        <v>293</v>
      </c>
      <c r="T32" s="16" t="s">
        <v>294</v>
      </c>
      <c r="U32" s="17" t="s">
        <v>295</v>
      </c>
    </row>
    <row r="33" spans="1:22" ht="26.25" customHeight="1" x14ac:dyDescent="0.2">
      <c r="A33" s="18" t="s">
        <v>296</v>
      </c>
      <c r="B33" s="19">
        <v>3</v>
      </c>
      <c r="C33" s="19">
        <v>3.2</v>
      </c>
      <c r="D33" s="45">
        <v>3.1</v>
      </c>
      <c r="E33" s="45">
        <v>3.6</v>
      </c>
      <c r="F33" s="45">
        <v>3.3</v>
      </c>
      <c r="G33" s="45">
        <v>3.2</v>
      </c>
      <c r="H33" s="45">
        <v>3.5</v>
      </c>
      <c r="I33" s="45">
        <v>2.5</v>
      </c>
      <c r="J33" s="45">
        <v>2.5</v>
      </c>
      <c r="K33" s="45">
        <v>2.9</v>
      </c>
      <c r="L33" s="45">
        <v>2.7</v>
      </c>
      <c r="M33" s="45">
        <v>2.6</v>
      </c>
      <c r="N33" s="45">
        <v>2.9</v>
      </c>
      <c r="O33" s="45">
        <v>2.4</v>
      </c>
      <c r="P33" s="19">
        <v>2.7</v>
      </c>
      <c r="Q33" s="19">
        <v>2.6</v>
      </c>
      <c r="R33" s="19">
        <v>2.9</v>
      </c>
      <c r="S33" s="19">
        <v>2.9</v>
      </c>
      <c r="T33" s="19">
        <v>2.4</v>
      </c>
      <c r="U33" s="20">
        <v>2.6</v>
      </c>
    </row>
    <row r="34" spans="1:22" ht="26.25" customHeight="1" x14ac:dyDescent="0.2">
      <c r="A34" s="21" t="s">
        <v>297</v>
      </c>
      <c r="B34" s="22" t="s">
        <v>298</v>
      </c>
      <c r="C34" s="22" t="s">
        <v>298</v>
      </c>
      <c r="D34" s="22" t="s">
        <v>298</v>
      </c>
      <c r="E34" s="22" t="s">
        <v>298</v>
      </c>
      <c r="F34" s="22" t="s">
        <v>298</v>
      </c>
      <c r="G34" s="22" t="s">
        <v>298</v>
      </c>
      <c r="H34" s="22" t="s">
        <v>298</v>
      </c>
      <c r="I34" s="22" t="s">
        <v>298</v>
      </c>
      <c r="J34" s="22" t="s">
        <v>298</v>
      </c>
      <c r="K34" s="22">
        <v>1</v>
      </c>
      <c r="L34" s="22">
        <v>0.7</v>
      </c>
      <c r="M34" s="22">
        <v>0.5</v>
      </c>
      <c r="N34" s="22">
        <v>0.5</v>
      </c>
      <c r="O34" s="22">
        <v>0.5</v>
      </c>
      <c r="P34" s="22">
        <v>0.3</v>
      </c>
      <c r="Q34" s="22">
        <v>0.6</v>
      </c>
      <c r="R34" s="22">
        <v>0.8</v>
      </c>
      <c r="S34" s="22">
        <v>0.4</v>
      </c>
      <c r="T34" s="22">
        <v>0</v>
      </c>
      <c r="U34" s="23">
        <v>0.7</v>
      </c>
    </row>
    <row r="35" spans="1:22" s="28" customFormat="1" ht="26.25" customHeight="1" thickBot="1" x14ac:dyDescent="0.25">
      <c r="A35" s="24" t="s">
        <v>299</v>
      </c>
      <c r="B35" s="25" t="s">
        <v>298</v>
      </c>
      <c r="C35" s="25" t="s">
        <v>298</v>
      </c>
      <c r="D35" s="25" t="s">
        <v>298</v>
      </c>
      <c r="E35" s="25" t="s">
        <v>298</v>
      </c>
      <c r="F35" s="25" t="s">
        <v>298</v>
      </c>
      <c r="G35" s="25" t="s">
        <v>298</v>
      </c>
      <c r="H35" s="25" t="s">
        <v>298</v>
      </c>
      <c r="I35" s="25" t="s">
        <v>298</v>
      </c>
      <c r="J35" s="25" t="s">
        <v>298</v>
      </c>
      <c r="K35" s="46">
        <v>1.9</v>
      </c>
      <c r="L35" s="25">
        <v>2</v>
      </c>
      <c r="M35" s="25">
        <v>2.1</v>
      </c>
      <c r="N35" s="25">
        <v>2.4</v>
      </c>
      <c r="O35" s="25">
        <v>1.9</v>
      </c>
      <c r="P35" s="25">
        <v>2.4</v>
      </c>
      <c r="Q35" s="25">
        <v>2</v>
      </c>
      <c r="R35" s="25">
        <v>2.1</v>
      </c>
      <c r="S35" s="25">
        <v>2.5</v>
      </c>
      <c r="T35" s="25">
        <v>2.4</v>
      </c>
      <c r="U35" s="26">
        <v>1.9</v>
      </c>
    </row>
    <row r="36" spans="1:22" s="28" customFormat="1" ht="25.5" customHeight="1" x14ac:dyDescent="0.2">
      <c r="A36" s="27" t="s">
        <v>342</v>
      </c>
      <c r="B36" s="27"/>
      <c r="C36" s="27"/>
      <c r="D36" s="27"/>
      <c r="E36" s="27"/>
      <c r="F36" s="27"/>
      <c r="G36" s="27"/>
      <c r="H36" s="27"/>
      <c r="I36" s="27"/>
      <c r="J36" s="27"/>
      <c r="K36" s="27"/>
      <c r="L36" s="27"/>
      <c r="M36" s="27"/>
      <c r="N36" s="27"/>
      <c r="O36" s="27"/>
    </row>
    <row r="37" spans="1:22" s="29" customFormat="1" ht="45.6" customHeight="1" thickBot="1" x14ac:dyDescent="0.25">
      <c r="A37" s="218" t="s">
        <v>343</v>
      </c>
      <c r="B37" s="218"/>
      <c r="C37" s="218"/>
      <c r="D37" s="218"/>
      <c r="E37" s="218"/>
      <c r="F37" s="218"/>
      <c r="G37" s="218"/>
      <c r="H37" s="218"/>
      <c r="I37" s="218"/>
      <c r="J37" s="218"/>
      <c r="K37" s="218"/>
      <c r="L37" s="218"/>
      <c r="M37" s="218"/>
      <c r="N37" s="218"/>
      <c r="O37" s="218"/>
    </row>
    <row r="38" spans="1:22" ht="26.25" customHeight="1" thickBot="1" x14ac:dyDescent="0.25">
      <c r="A38" s="15" t="s">
        <v>344</v>
      </c>
      <c r="B38" s="30" t="s">
        <v>276</v>
      </c>
      <c r="C38" s="30" t="s">
        <v>304</v>
      </c>
      <c r="D38" s="30" t="s">
        <v>345</v>
      </c>
      <c r="E38" s="30" t="s">
        <v>346</v>
      </c>
      <c r="F38" s="30" t="s">
        <v>347</v>
      </c>
      <c r="G38" s="30" t="s">
        <v>348</v>
      </c>
      <c r="H38" s="30" t="s">
        <v>349</v>
      </c>
      <c r="I38" s="16" t="s">
        <v>350</v>
      </c>
      <c r="J38" s="16" t="s">
        <v>284</v>
      </c>
      <c r="K38" s="16" t="s">
        <v>285</v>
      </c>
      <c r="L38" s="16" t="s">
        <v>286</v>
      </c>
      <c r="M38" s="16" t="s">
        <v>287</v>
      </c>
      <c r="N38" s="16" t="s">
        <v>288</v>
      </c>
      <c r="O38" s="16" t="s">
        <v>289</v>
      </c>
      <c r="P38" s="16" t="s">
        <v>290</v>
      </c>
      <c r="Q38" s="16" t="s">
        <v>291</v>
      </c>
      <c r="R38" s="16" t="s">
        <v>292</v>
      </c>
      <c r="S38" s="16" t="s">
        <v>293</v>
      </c>
      <c r="T38" s="16" t="s">
        <v>294</v>
      </c>
      <c r="U38" s="17" t="s">
        <v>295</v>
      </c>
    </row>
    <row r="39" spans="1:22" ht="26.25" customHeight="1" x14ac:dyDescent="0.2">
      <c r="A39" s="18" t="s">
        <v>296</v>
      </c>
      <c r="B39" s="19">
        <v>3</v>
      </c>
      <c r="C39" s="19">
        <v>2.5</v>
      </c>
      <c r="D39" s="19">
        <v>3.1</v>
      </c>
      <c r="E39" s="19">
        <v>3.4</v>
      </c>
      <c r="F39" s="19">
        <v>3.4</v>
      </c>
      <c r="G39" s="19">
        <v>3.2</v>
      </c>
      <c r="H39" s="19">
        <v>3.6</v>
      </c>
      <c r="I39" s="19">
        <v>2.5</v>
      </c>
      <c r="J39" s="19">
        <v>2.5</v>
      </c>
      <c r="K39" s="19">
        <v>2.9</v>
      </c>
      <c r="L39" s="19">
        <v>2.6</v>
      </c>
      <c r="M39" s="19">
        <v>2.5</v>
      </c>
      <c r="N39" s="19">
        <v>2.9</v>
      </c>
      <c r="O39" s="19">
        <v>2.4</v>
      </c>
      <c r="P39" s="19">
        <v>2.8</v>
      </c>
      <c r="Q39" s="19">
        <v>2.7</v>
      </c>
      <c r="R39" s="19">
        <v>2.9</v>
      </c>
      <c r="S39" s="19">
        <v>2.9</v>
      </c>
      <c r="T39" s="19">
        <v>2.2999999999999998</v>
      </c>
      <c r="U39" s="20">
        <v>2.6</v>
      </c>
    </row>
    <row r="40" spans="1:22" ht="26.25" customHeight="1" x14ac:dyDescent="0.2">
      <c r="A40" s="21" t="s">
        <v>297</v>
      </c>
      <c r="B40" s="22" t="s">
        <v>298</v>
      </c>
      <c r="C40" s="22" t="s">
        <v>298</v>
      </c>
      <c r="D40" s="22" t="s">
        <v>298</v>
      </c>
      <c r="E40" s="22" t="s">
        <v>298</v>
      </c>
      <c r="F40" s="22" t="s">
        <v>298</v>
      </c>
      <c r="G40" s="22" t="s">
        <v>298</v>
      </c>
      <c r="H40" s="22" t="s">
        <v>298</v>
      </c>
      <c r="I40" s="22" t="s">
        <v>298</v>
      </c>
      <c r="J40" s="22" t="s">
        <v>298</v>
      </c>
      <c r="K40" s="22">
        <v>1</v>
      </c>
      <c r="L40" s="22">
        <v>0.7</v>
      </c>
      <c r="M40" s="22">
        <v>0.5</v>
      </c>
      <c r="N40" s="22">
        <v>0.5</v>
      </c>
      <c r="O40" s="22">
        <v>0.5</v>
      </c>
      <c r="P40" s="22">
        <v>0.3</v>
      </c>
      <c r="Q40" s="22">
        <v>0.6</v>
      </c>
      <c r="R40" s="22">
        <v>0.8</v>
      </c>
      <c r="S40" s="22">
        <v>0.4</v>
      </c>
      <c r="T40" s="22">
        <v>0</v>
      </c>
      <c r="U40" s="23">
        <v>0.7</v>
      </c>
    </row>
    <row r="41" spans="1:22" ht="26.25" customHeight="1" thickBot="1" x14ac:dyDescent="0.25">
      <c r="A41" s="24" t="s">
        <v>299</v>
      </c>
      <c r="B41" s="25" t="s">
        <v>298</v>
      </c>
      <c r="C41" s="25" t="s">
        <v>298</v>
      </c>
      <c r="D41" s="25" t="s">
        <v>298</v>
      </c>
      <c r="E41" s="25" t="s">
        <v>298</v>
      </c>
      <c r="F41" s="25" t="s">
        <v>298</v>
      </c>
      <c r="G41" s="25" t="s">
        <v>298</v>
      </c>
      <c r="H41" s="25" t="s">
        <v>298</v>
      </c>
      <c r="I41" s="25" t="s">
        <v>298</v>
      </c>
      <c r="J41" s="25" t="s">
        <v>298</v>
      </c>
      <c r="K41" s="25">
        <v>1.9</v>
      </c>
      <c r="L41" s="25">
        <v>1.9</v>
      </c>
      <c r="M41" s="25">
        <v>2</v>
      </c>
      <c r="N41" s="25">
        <v>2.4</v>
      </c>
      <c r="O41" s="25">
        <v>1.9</v>
      </c>
      <c r="P41" s="25">
        <v>2.5</v>
      </c>
      <c r="Q41" s="25">
        <v>2.1</v>
      </c>
      <c r="R41" s="25">
        <v>2.1</v>
      </c>
      <c r="S41" s="25">
        <v>2.5</v>
      </c>
      <c r="T41" s="25">
        <v>2.2999999999999998</v>
      </c>
      <c r="U41" s="26">
        <v>1.9</v>
      </c>
    </row>
    <row r="42" spans="1:22" ht="21.6" customHeight="1" x14ac:dyDescent="0.2">
      <c r="A42" s="27" t="s">
        <v>351</v>
      </c>
      <c r="B42" s="32"/>
      <c r="C42" s="32"/>
      <c r="D42" s="32"/>
      <c r="E42" s="32"/>
      <c r="F42" s="32"/>
      <c r="G42" s="32"/>
      <c r="H42" s="32"/>
      <c r="I42" s="32"/>
      <c r="J42" s="32"/>
      <c r="K42" s="32"/>
      <c r="L42" s="32"/>
      <c r="M42" s="32"/>
      <c r="N42" s="32"/>
      <c r="O42" s="32"/>
    </row>
    <row r="43" spans="1:22" ht="18.95" customHeight="1" x14ac:dyDescent="0.2">
      <c r="A43" s="27" t="s">
        <v>352</v>
      </c>
      <c r="B43" s="32"/>
      <c r="C43" s="32"/>
      <c r="D43" s="32"/>
      <c r="E43" s="32"/>
      <c r="F43" s="32"/>
      <c r="G43" s="32"/>
      <c r="H43" s="32"/>
      <c r="I43" s="32"/>
      <c r="J43" s="32"/>
      <c r="K43" s="32"/>
      <c r="L43" s="32"/>
      <c r="M43" s="32"/>
      <c r="N43" s="32"/>
      <c r="O43" s="32"/>
    </row>
    <row r="44" spans="1:22" s="28" customFormat="1" ht="34.5" customHeight="1" x14ac:dyDescent="0.2">
      <c r="A44" s="218" t="s">
        <v>353</v>
      </c>
      <c r="B44" s="218"/>
      <c r="C44" s="218"/>
      <c r="D44" s="218"/>
      <c r="E44" s="218"/>
      <c r="F44" s="218"/>
      <c r="G44" s="218"/>
      <c r="H44" s="218"/>
      <c r="I44" s="218"/>
      <c r="J44" s="218"/>
      <c r="K44" s="218"/>
      <c r="L44" s="218"/>
      <c r="M44" s="218"/>
      <c r="N44" s="218"/>
      <c r="O44" s="218"/>
      <c r="P44" s="47"/>
      <c r="Q44" s="47"/>
    </row>
    <row r="45" spans="1:22" s="29" customFormat="1" ht="45.6" customHeight="1" thickBot="1" x14ac:dyDescent="0.25">
      <c r="A45" s="218" t="s">
        <v>354</v>
      </c>
      <c r="B45" s="218"/>
      <c r="C45" s="218"/>
      <c r="D45" s="218"/>
      <c r="E45" s="218"/>
      <c r="F45" s="218"/>
      <c r="G45" s="218"/>
      <c r="H45" s="218"/>
      <c r="I45" s="218"/>
      <c r="J45" s="218"/>
      <c r="K45" s="218"/>
      <c r="L45" s="218"/>
      <c r="M45" s="218"/>
      <c r="N45" s="218"/>
      <c r="O45" s="218"/>
    </row>
    <row r="46" spans="1:22" ht="26.25" customHeight="1" thickBot="1" x14ac:dyDescent="0.25">
      <c r="A46" s="48" t="s">
        <v>355</v>
      </c>
      <c r="B46" s="36" t="s">
        <v>356</v>
      </c>
      <c r="C46" s="36" t="s">
        <v>357</v>
      </c>
      <c r="D46" s="36" t="s">
        <v>358</v>
      </c>
      <c r="E46" s="36" t="s">
        <v>359</v>
      </c>
      <c r="F46" s="36" t="s">
        <v>360</v>
      </c>
      <c r="G46" s="36" t="s">
        <v>319</v>
      </c>
      <c r="H46" s="36" t="s">
        <v>320</v>
      </c>
      <c r="I46" s="36" t="s">
        <v>321</v>
      </c>
      <c r="J46" s="36" t="s">
        <v>322</v>
      </c>
      <c r="K46" s="36" t="s">
        <v>323</v>
      </c>
      <c r="L46" s="36" t="s">
        <v>324</v>
      </c>
      <c r="M46" s="36" t="s">
        <v>325</v>
      </c>
      <c r="N46" s="36" t="s">
        <v>326</v>
      </c>
      <c r="O46" s="36" t="s">
        <v>327</v>
      </c>
      <c r="P46" s="36" t="s">
        <v>328</v>
      </c>
      <c r="Q46" s="38" t="s">
        <v>329</v>
      </c>
      <c r="R46" s="38" t="s">
        <v>330</v>
      </c>
      <c r="S46" s="38" t="s">
        <v>331</v>
      </c>
      <c r="T46" s="38" t="s">
        <v>332</v>
      </c>
      <c r="U46" s="38" t="s">
        <v>333</v>
      </c>
      <c r="V46" s="39" t="s">
        <v>334</v>
      </c>
    </row>
    <row r="47" spans="1:22" ht="26.25" customHeight="1" x14ac:dyDescent="0.2">
      <c r="A47" s="18" t="s">
        <v>296</v>
      </c>
      <c r="B47" s="45">
        <v>3.4</v>
      </c>
      <c r="C47" s="45">
        <v>3.3</v>
      </c>
      <c r="D47" s="45">
        <v>3.5</v>
      </c>
      <c r="E47" s="45">
        <v>3.4</v>
      </c>
      <c r="F47" s="45">
        <v>3.3</v>
      </c>
      <c r="G47" s="45">
        <v>3.7</v>
      </c>
      <c r="H47" s="45">
        <v>3.4</v>
      </c>
      <c r="I47" s="45">
        <v>3.3</v>
      </c>
      <c r="J47" s="45">
        <v>3.6</v>
      </c>
      <c r="K47" s="45">
        <v>2.1</v>
      </c>
      <c r="L47" s="45">
        <v>2.6</v>
      </c>
      <c r="M47" s="19">
        <v>3</v>
      </c>
      <c r="N47" s="19">
        <v>2.6</v>
      </c>
      <c r="O47" s="19">
        <v>2.5</v>
      </c>
      <c r="P47" s="19">
        <v>2.9</v>
      </c>
      <c r="Q47" s="19">
        <v>2.4</v>
      </c>
      <c r="R47" s="19">
        <v>2.7</v>
      </c>
      <c r="S47" s="19">
        <v>2.7</v>
      </c>
      <c r="T47" s="19">
        <v>2.9</v>
      </c>
      <c r="U47" s="19">
        <v>3</v>
      </c>
      <c r="V47" s="20">
        <v>2.4</v>
      </c>
    </row>
    <row r="48" spans="1:22" ht="26.25" customHeight="1" x14ac:dyDescent="0.2">
      <c r="A48" s="21" t="s">
        <v>297</v>
      </c>
      <c r="B48" s="22" t="s">
        <v>298</v>
      </c>
      <c r="C48" s="22" t="s">
        <v>298</v>
      </c>
      <c r="D48" s="22" t="s">
        <v>298</v>
      </c>
      <c r="E48" s="22" t="s">
        <v>298</v>
      </c>
      <c r="F48" s="22" t="s">
        <v>298</v>
      </c>
      <c r="G48" s="22" t="s">
        <v>298</v>
      </c>
      <c r="H48" s="22" t="s">
        <v>298</v>
      </c>
      <c r="I48" s="22" t="s">
        <v>298</v>
      </c>
      <c r="J48" s="22" t="s">
        <v>298</v>
      </c>
      <c r="K48" s="22" t="s">
        <v>298</v>
      </c>
      <c r="L48" s="22" t="s">
        <v>298</v>
      </c>
      <c r="M48" s="22">
        <v>1</v>
      </c>
      <c r="N48" s="22">
        <v>0.7</v>
      </c>
      <c r="O48" s="22">
        <v>0.5</v>
      </c>
      <c r="P48" s="22">
        <v>0.5</v>
      </c>
      <c r="Q48" s="22">
        <v>0.5</v>
      </c>
      <c r="R48" s="22">
        <v>0.3</v>
      </c>
      <c r="S48" s="22">
        <v>0.6</v>
      </c>
      <c r="T48" s="22">
        <v>0.8</v>
      </c>
      <c r="U48" s="22">
        <v>0.4</v>
      </c>
      <c r="V48" s="23">
        <v>0</v>
      </c>
    </row>
    <row r="49" spans="1:23" ht="26.25" customHeight="1" thickBot="1" x14ac:dyDescent="0.25">
      <c r="A49" s="24" t="s">
        <v>299</v>
      </c>
      <c r="B49" s="25" t="s">
        <v>298</v>
      </c>
      <c r="C49" s="25" t="s">
        <v>298</v>
      </c>
      <c r="D49" s="25" t="s">
        <v>298</v>
      </c>
      <c r="E49" s="25" t="s">
        <v>298</v>
      </c>
      <c r="F49" s="25" t="s">
        <v>298</v>
      </c>
      <c r="G49" s="25" t="s">
        <v>298</v>
      </c>
      <c r="H49" s="25" t="s">
        <v>298</v>
      </c>
      <c r="I49" s="25" t="s">
        <v>298</v>
      </c>
      <c r="J49" s="25" t="s">
        <v>298</v>
      </c>
      <c r="K49" s="25" t="s">
        <v>298</v>
      </c>
      <c r="L49" s="25" t="s">
        <v>298</v>
      </c>
      <c r="M49" s="25">
        <v>2</v>
      </c>
      <c r="N49" s="25">
        <v>1.9</v>
      </c>
      <c r="O49" s="25">
        <v>2</v>
      </c>
      <c r="P49" s="25">
        <v>2.4</v>
      </c>
      <c r="Q49" s="25">
        <v>1.9</v>
      </c>
      <c r="R49" s="25">
        <v>2.4</v>
      </c>
      <c r="S49" s="25">
        <v>2.1</v>
      </c>
      <c r="T49" s="25">
        <v>2.1</v>
      </c>
      <c r="U49" s="25">
        <v>2.6</v>
      </c>
      <c r="V49" s="26">
        <v>2.4</v>
      </c>
    </row>
    <row r="50" spans="1:23" s="28" customFormat="1" ht="24.95" customHeight="1" x14ac:dyDescent="0.2">
      <c r="A50" s="27" t="s">
        <v>361</v>
      </c>
      <c r="B50" s="27"/>
      <c r="C50" s="27"/>
      <c r="D50" s="27"/>
      <c r="E50" s="27"/>
      <c r="F50" s="27"/>
      <c r="G50" s="27"/>
      <c r="H50" s="27"/>
      <c r="I50" s="27"/>
      <c r="J50" s="27"/>
      <c r="K50" s="27"/>
      <c r="L50" s="27"/>
      <c r="M50" s="27"/>
      <c r="N50" s="27"/>
      <c r="O50" s="27"/>
    </row>
    <row r="51" spans="1:23" s="29" customFormat="1" ht="38.25" customHeight="1" thickBot="1" x14ac:dyDescent="0.25">
      <c r="A51" s="218" t="s">
        <v>362</v>
      </c>
      <c r="B51" s="218"/>
      <c r="C51" s="218"/>
      <c r="D51" s="218"/>
      <c r="E51" s="218"/>
      <c r="F51" s="218"/>
      <c r="G51" s="218"/>
      <c r="H51" s="218"/>
      <c r="I51" s="218"/>
      <c r="J51" s="218"/>
      <c r="K51" s="218"/>
      <c r="L51" s="218"/>
      <c r="M51" s="218"/>
      <c r="N51" s="218"/>
      <c r="O51" s="218"/>
      <c r="P51" s="218"/>
      <c r="Q51" s="218"/>
    </row>
    <row r="52" spans="1:23" ht="26.25" customHeight="1" thickBot="1" x14ac:dyDescent="0.25">
      <c r="A52" s="48" t="s">
        <v>363</v>
      </c>
      <c r="B52" s="36" t="s">
        <v>364</v>
      </c>
      <c r="C52" s="36" t="s">
        <v>356</v>
      </c>
      <c r="D52" s="36" t="s">
        <v>357</v>
      </c>
      <c r="E52" s="36" t="s">
        <v>358</v>
      </c>
      <c r="F52" s="36" t="s">
        <v>359</v>
      </c>
      <c r="G52" s="36" t="s">
        <v>360</v>
      </c>
      <c r="H52" s="36" t="s">
        <v>319</v>
      </c>
      <c r="I52" s="36" t="s">
        <v>320</v>
      </c>
      <c r="J52" s="36" t="s">
        <v>321</v>
      </c>
      <c r="K52" s="36" t="s">
        <v>322</v>
      </c>
      <c r="L52" s="36" t="s">
        <v>323</v>
      </c>
      <c r="M52" s="36" t="s">
        <v>324</v>
      </c>
      <c r="N52" s="36" t="s">
        <v>325</v>
      </c>
      <c r="O52" s="36" t="s">
        <v>326</v>
      </c>
      <c r="P52" s="36" t="s">
        <v>327</v>
      </c>
      <c r="Q52" s="36" t="s">
        <v>365</v>
      </c>
      <c r="R52" s="36" t="s">
        <v>366</v>
      </c>
      <c r="S52" s="36" t="s">
        <v>330</v>
      </c>
      <c r="T52" s="36" t="s">
        <v>331</v>
      </c>
      <c r="U52" s="36" t="s">
        <v>332</v>
      </c>
      <c r="V52" s="49" t="s">
        <v>333</v>
      </c>
      <c r="W52" s="49" t="s">
        <v>334</v>
      </c>
    </row>
    <row r="53" spans="1:23" ht="26.25" customHeight="1" thickBot="1" x14ac:dyDescent="0.25">
      <c r="A53" s="50" t="s">
        <v>296</v>
      </c>
      <c r="B53" s="51">
        <v>2.4</v>
      </c>
      <c r="C53" s="51">
        <v>2.1</v>
      </c>
      <c r="D53" s="51">
        <v>2.6</v>
      </c>
      <c r="E53" s="51">
        <v>3</v>
      </c>
      <c r="F53" s="51">
        <v>2.9</v>
      </c>
      <c r="G53" s="51">
        <v>3.1</v>
      </c>
      <c r="H53" s="51">
        <v>2.8</v>
      </c>
      <c r="I53" s="51">
        <v>2.1</v>
      </c>
      <c r="J53" s="51">
        <v>1.8</v>
      </c>
      <c r="K53" s="51">
        <v>1.6</v>
      </c>
      <c r="L53" s="51">
        <v>1.2</v>
      </c>
      <c r="M53" s="51">
        <v>0.4</v>
      </c>
      <c r="N53" s="51">
        <v>0.6</v>
      </c>
      <c r="O53" s="51">
        <v>0.8</v>
      </c>
      <c r="P53" s="51">
        <v>0.8</v>
      </c>
      <c r="Q53" s="51">
        <v>0.8</v>
      </c>
      <c r="R53" s="51">
        <v>1.1000000000000001</v>
      </c>
      <c r="S53" s="51">
        <v>1.2</v>
      </c>
      <c r="T53" s="51">
        <v>1.4</v>
      </c>
      <c r="U53" s="51">
        <v>1.5</v>
      </c>
      <c r="V53" s="52">
        <v>1.9</v>
      </c>
      <c r="W53" s="52">
        <v>1.4</v>
      </c>
    </row>
    <row r="54" spans="1:23" ht="21.95" customHeight="1" x14ac:dyDescent="0.2">
      <c r="A54" s="27" t="s">
        <v>367</v>
      </c>
      <c r="B54" s="53"/>
      <c r="C54" s="53"/>
      <c r="D54" s="53"/>
      <c r="E54" s="53"/>
      <c r="F54" s="53"/>
      <c r="G54" s="53"/>
      <c r="H54" s="53"/>
      <c r="I54" s="53"/>
      <c r="J54" s="53"/>
      <c r="K54" s="53"/>
      <c r="L54" s="53"/>
      <c r="M54" s="53"/>
      <c r="N54" s="53"/>
      <c r="O54" s="53"/>
      <c r="P54" s="53"/>
      <c r="Q54" s="53"/>
      <c r="R54" s="53"/>
    </row>
    <row r="55" spans="1:23" ht="18.95" customHeight="1" x14ac:dyDescent="0.2">
      <c r="A55" s="218" t="s">
        <v>368</v>
      </c>
      <c r="B55" s="218"/>
      <c r="C55" s="218"/>
      <c r="D55" s="218"/>
      <c r="E55" s="218"/>
      <c r="F55" s="218"/>
      <c r="G55" s="218"/>
      <c r="H55" s="218"/>
      <c r="I55" s="218"/>
      <c r="J55" s="218"/>
      <c r="K55" s="218"/>
      <c r="L55" s="218"/>
      <c r="M55" s="218"/>
      <c r="N55" s="218"/>
      <c r="O55" s="218"/>
      <c r="P55" s="218"/>
      <c r="Q55" s="218"/>
      <c r="R55" s="218"/>
    </row>
    <row r="56" spans="1:23" s="29" customFormat="1" ht="18.95" customHeight="1" thickBot="1" x14ac:dyDescent="0.25">
      <c r="A56" s="219" t="s">
        <v>369</v>
      </c>
      <c r="B56" s="219"/>
      <c r="C56" s="219"/>
      <c r="D56" s="219"/>
      <c r="E56" s="219"/>
      <c r="F56" s="219"/>
      <c r="G56" s="219"/>
      <c r="H56" s="219"/>
      <c r="I56" s="219"/>
      <c r="J56" s="219"/>
      <c r="K56" s="219"/>
      <c r="L56" s="219"/>
      <c r="M56" s="219"/>
      <c r="N56" s="219"/>
    </row>
    <row r="57" spans="1:23" ht="37.5" customHeight="1" thickBot="1" x14ac:dyDescent="0.25">
      <c r="A57" s="44" t="s">
        <v>370</v>
      </c>
      <c r="B57" s="30" t="s">
        <v>347</v>
      </c>
      <c r="C57" s="30" t="s">
        <v>348</v>
      </c>
      <c r="D57" s="30" t="s">
        <v>371</v>
      </c>
      <c r="E57" s="30" t="s">
        <v>372</v>
      </c>
      <c r="F57" s="30" t="s">
        <v>373</v>
      </c>
      <c r="G57" s="30" t="s">
        <v>374</v>
      </c>
      <c r="H57" s="30" t="s">
        <v>286</v>
      </c>
      <c r="I57" s="16" t="s">
        <v>287</v>
      </c>
      <c r="J57" s="16" t="s">
        <v>288</v>
      </c>
      <c r="K57" s="16" t="s">
        <v>289</v>
      </c>
      <c r="L57" s="16" t="s">
        <v>290</v>
      </c>
      <c r="M57" s="16" t="s">
        <v>291</v>
      </c>
      <c r="N57" s="16" t="s">
        <v>292</v>
      </c>
      <c r="O57" s="17" t="s">
        <v>293</v>
      </c>
      <c r="P57" s="17" t="s">
        <v>294</v>
      </c>
      <c r="Q57" s="17" t="s">
        <v>295</v>
      </c>
    </row>
    <row r="58" spans="1:23" ht="26.25" customHeight="1" x14ac:dyDescent="0.2">
      <c r="A58" s="18" t="s">
        <v>296</v>
      </c>
      <c r="B58" s="45">
        <v>3.4</v>
      </c>
      <c r="C58" s="45">
        <v>3.2</v>
      </c>
      <c r="D58" s="19">
        <v>3.2</v>
      </c>
      <c r="E58" s="45">
        <v>2.1</v>
      </c>
      <c r="F58" s="45">
        <v>2.4</v>
      </c>
      <c r="G58" s="45">
        <v>3.2</v>
      </c>
      <c r="H58" s="45">
        <v>2.7</v>
      </c>
      <c r="I58" s="45">
        <v>2.6</v>
      </c>
      <c r="J58" s="45">
        <v>2.9</v>
      </c>
      <c r="K58" s="45">
        <v>2.4</v>
      </c>
      <c r="L58" s="19">
        <v>2.8</v>
      </c>
      <c r="M58" s="19">
        <v>2.6</v>
      </c>
      <c r="N58" s="19">
        <v>2.9</v>
      </c>
      <c r="O58" s="19">
        <v>2.9</v>
      </c>
      <c r="P58" s="19">
        <v>2.2000000000000002</v>
      </c>
      <c r="Q58" s="20">
        <v>2.7</v>
      </c>
    </row>
    <row r="59" spans="1:23" ht="26.25" customHeight="1" x14ac:dyDescent="0.2">
      <c r="A59" s="21" t="s">
        <v>297</v>
      </c>
      <c r="B59" s="22" t="s">
        <v>298</v>
      </c>
      <c r="C59" s="22" t="s">
        <v>298</v>
      </c>
      <c r="D59" s="22" t="s">
        <v>298</v>
      </c>
      <c r="E59" s="22" t="s">
        <v>298</v>
      </c>
      <c r="F59" s="22" t="s">
        <v>298</v>
      </c>
      <c r="G59" s="22" t="s">
        <v>298</v>
      </c>
      <c r="H59" s="54">
        <v>0.7</v>
      </c>
      <c r="I59" s="22">
        <v>0.5</v>
      </c>
      <c r="J59" s="22">
        <v>0.5</v>
      </c>
      <c r="K59" s="22">
        <v>0.5</v>
      </c>
      <c r="L59" s="22">
        <v>0.3</v>
      </c>
      <c r="M59" s="22">
        <v>0.6</v>
      </c>
      <c r="N59" s="22">
        <v>0.8</v>
      </c>
      <c r="O59" s="22">
        <v>0.4</v>
      </c>
      <c r="P59" s="22">
        <v>0</v>
      </c>
      <c r="Q59" s="23">
        <v>0.7</v>
      </c>
    </row>
    <row r="60" spans="1:23" ht="26.25" customHeight="1" thickBot="1" x14ac:dyDescent="0.25">
      <c r="A60" s="24" t="s">
        <v>299</v>
      </c>
      <c r="B60" s="25" t="s">
        <v>298</v>
      </c>
      <c r="C60" s="25" t="s">
        <v>298</v>
      </c>
      <c r="D60" s="25" t="s">
        <v>298</v>
      </c>
      <c r="E60" s="25" t="s">
        <v>298</v>
      </c>
      <c r="F60" s="25" t="s">
        <v>298</v>
      </c>
      <c r="G60" s="25" t="s">
        <v>298</v>
      </c>
      <c r="H60" s="25">
        <v>2</v>
      </c>
      <c r="I60" s="25">
        <v>2.1</v>
      </c>
      <c r="J60" s="25">
        <v>2.4</v>
      </c>
      <c r="K60" s="25">
        <v>1.9</v>
      </c>
      <c r="L60" s="25">
        <v>2.5</v>
      </c>
      <c r="M60" s="25">
        <v>2</v>
      </c>
      <c r="N60" s="25">
        <v>2.1</v>
      </c>
      <c r="O60" s="25">
        <v>2.5</v>
      </c>
      <c r="P60" s="25">
        <v>2.2000000000000002</v>
      </c>
      <c r="Q60" s="26">
        <v>2</v>
      </c>
    </row>
    <row r="61" spans="1:23" ht="20.100000000000001" customHeight="1" x14ac:dyDescent="0.2">
      <c r="A61" s="27" t="s">
        <v>375</v>
      </c>
      <c r="B61" s="32"/>
      <c r="C61" s="32"/>
      <c r="D61" s="32"/>
      <c r="E61" s="32"/>
      <c r="F61" s="32"/>
      <c r="G61" s="32"/>
      <c r="H61" s="32"/>
      <c r="I61" s="32"/>
      <c r="J61" s="32"/>
      <c r="K61" s="32"/>
      <c r="L61" s="32"/>
      <c r="M61" s="32"/>
      <c r="N61" s="32"/>
      <c r="O61" s="32"/>
    </row>
    <row r="62" spans="1:23" s="55" customFormat="1" ht="36" customHeight="1" x14ac:dyDescent="0.2">
      <c r="A62" s="218" t="s">
        <v>376</v>
      </c>
      <c r="B62" s="218"/>
      <c r="C62" s="218"/>
      <c r="D62" s="218"/>
      <c r="E62" s="218"/>
      <c r="F62" s="218"/>
      <c r="G62" s="218"/>
      <c r="H62" s="218"/>
      <c r="I62" s="218"/>
      <c r="J62" s="218"/>
      <c r="K62" s="218"/>
      <c r="L62" s="218"/>
      <c r="M62" s="218"/>
      <c r="N62" s="218"/>
      <c r="O62" s="218"/>
    </row>
    <row r="63" spans="1:23" s="29" customFormat="1" ht="47.45" customHeight="1" thickBot="1" x14ac:dyDescent="0.25">
      <c r="A63" s="218" t="s">
        <v>377</v>
      </c>
      <c r="B63" s="218"/>
      <c r="C63" s="218"/>
      <c r="D63" s="218"/>
      <c r="E63" s="218"/>
      <c r="F63" s="218"/>
      <c r="G63" s="218"/>
      <c r="H63" s="218"/>
      <c r="I63" s="218"/>
      <c r="J63" s="218"/>
      <c r="K63" s="218"/>
      <c r="L63" s="218"/>
      <c r="M63" s="218"/>
      <c r="N63" s="218"/>
      <c r="O63" s="218"/>
    </row>
    <row r="64" spans="1:23" ht="35.25" thickBot="1" x14ac:dyDescent="0.25">
      <c r="A64" s="35" t="s">
        <v>378</v>
      </c>
      <c r="B64" s="38" t="s">
        <v>325</v>
      </c>
      <c r="C64" s="38" t="s">
        <v>326</v>
      </c>
      <c r="D64" s="38" t="s">
        <v>327</v>
      </c>
      <c r="E64" s="38" t="s">
        <v>328</v>
      </c>
      <c r="F64" s="38" t="s">
        <v>329</v>
      </c>
      <c r="G64" s="38" t="s">
        <v>330</v>
      </c>
      <c r="H64" s="38" t="s">
        <v>331</v>
      </c>
      <c r="I64" s="38" t="s">
        <v>332</v>
      </c>
      <c r="J64" s="38" t="s">
        <v>333</v>
      </c>
      <c r="K64" s="39" t="s">
        <v>334</v>
      </c>
    </row>
    <row r="65" spans="1:15" ht="26.25" customHeight="1" x14ac:dyDescent="0.2">
      <c r="A65" s="56" t="s">
        <v>296</v>
      </c>
      <c r="B65" s="57">
        <v>3</v>
      </c>
      <c r="C65" s="58">
        <v>2.9</v>
      </c>
      <c r="D65" s="58">
        <v>3.2</v>
      </c>
      <c r="E65" s="58">
        <v>2.1</v>
      </c>
      <c r="F65" s="58">
        <v>1.8</v>
      </c>
      <c r="G65" s="58">
        <v>2.1</v>
      </c>
      <c r="H65" s="58">
        <v>1.9</v>
      </c>
      <c r="I65" s="58">
        <v>2.1</v>
      </c>
      <c r="J65" s="57">
        <v>2</v>
      </c>
      <c r="K65" s="59">
        <v>1.9</v>
      </c>
    </row>
    <row r="66" spans="1:15" ht="26.25" customHeight="1" x14ac:dyDescent="0.2">
      <c r="A66" s="21" t="s">
        <v>297</v>
      </c>
      <c r="B66" s="22">
        <v>0.9</v>
      </c>
      <c r="C66" s="22">
        <v>0.6</v>
      </c>
      <c r="D66" s="22">
        <v>0.4</v>
      </c>
      <c r="E66" s="22">
        <v>0.5</v>
      </c>
      <c r="F66" s="22">
        <v>0.4</v>
      </c>
      <c r="G66" s="22">
        <v>0.3</v>
      </c>
      <c r="H66" s="22">
        <v>0.6</v>
      </c>
      <c r="I66" s="22">
        <v>0.8</v>
      </c>
      <c r="J66" s="22">
        <v>0.3</v>
      </c>
      <c r="K66" s="23">
        <v>0.3</v>
      </c>
    </row>
    <row r="67" spans="1:15" ht="26.25" customHeight="1" thickBot="1" x14ac:dyDescent="0.25">
      <c r="A67" s="24" t="s">
        <v>299</v>
      </c>
      <c r="B67" s="46">
        <v>2.1</v>
      </c>
      <c r="C67" s="25">
        <v>2.2999999999999998</v>
      </c>
      <c r="D67" s="25">
        <v>2.8</v>
      </c>
      <c r="E67" s="25">
        <v>1.6</v>
      </c>
      <c r="F67" s="25">
        <v>1.4</v>
      </c>
      <c r="G67" s="25">
        <v>1.8</v>
      </c>
      <c r="H67" s="25">
        <v>1.3</v>
      </c>
      <c r="I67" s="25">
        <v>1.3</v>
      </c>
      <c r="J67" s="25">
        <v>1.7</v>
      </c>
      <c r="K67" s="26">
        <v>1.6</v>
      </c>
    </row>
    <row r="68" spans="1:15" ht="18.600000000000001" customHeight="1" x14ac:dyDescent="0.2">
      <c r="A68" s="27" t="s">
        <v>379</v>
      </c>
      <c r="B68" s="32"/>
      <c r="C68" s="32"/>
      <c r="D68" s="32"/>
      <c r="E68" s="32"/>
      <c r="F68" s="32"/>
      <c r="G68" s="32"/>
      <c r="H68" s="32"/>
      <c r="I68" s="32"/>
      <c r="J68" s="32"/>
      <c r="K68" s="32"/>
      <c r="L68" s="32"/>
      <c r="M68" s="32"/>
      <c r="N68" s="32"/>
      <c r="O68" s="32"/>
    </row>
    <row r="69" spans="1:15" ht="45.6" customHeight="1" thickBot="1" x14ac:dyDescent="0.25">
      <c r="A69" s="218" t="s">
        <v>380</v>
      </c>
      <c r="B69" s="218"/>
      <c r="C69" s="218"/>
      <c r="D69" s="218"/>
      <c r="E69" s="218"/>
      <c r="F69" s="218"/>
      <c r="G69" s="218"/>
      <c r="H69" s="218"/>
      <c r="I69" s="218"/>
      <c r="J69" s="218"/>
      <c r="K69" s="218"/>
      <c r="L69" s="218"/>
      <c r="M69" s="218"/>
      <c r="N69" s="218"/>
      <c r="O69" s="218"/>
    </row>
    <row r="70" spans="1:15" ht="34.5" x14ac:dyDescent="0.2">
      <c r="A70" s="60" t="s">
        <v>381</v>
      </c>
      <c r="B70" s="61" t="s">
        <v>330</v>
      </c>
      <c r="C70" s="61" t="s">
        <v>331</v>
      </c>
      <c r="D70" s="61" t="s">
        <v>332</v>
      </c>
      <c r="E70" s="61" t="s">
        <v>333</v>
      </c>
      <c r="F70" s="62" t="s">
        <v>334</v>
      </c>
    </row>
    <row r="71" spans="1:15" ht="26.25" customHeight="1" x14ac:dyDescent="0.2">
      <c r="A71" s="21" t="s">
        <v>382</v>
      </c>
      <c r="B71" s="54">
        <v>2.2000000000000002</v>
      </c>
      <c r="C71" s="54">
        <v>2.2999999999999998</v>
      </c>
      <c r="D71" s="54">
        <v>2.4</v>
      </c>
      <c r="E71" s="54">
        <v>2.7</v>
      </c>
      <c r="F71" s="63">
        <v>2.4</v>
      </c>
    </row>
    <row r="72" spans="1:15" ht="26.25" customHeight="1" x14ac:dyDescent="0.2">
      <c r="A72" s="21" t="s">
        <v>383</v>
      </c>
      <c r="B72" s="22">
        <v>0.4</v>
      </c>
      <c r="C72" s="22">
        <v>0.4</v>
      </c>
      <c r="D72" s="22">
        <v>0.5</v>
      </c>
      <c r="E72" s="22">
        <v>0.5</v>
      </c>
      <c r="F72" s="23">
        <v>0.7</v>
      </c>
    </row>
    <row r="73" spans="1:15" ht="26.25" customHeight="1" thickBot="1" x14ac:dyDescent="0.25">
      <c r="A73" s="24" t="s">
        <v>299</v>
      </c>
      <c r="B73" s="25">
        <v>1.8</v>
      </c>
      <c r="C73" s="25">
        <v>1.9</v>
      </c>
      <c r="D73" s="25">
        <v>1.9</v>
      </c>
      <c r="E73" s="25">
        <v>2.2000000000000002</v>
      </c>
      <c r="F73" s="26">
        <v>1.7</v>
      </c>
    </row>
    <row r="74" spans="1:15" ht="21.95" customHeight="1" x14ac:dyDescent="0.2">
      <c r="A74" s="27" t="s">
        <v>384</v>
      </c>
      <c r="B74" s="32"/>
      <c r="C74" s="32"/>
      <c r="D74" s="32"/>
      <c r="E74" s="32"/>
      <c r="F74" s="32"/>
      <c r="G74" s="32"/>
      <c r="H74" s="32"/>
      <c r="I74" s="32"/>
      <c r="J74" s="32"/>
    </row>
    <row r="75" spans="1:15" ht="21" customHeight="1" x14ac:dyDescent="0.2">
      <c r="A75" s="218" t="s">
        <v>385</v>
      </c>
      <c r="B75" s="218"/>
      <c r="C75" s="218"/>
      <c r="D75" s="218"/>
      <c r="E75" s="218"/>
      <c r="F75" s="218"/>
      <c r="G75" s="218"/>
      <c r="H75" s="218"/>
      <c r="I75" s="218"/>
      <c r="J75" s="218"/>
      <c r="K75" s="218"/>
      <c r="L75" s="218"/>
      <c r="M75" s="218"/>
      <c r="N75" s="218"/>
      <c r="O75" s="218"/>
    </row>
    <row r="76" spans="1:15" x14ac:dyDescent="0.2">
      <c r="A76" s="64">
        <v>44452</v>
      </c>
    </row>
  </sheetData>
  <mergeCells count="13">
    <mergeCell ref="A45:O45"/>
    <mergeCell ref="A9:R9"/>
    <mergeCell ref="A17:R17"/>
    <mergeCell ref="A28:R28"/>
    <mergeCell ref="A37:O37"/>
    <mergeCell ref="A44:O44"/>
    <mergeCell ref="A75:O75"/>
    <mergeCell ref="A51:Q51"/>
    <mergeCell ref="A55:R55"/>
    <mergeCell ref="A56:N56"/>
    <mergeCell ref="A62:O62"/>
    <mergeCell ref="A63:O63"/>
    <mergeCell ref="A69:O69"/>
  </mergeCells>
  <pageMargins left="0.32" right="0" top="0.53" bottom="0.51" header="0.5" footer="0.5"/>
  <pageSetup scale="47" fitToHeight="2" orientation="landscape" r:id="rId1"/>
  <headerFooter alignWithMargins="0"/>
  <rowBreaks count="1" manualBreakCount="1">
    <brk id="3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FF4BD-0A4D-4DB7-A617-40808CFA868D}">
  <sheetPr>
    <pageSetUpPr fitToPage="1"/>
  </sheetPr>
  <dimension ref="A1:AU88"/>
  <sheetViews>
    <sheetView zoomScale="90" zoomScaleNormal="90" workbookViewId="0">
      <pane ySplit="1" topLeftCell="A26" activePane="bottomLeft" state="frozen"/>
      <selection pane="bottomLeft" activeCell="F54" sqref="F54"/>
    </sheetView>
  </sheetViews>
  <sheetFormatPr defaultRowHeight="12.75" x14ac:dyDescent="0.2"/>
  <cols>
    <col min="1" max="1" width="9" style="5" customWidth="1"/>
    <col min="2" max="2" width="8.5" style="5" bestFit="1" customWidth="1"/>
    <col min="3" max="3" width="6.69921875" style="5" bestFit="1" customWidth="1"/>
    <col min="4" max="4" width="66.3984375" style="90" bestFit="1" customWidth="1"/>
    <col min="5" max="5" width="15.5" style="89" customWidth="1"/>
    <col min="6" max="6" width="11.59765625" style="4" customWidth="1"/>
    <col min="7" max="7" width="10" style="86" customWidth="1"/>
    <col min="8" max="8" width="10.09765625" style="88" customWidth="1"/>
    <col min="9" max="9" width="11.8984375" style="4" customWidth="1"/>
    <col min="10" max="10" width="10.796875" style="4" customWidth="1"/>
    <col min="11" max="11" width="8.796875" style="87" customWidth="1"/>
    <col min="12" max="12" width="11.69921875" style="86" customWidth="1"/>
    <col min="13" max="13" width="13.19921875" style="4" bestFit="1" customWidth="1"/>
    <col min="14" max="14" width="12.796875" style="4" bestFit="1" customWidth="1"/>
    <col min="15" max="16384" width="8.796875" style="4"/>
  </cols>
  <sheetData>
    <row r="1" spans="1:14" s="137" customFormat="1" ht="59.25" customHeight="1" thickBot="1" x14ac:dyDescent="0.25">
      <c r="A1" s="140" t="s">
        <v>386</v>
      </c>
      <c r="B1" s="140" t="s">
        <v>387</v>
      </c>
      <c r="C1" s="140" t="s">
        <v>388</v>
      </c>
      <c r="D1" s="140" t="s">
        <v>389</v>
      </c>
      <c r="E1" s="142" t="s">
        <v>390</v>
      </c>
      <c r="F1" s="140" t="s">
        <v>391</v>
      </c>
      <c r="G1" s="138" t="s">
        <v>392</v>
      </c>
      <c r="H1" s="141" t="s">
        <v>393</v>
      </c>
      <c r="I1" s="140" t="s">
        <v>394</v>
      </c>
      <c r="J1" s="140" t="s">
        <v>395</v>
      </c>
      <c r="K1" s="139" t="s">
        <v>396</v>
      </c>
      <c r="L1" s="138" t="s">
        <v>397</v>
      </c>
      <c r="M1" s="138" t="s">
        <v>398</v>
      </c>
      <c r="N1" s="138" t="s">
        <v>399</v>
      </c>
    </row>
    <row r="2" spans="1:14" ht="14.1" customHeight="1" x14ac:dyDescent="0.2">
      <c r="A2" s="136" t="s">
        <v>400</v>
      </c>
      <c r="B2" s="136" t="s">
        <v>401</v>
      </c>
      <c r="C2" s="136" t="s">
        <v>143</v>
      </c>
      <c r="D2" s="135" t="s">
        <v>144</v>
      </c>
      <c r="E2" s="134">
        <v>43008</v>
      </c>
      <c r="F2" s="133">
        <v>410.24</v>
      </c>
      <c r="G2" s="129">
        <v>92541.54</v>
      </c>
      <c r="H2" s="132">
        <f t="shared" ref="H2:H33" si="0">F2*G2</f>
        <v>37964241.369599998</v>
      </c>
      <c r="I2" s="131">
        <f>115341+3503+16928</f>
        <v>135772</v>
      </c>
      <c r="J2" s="131">
        <f>217421+10563+7848</f>
        <v>235832</v>
      </c>
      <c r="K2" s="130">
        <f t="shared" ref="K2:K33" si="1">I2/J2</f>
        <v>0.57571491570270361</v>
      </c>
      <c r="L2" s="129">
        <f t="shared" ref="L2:L33" si="2">H2*K2</f>
        <v>21856580.019816358</v>
      </c>
      <c r="M2" s="128">
        <f t="shared" ref="M2:M33" si="3">L2*0.4192</f>
        <v>9162278.3443070166</v>
      </c>
      <c r="N2" s="127">
        <f t="shared" ref="N2:N33" si="4">L2-M2</f>
        <v>12694301.675509341</v>
      </c>
    </row>
    <row r="3" spans="1:14" ht="14.1" customHeight="1" x14ac:dyDescent="0.2">
      <c r="A3" s="103" t="s">
        <v>402</v>
      </c>
      <c r="B3" s="103" t="s">
        <v>403</v>
      </c>
      <c r="C3" s="103" t="s">
        <v>145</v>
      </c>
      <c r="D3" s="102" t="s">
        <v>404</v>
      </c>
      <c r="E3" s="101">
        <v>43342</v>
      </c>
      <c r="F3" s="100">
        <f>539.01+6.04</f>
        <v>545.04999999999995</v>
      </c>
      <c r="G3" s="96">
        <v>94819.12</v>
      </c>
      <c r="H3" s="99">
        <f t="shared" si="0"/>
        <v>51681161.355999991</v>
      </c>
      <c r="I3" s="105">
        <f>26020+66317+1609+1557+1281</f>
        <v>96784</v>
      </c>
      <c r="J3" s="105">
        <f>273148+6721+11407+2627+3103+4</f>
        <v>297010</v>
      </c>
      <c r="K3" s="104">
        <f t="shared" si="1"/>
        <v>0.32586108211844717</v>
      </c>
      <c r="L3" s="96">
        <f t="shared" si="2"/>
        <v>16840879.164604232</v>
      </c>
      <c r="M3" s="95">
        <f t="shared" si="3"/>
        <v>7059696.545802094</v>
      </c>
      <c r="N3" s="94">
        <f t="shared" si="4"/>
        <v>9781182.6188021377</v>
      </c>
    </row>
    <row r="4" spans="1:14" ht="14.1" customHeight="1" x14ac:dyDescent="0.2">
      <c r="A4" s="103">
        <v>137249208</v>
      </c>
      <c r="B4" s="103" t="s">
        <v>405</v>
      </c>
      <c r="C4" s="103" t="s">
        <v>147</v>
      </c>
      <c r="D4" s="102" t="s">
        <v>148</v>
      </c>
      <c r="E4" s="101">
        <v>43343</v>
      </c>
      <c r="F4" s="100">
        <v>366.74</v>
      </c>
      <c r="G4" s="96">
        <v>140545.43</v>
      </c>
      <c r="H4" s="99">
        <f t="shared" si="0"/>
        <v>51543630.998199999</v>
      </c>
      <c r="I4" s="98">
        <f>32099+5040</f>
        <v>37139</v>
      </c>
      <c r="J4" s="98">
        <f>170504+3928+13638+1853</f>
        <v>189923</v>
      </c>
      <c r="K4" s="97">
        <f t="shared" si="1"/>
        <v>0.19554766931861861</v>
      </c>
      <c r="L4" s="96">
        <f t="shared" si="2"/>
        <v>10079236.909916913</v>
      </c>
      <c r="M4" s="95">
        <f t="shared" si="3"/>
        <v>4225216.1126371706</v>
      </c>
      <c r="N4" s="94">
        <f t="shared" si="4"/>
        <v>5854020.7972797425</v>
      </c>
    </row>
    <row r="5" spans="1:14" ht="14.1" customHeight="1" x14ac:dyDescent="0.2">
      <c r="A5" s="103" t="s">
        <v>406</v>
      </c>
      <c r="B5" s="103" t="s">
        <v>407</v>
      </c>
      <c r="C5" s="103" t="s">
        <v>173</v>
      </c>
      <c r="D5" s="102" t="s">
        <v>408</v>
      </c>
      <c r="E5" s="101">
        <v>43281</v>
      </c>
      <c r="F5" s="100">
        <v>80.930000000000007</v>
      </c>
      <c r="G5" s="96">
        <v>90325.75</v>
      </c>
      <c r="H5" s="99">
        <f t="shared" si="0"/>
        <v>7310062.9475000007</v>
      </c>
      <c r="I5" s="105">
        <f>22566+3333</f>
        <v>25899</v>
      </c>
      <c r="J5" s="105">
        <f>38295+1951</f>
        <v>40246</v>
      </c>
      <c r="K5" s="104">
        <f t="shared" si="1"/>
        <v>0.64351736818565819</v>
      </c>
      <c r="L5" s="96">
        <f t="shared" si="2"/>
        <v>4704152.4692466957</v>
      </c>
      <c r="M5" s="95">
        <f t="shared" si="3"/>
        <v>1971980.7151082149</v>
      </c>
      <c r="N5" s="94">
        <f t="shared" si="4"/>
        <v>2732171.7541384809</v>
      </c>
    </row>
    <row r="6" spans="1:14" ht="14.1" customHeight="1" x14ac:dyDescent="0.2">
      <c r="A6" s="103" t="s">
        <v>409</v>
      </c>
      <c r="B6" s="103" t="s">
        <v>410</v>
      </c>
      <c r="C6" s="103" t="s">
        <v>105</v>
      </c>
      <c r="D6" s="102" t="s">
        <v>411</v>
      </c>
      <c r="E6" s="101">
        <v>43281</v>
      </c>
      <c r="F6" s="100">
        <v>51.64</v>
      </c>
      <c r="G6" s="96">
        <v>93887.64</v>
      </c>
      <c r="H6" s="99">
        <f t="shared" si="0"/>
        <v>4848357.7296000002</v>
      </c>
      <c r="I6" s="105">
        <f>21821+3440+2239</f>
        <v>27500</v>
      </c>
      <c r="J6" s="105">
        <f>30939+2230+3158</f>
        <v>36327</v>
      </c>
      <c r="K6" s="104">
        <f t="shared" si="1"/>
        <v>0.75701269028546259</v>
      </c>
      <c r="L6" s="96">
        <f t="shared" si="2"/>
        <v>3670268.3283508136</v>
      </c>
      <c r="M6" s="95">
        <f t="shared" si="3"/>
        <v>1538576.483244661</v>
      </c>
      <c r="N6" s="94">
        <f t="shared" si="4"/>
        <v>2131691.8451061528</v>
      </c>
    </row>
    <row r="7" spans="1:14" ht="14.1" customHeight="1" x14ac:dyDescent="0.2">
      <c r="A7" s="103" t="s">
        <v>412</v>
      </c>
      <c r="B7" s="103" t="s">
        <v>413</v>
      </c>
      <c r="C7" s="103" t="s">
        <v>123</v>
      </c>
      <c r="D7" s="102" t="s">
        <v>124</v>
      </c>
      <c r="E7" s="101">
        <v>43343</v>
      </c>
      <c r="F7" s="100">
        <v>50.32</v>
      </c>
      <c r="G7" s="96">
        <v>87284.44</v>
      </c>
      <c r="H7" s="99">
        <f t="shared" si="0"/>
        <v>4392153.0208000001</v>
      </c>
      <c r="I7" s="105">
        <f>5001+812</f>
        <v>5813</v>
      </c>
      <c r="J7" s="105">
        <f>7953+1395</f>
        <v>9348</v>
      </c>
      <c r="K7" s="104">
        <f t="shared" si="1"/>
        <v>0.62184424475823707</v>
      </c>
      <c r="L7" s="96">
        <f t="shared" si="2"/>
        <v>2731235.0780819855</v>
      </c>
      <c r="M7" s="95">
        <f t="shared" si="3"/>
        <v>1144933.7447319683</v>
      </c>
      <c r="N7" s="94">
        <f t="shared" si="4"/>
        <v>1586301.3333500172</v>
      </c>
    </row>
    <row r="8" spans="1:14" ht="14.1" customHeight="1" x14ac:dyDescent="0.2">
      <c r="A8" s="103" t="s">
        <v>414</v>
      </c>
      <c r="B8" s="103" t="s">
        <v>415</v>
      </c>
      <c r="C8" s="103" t="s">
        <v>137</v>
      </c>
      <c r="D8" s="102" t="s">
        <v>416</v>
      </c>
      <c r="E8" s="101">
        <v>43281</v>
      </c>
      <c r="F8" s="100">
        <v>192.18</v>
      </c>
      <c r="G8" s="96">
        <v>92526.59</v>
      </c>
      <c r="H8" s="99">
        <f t="shared" si="0"/>
        <v>17781760.066199999</v>
      </c>
      <c r="I8" s="105">
        <f>13722+19520+471</f>
        <v>33713</v>
      </c>
      <c r="J8" s="105">
        <f>235231+11017+1536</f>
        <v>247784</v>
      </c>
      <c r="K8" s="104">
        <f t="shared" si="1"/>
        <v>0.13605801827398056</v>
      </c>
      <c r="L8" s="96">
        <f t="shared" si="2"/>
        <v>2419351.0360305775</v>
      </c>
      <c r="M8" s="95">
        <f t="shared" si="3"/>
        <v>1014191.9543040182</v>
      </c>
      <c r="N8" s="94">
        <f t="shared" si="4"/>
        <v>1405159.0817265594</v>
      </c>
    </row>
    <row r="9" spans="1:14" ht="14.1" customHeight="1" x14ac:dyDescent="0.2">
      <c r="A9" s="103" t="s">
        <v>417</v>
      </c>
      <c r="B9" s="103" t="s">
        <v>418</v>
      </c>
      <c r="C9" s="103" t="s">
        <v>85</v>
      </c>
      <c r="D9" s="102" t="s">
        <v>86</v>
      </c>
      <c r="E9" s="101">
        <v>43039</v>
      </c>
      <c r="F9" s="100">
        <v>35.200000000000003</v>
      </c>
      <c r="G9" s="96">
        <v>154779.65</v>
      </c>
      <c r="H9" s="99">
        <f t="shared" si="0"/>
        <v>5448243.6800000006</v>
      </c>
      <c r="I9" s="98">
        <f>10864+4094+694+15154+969+1437</f>
        <v>33212</v>
      </c>
      <c r="J9" s="98">
        <f>56403+20956+3268+1568+3615</f>
        <v>85810</v>
      </c>
      <c r="K9" s="97">
        <f t="shared" si="1"/>
        <v>0.38704113739657381</v>
      </c>
      <c r="L9" s="96">
        <f t="shared" si="2"/>
        <v>2108694.4307208951</v>
      </c>
      <c r="M9" s="95">
        <f t="shared" si="3"/>
        <v>883964.70535819919</v>
      </c>
      <c r="N9" s="94">
        <f t="shared" si="4"/>
        <v>1224729.7253626958</v>
      </c>
    </row>
    <row r="10" spans="1:14" ht="14.1" customHeight="1" x14ac:dyDescent="0.2">
      <c r="A10" s="103" t="s">
        <v>419</v>
      </c>
      <c r="B10" s="103" t="s">
        <v>420</v>
      </c>
      <c r="C10" s="103" t="s">
        <v>129</v>
      </c>
      <c r="D10" s="102" t="s">
        <v>421</v>
      </c>
      <c r="E10" s="101">
        <v>43281</v>
      </c>
      <c r="F10" s="100">
        <v>137.93</v>
      </c>
      <c r="G10" s="96">
        <v>90325.75</v>
      </c>
      <c r="H10" s="99">
        <f t="shared" si="0"/>
        <v>12458630.6975</v>
      </c>
      <c r="I10" s="98">
        <f>7628+3261</f>
        <v>10889</v>
      </c>
      <c r="J10" s="98">
        <f>63390+3217</f>
        <v>66607</v>
      </c>
      <c r="K10" s="97">
        <f t="shared" si="1"/>
        <v>0.16348131577762098</v>
      </c>
      <c r="L10" s="96">
        <f t="shared" si="2"/>
        <v>2036753.3392147599</v>
      </c>
      <c r="M10" s="95">
        <f t="shared" si="3"/>
        <v>853806.99979882734</v>
      </c>
      <c r="N10" s="94">
        <f t="shared" si="4"/>
        <v>1182946.3394159325</v>
      </c>
    </row>
    <row r="11" spans="1:14" ht="14.1" customHeight="1" x14ac:dyDescent="0.2">
      <c r="A11" s="103" t="s">
        <v>422</v>
      </c>
      <c r="B11" s="103" t="s">
        <v>423</v>
      </c>
      <c r="C11" s="103" t="s">
        <v>139</v>
      </c>
      <c r="D11" s="102" t="s">
        <v>424</v>
      </c>
      <c r="E11" s="101">
        <v>43281</v>
      </c>
      <c r="F11" s="100">
        <v>197.77</v>
      </c>
      <c r="G11" s="96">
        <v>90381.67</v>
      </c>
      <c r="H11" s="99">
        <f t="shared" si="0"/>
        <v>17874782.8759</v>
      </c>
      <c r="I11" s="105">
        <f>10931+3297+37</f>
        <v>14265</v>
      </c>
      <c r="J11" s="105">
        <f>152003+6353+12455</f>
        <v>170811</v>
      </c>
      <c r="K11" s="104">
        <f t="shared" si="1"/>
        <v>8.3513356868117394E-2</v>
      </c>
      <c r="L11" s="96">
        <f t="shared" si="2"/>
        <v>1492783.1212551505</v>
      </c>
      <c r="M11" s="95">
        <f t="shared" si="3"/>
        <v>625774.68443015916</v>
      </c>
      <c r="N11" s="94">
        <f t="shared" si="4"/>
        <v>867008.43682499137</v>
      </c>
    </row>
    <row r="12" spans="1:14" ht="14.1" customHeight="1" x14ac:dyDescent="0.2">
      <c r="A12" s="103" t="s">
        <v>425</v>
      </c>
      <c r="B12" s="103" t="s">
        <v>426</v>
      </c>
      <c r="C12" s="103" t="s">
        <v>133</v>
      </c>
      <c r="D12" s="102" t="s">
        <v>427</v>
      </c>
      <c r="E12" s="101">
        <v>43281</v>
      </c>
      <c r="F12" s="100">
        <v>62.82</v>
      </c>
      <c r="G12" s="96">
        <v>92526.59</v>
      </c>
      <c r="H12" s="99">
        <f t="shared" si="0"/>
        <v>5812520.3838</v>
      </c>
      <c r="I12" s="105">
        <f>22950+4440+247</f>
        <v>27637</v>
      </c>
      <c r="J12" s="105">
        <f>89059+16099+957+1932</f>
        <v>108047</v>
      </c>
      <c r="K12" s="104">
        <f t="shared" si="1"/>
        <v>0.2557868335076402</v>
      </c>
      <c r="L12" s="96">
        <f t="shared" si="2"/>
        <v>1486766.1836708155</v>
      </c>
      <c r="M12" s="95">
        <f t="shared" si="3"/>
        <v>623252.38419480587</v>
      </c>
      <c r="N12" s="94">
        <f t="shared" si="4"/>
        <v>863513.79947600968</v>
      </c>
    </row>
    <row r="13" spans="1:14" ht="14.1" customHeight="1" x14ac:dyDescent="0.2">
      <c r="A13" s="103" t="s">
        <v>428</v>
      </c>
      <c r="B13" s="103" t="s">
        <v>429</v>
      </c>
      <c r="C13" s="103" t="s">
        <v>177</v>
      </c>
      <c r="D13" s="102" t="s">
        <v>178</v>
      </c>
      <c r="E13" s="101">
        <v>43100</v>
      </c>
      <c r="F13" s="100">
        <f>224.99+3.33</f>
        <v>228.32000000000002</v>
      </c>
      <c r="G13" s="96">
        <v>93041.47</v>
      </c>
      <c r="H13" s="99">
        <f t="shared" si="0"/>
        <v>21243228.430400003</v>
      </c>
      <c r="I13" s="105">
        <f>10390+5523+239+125+61+141</f>
        <v>16479</v>
      </c>
      <c r="J13" s="105">
        <f>235309+6146+9299+23159+2849</f>
        <v>276762</v>
      </c>
      <c r="K13" s="104">
        <f t="shared" si="1"/>
        <v>5.9542133674420621E-2</v>
      </c>
      <c r="L13" s="96">
        <f t="shared" si="2"/>
        <v>1264867.1468791296</v>
      </c>
      <c r="M13" s="95">
        <f t="shared" si="3"/>
        <v>530232.30797173118</v>
      </c>
      <c r="N13" s="94">
        <f t="shared" si="4"/>
        <v>734634.8389073984</v>
      </c>
    </row>
    <row r="14" spans="1:14" ht="14.1" customHeight="1" x14ac:dyDescent="0.2">
      <c r="A14" s="103" t="s">
        <v>430</v>
      </c>
      <c r="B14" s="103" t="s">
        <v>431</v>
      </c>
      <c r="C14" s="103" t="s">
        <v>96</v>
      </c>
      <c r="D14" s="102" t="s">
        <v>432</v>
      </c>
      <c r="E14" s="101">
        <v>43343</v>
      </c>
      <c r="F14" s="100">
        <v>44.86</v>
      </c>
      <c r="G14" s="96">
        <v>104195.41</v>
      </c>
      <c r="H14" s="99">
        <f t="shared" si="0"/>
        <v>4674206.0926000001</v>
      </c>
      <c r="I14" s="98">
        <f>25500+38+3475+977</f>
        <v>29990</v>
      </c>
      <c r="J14" s="98">
        <f>101975+544+3444+5865+1354</f>
        <v>113182</v>
      </c>
      <c r="K14" s="97">
        <f t="shared" si="1"/>
        <v>0.26497146189323389</v>
      </c>
      <c r="L14" s="96">
        <f t="shared" si="2"/>
        <v>1238531.2215464825</v>
      </c>
      <c r="M14" s="95">
        <f t="shared" si="3"/>
        <v>519192.28807228548</v>
      </c>
      <c r="N14" s="94">
        <f t="shared" si="4"/>
        <v>719338.93347419705</v>
      </c>
    </row>
    <row r="15" spans="1:14" ht="14.1" customHeight="1" x14ac:dyDescent="0.2">
      <c r="A15" s="103" t="s">
        <v>433</v>
      </c>
      <c r="B15" s="103" t="s">
        <v>434</v>
      </c>
      <c r="C15" s="103" t="s">
        <v>127</v>
      </c>
      <c r="D15" s="102" t="s">
        <v>435</v>
      </c>
      <c r="E15" s="101">
        <v>43281</v>
      </c>
      <c r="F15" s="100">
        <v>47.39</v>
      </c>
      <c r="G15" s="96">
        <v>125202.41</v>
      </c>
      <c r="H15" s="99">
        <f t="shared" si="0"/>
        <v>5933342.2099000001</v>
      </c>
      <c r="I15" s="105">
        <f>33296+38458+271+1894+64</f>
        <v>73983</v>
      </c>
      <c r="J15" s="105">
        <f>325748+19820+29887+2341+180+2985</f>
        <v>380961</v>
      </c>
      <c r="K15" s="104">
        <f t="shared" si="1"/>
        <v>0.1942009812028003</v>
      </c>
      <c r="L15" s="96">
        <f t="shared" si="2"/>
        <v>1152260.8789745716</v>
      </c>
      <c r="M15" s="95">
        <f t="shared" si="3"/>
        <v>483027.7604661404</v>
      </c>
      <c r="N15" s="94">
        <f t="shared" si="4"/>
        <v>669233.11850843113</v>
      </c>
    </row>
    <row r="16" spans="1:14" ht="14.1" customHeight="1" x14ac:dyDescent="0.2">
      <c r="A16" s="126" t="s">
        <v>436</v>
      </c>
      <c r="B16" s="126" t="s">
        <v>437</v>
      </c>
      <c r="C16" s="126" t="s">
        <v>141</v>
      </c>
      <c r="D16" s="125" t="s">
        <v>142</v>
      </c>
      <c r="E16" s="124">
        <v>43100</v>
      </c>
      <c r="F16" s="123">
        <v>106.57</v>
      </c>
      <c r="G16" s="119">
        <v>90436.15</v>
      </c>
      <c r="H16" s="122">
        <f t="shared" si="0"/>
        <v>9637780.5054999981</v>
      </c>
      <c r="I16" s="121">
        <f>9497</f>
        <v>9497</v>
      </c>
      <c r="J16" s="121">
        <f>87809+16435</f>
        <v>104244</v>
      </c>
      <c r="K16" s="120">
        <f t="shared" si="1"/>
        <v>9.1103564713556656E-2</v>
      </c>
      <c r="L16" s="119">
        <f t="shared" si="2"/>
        <v>878036.1599778739</v>
      </c>
      <c r="M16" s="118">
        <f t="shared" si="3"/>
        <v>368072.75826272473</v>
      </c>
      <c r="N16" s="117">
        <f t="shared" si="4"/>
        <v>509963.40171514917</v>
      </c>
    </row>
    <row r="17" spans="1:14" ht="14.1" customHeight="1" x14ac:dyDescent="0.2">
      <c r="A17" s="103" t="s">
        <v>438</v>
      </c>
      <c r="B17" s="103" t="s">
        <v>439</v>
      </c>
      <c r="C17" s="103" t="s">
        <v>54</v>
      </c>
      <c r="D17" s="102" t="s">
        <v>440</v>
      </c>
      <c r="E17" s="101">
        <v>43281</v>
      </c>
      <c r="F17" s="100">
        <v>43.71</v>
      </c>
      <c r="G17" s="96">
        <v>85190.49</v>
      </c>
      <c r="H17" s="99">
        <f t="shared" si="0"/>
        <v>3723676.3179000001</v>
      </c>
      <c r="I17" s="105">
        <f>15895+83703+1485+675</f>
        <v>101758</v>
      </c>
      <c r="J17" s="105">
        <f>441239+2713+15747+2382+18224</f>
        <v>480305</v>
      </c>
      <c r="K17" s="104">
        <f t="shared" si="1"/>
        <v>0.2118612131874538</v>
      </c>
      <c r="L17" s="96">
        <f t="shared" si="2"/>
        <v>788902.58222768491</v>
      </c>
      <c r="M17" s="95">
        <f t="shared" si="3"/>
        <v>330707.96246984554</v>
      </c>
      <c r="N17" s="94">
        <f t="shared" si="4"/>
        <v>458194.61975783936</v>
      </c>
    </row>
    <row r="18" spans="1:14" ht="14.1" customHeight="1" x14ac:dyDescent="0.2">
      <c r="A18" s="103" t="s">
        <v>441</v>
      </c>
      <c r="B18" s="103" t="s">
        <v>442</v>
      </c>
      <c r="C18" s="103" t="s">
        <v>443</v>
      </c>
      <c r="D18" s="102" t="s">
        <v>444</v>
      </c>
      <c r="E18" s="101">
        <v>42978</v>
      </c>
      <c r="F18" s="100">
        <v>39.93</v>
      </c>
      <c r="G18" s="96">
        <v>82995.89</v>
      </c>
      <c r="H18" s="99">
        <f t="shared" si="0"/>
        <v>3314025.8876999998</v>
      </c>
      <c r="I18" s="105">
        <f>11071+1708+752+144</f>
        <v>13675</v>
      </c>
      <c r="J18" s="105">
        <f>50114+5914+6505+866</f>
        <v>63399</v>
      </c>
      <c r="K18" s="104">
        <f t="shared" si="1"/>
        <v>0.21569740847647439</v>
      </c>
      <c r="L18" s="96">
        <f t="shared" si="2"/>
        <v>714826.79560083756</v>
      </c>
      <c r="M18" s="95">
        <f t="shared" si="3"/>
        <v>299655.3927158711</v>
      </c>
      <c r="N18" s="94">
        <f t="shared" si="4"/>
        <v>415171.40288496646</v>
      </c>
    </row>
    <row r="19" spans="1:14" ht="14.1" customHeight="1" x14ac:dyDescent="0.2">
      <c r="A19" s="103" t="s">
        <v>445</v>
      </c>
      <c r="B19" s="103" t="s">
        <v>446</v>
      </c>
      <c r="C19" s="103" t="s">
        <v>125</v>
      </c>
      <c r="D19" s="102" t="s">
        <v>447</v>
      </c>
      <c r="E19" s="101">
        <v>43281</v>
      </c>
      <c r="F19" s="100">
        <v>44.08</v>
      </c>
      <c r="G19" s="96">
        <v>85190.48</v>
      </c>
      <c r="H19" s="99">
        <f t="shared" si="0"/>
        <v>3755196.3583999998</v>
      </c>
      <c r="I19" s="105">
        <f>22095+5082+529+360</f>
        <v>28066</v>
      </c>
      <c r="J19" s="105">
        <f>140796+2261+6654+10716+815</f>
        <v>161242</v>
      </c>
      <c r="K19" s="104">
        <f t="shared" si="1"/>
        <v>0.17406134878009452</v>
      </c>
      <c r="L19" s="96">
        <f t="shared" si="2"/>
        <v>653634.54307720321</v>
      </c>
      <c r="M19" s="95">
        <f t="shared" si="3"/>
        <v>274003.60045796359</v>
      </c>
      <c r="N19" s="94">
        <f t="shared" si="4"/>
        <v>379630.94261923962</v>
      </c>
    </row>
    <row r="20" spans="1:14" ht="14.1" customHeight="1" x14ac:dyDescent="0.2">
      <c r="A20" s="103" t="s">
        <v>448</v>
      </c>
      <c r="B20" s="103" t="s">
        <v>449</v>
      </c>
      <c r="C20" s="103" t="s">
        <v>76</v>
      </c>
      <c r="D20" s="102" t="s">
        <v>450</v>
      </c>
      <c r="E20" s="101">
        <v>43281</v>
      </c>
      <c r="F20" s="100">
        <v>16.2</v>
      </c>
      <c r="G20" s="96">
        <v>195842.61</v>
      </c>
      <c r="H20" s="99">
        <f t="shared" si="0"/>
        <v>3172650.2819999997</v>
      </c>
      <c r="I20" s="105">
        <f>13701+1497+106</f>
        <v>15304</v>
      </c>
      <c r="J20" s="105">
        <f>69275+12039+287+1037</f>
        <v>82638</v>
      </c>
      <c r="K20" s="104">
        <f t="shared" si="1"/>
        <v>0.18519325249885041</v>
      </c>
      <c r="L20" s="96">
        <f t="shared" si="2"/>
        <v>587553.42476497486</v>
      </c>
      <c r="M20" s="95">
        <f t="shared" si="3"/>
        <v>246302.39566147747</v>
      </c>
      <c r="N20" s="94">
        <f t="shared" si="4"/>
        <v>341251.02910349739</v>
      </c>
    </row>
    <row r="21" spans="1:14" ht="14.1" customHeight="1" x14ac:dyDescent="0.2">
      <c r="A21" s="103" t="s">
        <v>451</v>
      </c>
      <c r="B21" s="103" t="s">
        <v>452</v>
      </c>
      <c r="C21" s="103" t="s">
        <v>110</v>
      </c>
      <c r="D21" s="102" t="s">
        <v>453</v>
      </c>
      <c r="E21" s="101">
        <v>43100</v>
      </c>
      <c r="F21" s="100">
        <v>36.69</v>
      </c>
      <c r="G21" s="96">
        <v>88439.85</v>
      </c>
      <c r="H21" s="99">
        <f t="shared" si="0"/>
        <v>3244858.0965</v>
      </c>
      <c r="I21" s="105">
        <f>21960+4776+165+41+123+52</f>
        <v>27117</v>
      </c>
      <c r="J21" s="105">
        <f>129822+8459+9962+11233+2602</f>
        <v>162078</v>
      </c>
      <c r="K21" s="104">
        <f t="shared" si="1"/>
        <v>0.16730833302483988</v>
      </c>
      <c r="L21" s="96">
        <f t="shared" si="2"/>
        <v>542891.79902757006</v>
      </c>
      <c r="M21" s="95">
        <f t="shared" si="3"/>
        <v>227580.24215235739</v>
      </c>
      <c r="N21" s="94">
        <f t="shared" si="4"/>
        <v>315311.5568752127</v>
      </c>
    </row>
    <row r="22" spans="1:14" ht="14.1" customHeight="1" x14ac:dyDescent="0.2">
      <c r="A22" s="103" t="s">
        <v>454</v>
      </c>
      <c r="B22" s="103" t="s">
        <v>455</v>
      </c>
      <c r="C22" s="103" t="s">
        <v>87</v>
      </c>
      <c r="D22" s="102" t="s">
        <v>456</v>
      </c>
      <c r="E22" s="101">
        <v>43343</v>
      </c>
      <c r="F22" s="100">
        <v>33.53</v>
      </c>
      <c r="G22" s="96">
        <v>85721.42</v>
      </c>
      <c r="H22" s="99">
        <f t="shared" si="0"/>
        <v>2874239.2126000002</v>
      </c>
      <c r="I22" s="98">
        <f>9820+6450+12+25+105+28</f>
        <v>16440</v>
      </c>
      <c r="J22" s="98">
        <f>78044+1316+5436+7182+368+64+568</f>
        <v>92978</v>
      </c>
      <c r="K22" s="97">
        <f t="shared" si="1"/>
        <v>0.17681602099421367</v>
      </c>
      <c r="L22" s="96">
        <f t="shared" si="2"/>
        <v>508211.5409574738</v>
      </c>
      <c r="M22" s="95">
        <f t="shared" si="3"/>
        <v>213042.27796937301</v>
      </c>
      <c r="N22" s="94">
        <f t="shared" si="4"/>
        <v>295169.26298810076</v>
      </c>
    </row>
    <row r="23" spans="1:14" ht="14.1" customHeight="1" x14ac:dyDescent="0.2">
      <c r="A23" s="103" t="s">
        <v>457</v>
      </c>
      <c r="B23" s="103" t="s">
        <v>458</v>
      </c>
      <c r="C23" s="103" t="s">
        <v>27</v>
      </c>
      <c r="D23" s="102" t="s">
        <v>459</v>
      </c>
      <c r="E23" s="101">
        <v>43008</v>
      </c>
      <c r="F23" s="100">
        <v>11.55</v>
      </c>
      <c r="G23" s="96">
        <v>84850.02</v>
      </c>
      <c r="H23" s="99">
        <f t="shared" si="0"/>
        <v>980017.73100000015</v>
      </c>
      <c r="I23" s="105">
        <f>35384+8159</f>
        <v>43543</v>
      </c>
      <c r="J23" s="105">
        <f>80522+12958</f>
        <v>93480</v>
      </c>
      <c r="K23" s="104">
        <f t="shared" si="1"/>
        <v>0.46580017115960631</v>
      </c>
      <c r="L23" s="96">
        <f t="shared" si="2"/>
        <v>456492.42683924909</v>
      </c>
      <c r="M23" s="95">
        <f t="shared" si="3"/>
        <v>191361.62533101323</v>
      </c>
      <c r="N23" s="94">
        <f t="shared" si="4"/>
        <v>265130.80150823586</v>
      </c>
    </row>
    <row r="24" spans="1:14" ht="14.1" customHeight="1" x14ac:dyDescent="0.2">
      <c r="A24" s="103" t="s">
        <v>460</v>
      </c>
      <c r="B24" s="103" t="s">
        <v>461</v>
      </c>
      <c r="C24" s="103" t="s">
        <v>135</v>
      </c>
      <c r="D24" s="102" t="s">
        <v>136</v>
      </c>
      <c r="E24" s="101">
        <v>43100</v>
      </c>
      <c r="F24" s="100">
        <v>47.72</v>
      </c>
      <c r="G24" s="96">
        <v>83318</v>
      </c>
      <c r="H24" s="99">
        <f t="shared" si="0"/>
        <v>3975934.96</v>
      </c>
      <c r="I24" s="105">
        <f>17224</f>
        <v>17224</v>
      </c>
      <c r="J24" s="105">
        <f>110573+16652+11704+8696+2535</f>
        <v>150160</v>
      </c>
      <c r="K24" s="104">
        <f t="shared" si="1"/>
        <v>0.11470431539690996</v>
      </c>
      <c r="L24" s="96">
        <f t="shared" si="2"/>
        <v>456056.89764944062</v>
      </c>
      <c r="M24" s="95">
        <f t="shared" si="3"/>
        <v>191179.05149464551</v>
      </c>
      <c r="N24" s="94">
        <f t="shared" si="4"/>
        <v>264877.84615479514</v>
      </c>
    </row>
    <row r="25" spans="1:14" ht="14.1" customHeight="1" x14ac:dyDescent="0.2">
      <c r="A25" s="103" t="s">
        <v>462</v>
      </c>
      <c r="B25" s="103" t="s">
        <v>463</v>
      </c>
      <c r="C25" s="103" t="s">
        <v>119</v>
      </c>
      <c r="D25" s="102" t="s">
        <v>464</v>
      </c>
      <c r="E25" s="101">
        <v>43131</v>
      </c>
      <c r="F25" s="100">
        <v>65.48</v>
      </c>
      <c r="G25" s="96">
        <v>88061.05</v>
      </c>
      <c r="H25" s="99">
        <f t="shared" si="0"/>
        <v>5766237.5540000005</v>
      </c>
      <c r="I25" s="105">
        <f>3633+564+41</f>
        <v>4238</v>
      </c>
      <c r="J25" s="105">
        <f>47296+4866+1487</f>
        <v>53649</v>
      </c>
      <c r="K25" s="104">
        <f t="shared" si="1"/>
        <v>7.8994948647691479E-2</v>
      </c>
      <c r="L25" s="96">
        <f t="shared" si="2"/>
        <v>455503.63946862018</v>
      </c>
      <c r="M25" s="95">
        <f t="shared" si="3"/>
        <v>190947.12566524558</v>
      </c>
      <c r="N25" s="94">
        <f t="shared" si="4"/>
        <v>264556.5138033746</v>
      </c>
    </row>
    <row r="26" spans="1:14" ht="14.1" customHeight="1" x14ac:dyDescent="0.2">
      <c r="A26" s="103" t="s">
        <v>465</v>
      </c>
      <c r="B26" s="103" t="s">
        <v>466</v>
      </c>
      <c r="C26" s="103" t="s">
        <v>117</v>
      </c>
      <c r="D26" s="102" t="s">
        <v>467</v>
      </c>
      <c r="E26" s="101">
        <v>43281</v>
      </c>
      <c r="F26" s="100">
        <v>33.71</v>
      </c>
      <c r="G26" s="96">
        <v>85190.48</v>
      </c>
      <c r="H26" s="99">
        <f t="shared" si="0"/>
        <v>2871771.0808000001</v>
      </c>
      <c r="I26" s="105">
        <f>9793+1869+18+436</f>
        <v>12116</v>
      </c>
      <c r="J26" s="105">
        <f>84376+1634+7498+675</f>
        <v>94183</v>
      </c>
      <c r="K26" s="104">
        <f t="shared" si="1"/>
        <v>0.12864317339647283</v>
      </c>
      <c r="L26" s="96">
        <f t="shared" si="2"/>
        <v>369433.74510233058</v>
      </c>
      <c r="M26" s="95">
        <f t="shared" si="3"/>
        <v>154866.62594689699</v>
      </c>
      <c r="N26" s="94">
        <f t="shared" si="4"/>
        <v>214567.11915543358</v>
      </c>
    </row>
    <row r="27" spans="1:14" ht="14.1" customHeight="1" x14ac:dyDescent="0.2">
      <c r="A27" s="103" t="s">
        <v>468</v>
      </c>
      <c r="B27" s="103" t="s">
        <v>469</v>
      </c>
      <c r="C27" s="103" t="s">
        <v>78</v>
      </c>
      <c r="D27" s="102" t="s">
        <v>470</v>
      </c>
      <c r="E27" s="101">
        <v>43343</v>
      </c>
      <c r="F27" s="100">
        <v>15.87</v>
      </c>
      <c r="G27" s="96">
        <v>83802.350000000006</v>
      </c>
      <c r="H27" s="99">
        <f t="shared" si="0"/>
        <v>1329943.2945000001</v>
      </c>
      <c r="I27" s="98">
        <f>11645+5763+285+36</f>
        <v>17729</v>
      </c>
      <c r="J27" s="98">
        <f>57644+6046+3104+1418</f>
        <v>68212</v>
      </c>
      <c r="K27" s="97">
        <f t="shared" si="1"/>
        <v>0.25991027971617897</v>
      </c>
      <c r="L27" s="96">
        <f t="shared" si="2"/>
        <v>345665.93368015159</v>
      </c>
      <c r="M27" s="95">
        <f t="shared" si="3"/>
        <v>144903.15939871955</v>
      </c>
      <c r="N27" s="94">
        <f t="shared" si="4"/>
        <v>200762.77428143204</v>
      </c>
    </row>
    <row r="28" spans="1:14" ht="14.1" customHeight="1" x14ac:dyDescent="0.2">
      <c r="A28" s="103" t="s">
        <v>471</v>
      </c>
      <c r="B28" s="103" t="s">
        <v>472</v>
      </c>
      <c r="C28" s="103" t="s">
        <v>93</v>
      </c>
      <c r="D28" s="102" t="s">
        <v>473</v>
      </c>
      <c r="E28" s="101">
        <v>43281</v>
      </c>
      <c r="F28" s="100">
        <v>27.07</v>
      </c>
      <c r="G28" s="96">
        <v>84813.81</v>
      </c>
      <c r="H28" s="99">
        <f t="shared" si="0"/>
        <v>2295909.8366999999</v>
      </c>
      <c r="I28" s="105">
        <f>4047+4721+222</f>
        <v>8990</v>
      </c>
      <c r="J28" s="105">
        <f>55134+6261+402</f>
        <v>61797</v>
      </c>
      <c r="K28" s="104">
        <f t="shared" si="1"/>
        <v>0.14547631762059646</v>
      </c>
      <c r="L28" s="96">
        <f t="shared" si="2"/>
        <v>334000.50863202091</v>
      </c>
      <c r="M28" s="95">
        <f t="shared" si="3"/>
        <v>140013.01321854317</v>
      </c>
      <c r="N28" s="94">
        <f t="shared" si="4"/>
        <v>193987.49541347774</v>
      </c>
    </row>
    <row r="29" spans="1:14" ht="14.1" customHeight="1" x14ac:dyDescent="0.2">
      <c r="A29" s="103">
        <v>385345901</v>
      </c>
      <c r="B29" s="103">
        <v>1417471467</v>
      </c>
      <c r="C29" s="103" t="s">
        <v>90</v>
      </c>
      <c r="D29" s="102" t="s">
        <v>474</v>
      </c>
      <c r="E29" s="101">
        <v>43373</v>
      </c>
      <c r="F29" s="100">
        <v>25.83</v>
      </c>
      <c r="G29" s="96">
        <v>85076</v>
      </c>
      <c r="H29" s="99">
        <f t="shared" si="0"/>
        <v>2197513.08</v>
      </c>
      <c r="I29" s="98">
        <f>2195+440+86</f>
        <v>2721</v>
      </c>
      <c r="J29" s="98">
        <f>19880+1016+138</f>
        <v>21034</v>
      </c>
      <c r="K29" s="97">
        <f t="shared" si="1"/>
        <v>0.12936198535704099</v>
      </c>
      <c r="L29" s="96">
        <f t="shared" si="2"/>
        <v>284274.65487686609</v>
      </c>
      <c r="M29" s="95">
        <f t="shared" si="3"/>
        <v>119167.93532438227</v>
      </c>
      <c r="N29" s="94">
        <f t="shared" si="4"/>
        <v>165106.71955248382</v>
      </c>
    </row>
    <row r="30" spans="1:14" ht="14.1" customHeight="1" x14ac:dyDescent="0.2">
      <c r="A30" s="103" t="s">
        <v>475</v>
      </c>
      <c r="B30" s="103" t="s">
        <v>476</v>
      </c>
      <c r="C30" s="103" t="s">
        <v>67</v>
      </c>
      <c r="D30" s="102" t="s">
        <v>477</v>
      </c>
      <c r="E30" s="101">
        <v>43100</v>
      </c>
      <c r="F30" s="100">
        <v>20.77</v>
      </c>
      <c r="G30" s="96">
        <v>83265.789999999994</v>
      </c>
      <c r="H30" s="99">
        <f t="shared" si="0"/>
        <v>1729430.4582999998</v>
      </c>
      <c r="I30" s="105">
        <f>8375+3679+266+34</f>
        <v>12354</v>
      </c>
      <c r="J30" s="105">
        <f>71513+4161+6113+340</f>
        <v>82127</v>
      </c>
      <c r="K30" s="104">
        <f t="shared" si="1"/>
        <v>0.1504255604125318</v>
      </c>
      <c r="L30" s="96">
        <f t="shared" si="2"/>
        <v>260150.54588427918</v>
      </c>
      <c r="M30" s="95">
        <f t="shared" si="3"/>
        <v>109055.10883468983</v>
      </c>
      <c r="N30" s="94">
        <f t="shared" si="4"/>
        <v>151095.43704958935</v>
      </c>
    </row>
    <row r="31" spans="1:14" ht="14.1" customHeight="1" x14ac:dyDescent="0.2">
      <c r="A31" s="103" t="s">
        <v>478</v>
      </c>
      <c r="B31" s="103" t="s">
        <v>479</v>
      </c>
      <c r="C31" s="103" t="s">
        <v>48</v>
      </c>
      <c r="D31" s="102" t="s">
        <v>480</v>
      </c>
      <c r="E31" s="101">
        <v>43100</v>
      </c>
      <c r="F31" s="100">
        <v>12.04</v>
      </c>
      <c r="G31" s="96">
        <v>83736.3</v>
      </c>
      <c r="H31" s="99">
        <f t="shared" si="0"/>
        <v>1008185.0519999999</v>
      </c>
      <c r="I31" s="105">
        <f>5977+2649+233+29</f>
        <v>8888</v>
      </c>
      <c r="J31" s="105">
        <f>30339+1985+3654+297</f>
        <v>36275</v>
      </c>
      <c r="K31" s="104">
        <f t="shared" si="1"/>
        <v>0.24501722949689869</v>
      </c>
      <c r="L31" s="96">
        <f t="shared" si="2"/>
        <v>247022.70826122671</v>
      </c>
      <c r="M31" s="95">
        <f t="shared" si="3"/>
        <v>103551.91930310625</v>
      </c>
      <c r="N31" s="94">
        <f t="shared" si="4"/>
        <v>143470.78895812045</v>
      </c>
    </row>
    <row r="32" spans="1:14" ht="14.1" customHeight="1" x14ac:dyDescent="0.2">
      <c r="A32" s="103" t="s">
        <v>481</v>
      </c>
      <c r="B32" s="103" t="s">
        <v>482</v>
      </c>
      <c r="C32" s="103" t="s">
        <v>65</v>
      </c>
      <c r="D32" s="102" t="s">
        <v>483</v>
      </c>
      <c r="E32" s="101">
        <v>43100</v>
      </c>
      <c r="F32" s="100">
        <v>9.93</v>
      </c>
      <c r="G32" s="96">
        <v>92676.89</v>
      </c>
      <c r="H32" s="99">
        <f t="shared" si="0"/>
        <v>920281.51769999997</v>
      </c>
      <c r="I32" s="105">
        <f>10520+6232+11+469+124</f>
        <v>17356</v>
      </c>
      <c r="J32" s="105">
        <f>60901+4383+3235+3966+609</f>
        <v>73094</v>
      </c>
      <c r="K32" s="104">
        <f t="shared" si="1"/>
        <v>0.23744767012340273</v>
      </c>
      <c r="L32" s="96">
        <f t="shared" si="2"/>
        <v>218518.70223549401</v>
      </c>
      <c r="M32" s="95">
        <f t="shared" si="3"/>
        <v>91603.039977119101</v>
      </c>
      <c r="N32" s="94">
        <f t="shared" si="4"/>
        <v>126915.66225837491</v>
      </c>
    </row>
    <row r="33" spans="1:47" ht="14.1" customHeight="1" x14ac:dyDescent="0.2">
      <c r="A33" s="116" t="s">
        <v>484</v>
      </c>
      <c r="B33" s="116" t="s">
        <v>485</v>
      </c>
      <c r="C33" s="116" t="s">
        <v>486</v>
      </c>
      <c r="D33" s="115" t="s">
        <v>487</v>
      </c>
      <c r="E33" s="114">
        <v>43100</v>
      </c>
      <c r="F33" s="113">
        <v>17.5</v>
      </c>
      <c r="G33" s="109">
        <v>83265.81</v>
      </c>
      <c r="H33" s="112">
        <f t="shared" si="0"/>
        <v>1457151.675</v>
      </c>
      <c r="I33" s="111">
        <f>4993+5937+77</f>
        <v>11007</v>
      </c>
      <c r="J33" s="111">
        <f>67497+5418+490+1045</f>
        <v>74450</v>
      </c>
      <c r="K33" s="110">
        <f t="shared" si="1"/>
        <v>0.14784419073203492</v>
      </c>
      <c r="L33" s="109">
        <f t="shared" si="2"/>
        <v>215431.41016420416</v>
      </c>
      <c r="M33" s="108">
        <f t="shared" si="3"/>
        <v>90308.84714083439</v>
      </c>
      <c r="N33" s="107">
        <f t="shared" si="4"/>
        <v>125122.56302336977</v>
      </c>
    </row>
    <row r="34" spans="1:47" ht="14.1" customHeight="1" x14ac:dyDescent="0.2">
      <c r="A34" s="103" t="s">
        <v>488</v>
      </c>
      <c r="B34" s="103" t="s">
        <v>489</v>
      </c>
      <c r="C34" s="103" t="s">
        <v>61</v>
      </c>
      <c r="D34" s="102" t="s">
        <v>490</v>
      </c>
      <c r="E34" s="101">
        <v>43281</v>
      </c>
      <c r="F34" s="100">
        <v>12.25</v>
      </c>
      <c r="G34" s="96">
        <v>85190.48</v>
      </c>
      <c r="H34" s="99">
        <f t="shared" ref="H34:H52" si="5">F34*G34</f>
        <v>1043583.38</v>
      </c>
      <c r="I34" s="105">
        <f>12864+297+716</f>
        <v>13877</v>
      </c>
      <c r="J34" s="105">
        <f>64649+8343+501</f>
        <v>73493</v>
      </c>
      <c r="K34" s="104">
        <f t="shared" ref="K34:K52" si="6">I34/J34</f>
        <v>0.18882070401262704</v>
      </c>
      <c r="L34" s="96">
        <f t="shared" ref="L34:L52" si="7">H34*K34</f>
        <v>197050.1485074769</v>
      </c>
      <c r="M34" s="95">
        <f t="shared" ref="M34:M58" si="8">L34*0.4192</f>
        <v>82603.42225433432</v>
      </c>
      <c r="N34" s="94">
        <f t="shared" ref="N34:N58" si="9">L34-M34</f>
        <v>114446.72625314258</v>
      </c>
    </row>
    <row r="35" spans="1:47" ht="14.1" customHeight="1" x14ac:dyDescent="0.2">
      <c r="A35" s="103" t="s">
        <v>491</v>
      </c>
      <c r="B35" s="103" t="s">
        <v>492</v>
      </c>
      <c r="C35" s="103" t="s">
        <v>59</v>
      </c>
      <c r="D35" s="102" t="s">
        <v>60</v>
      </c>
      <c r="E35" s="101">
        <v>43100</v>
      </c>
      <c r="F35" s="100">
        <v>10.02</v>
      </c>
      <c r="G35" s="96">
        <v>116596.21</v>
      </c>
      <c r="H35" s="99">
        <f t="shared" si="5"/>
        <v>1168294.0242000001</v>
      </c>
      <c r="I35" s="105">
        <f>3129+7771+336+576</f>
        <v>11812</v>
      </c>
      <c r="J35" s="105">
        <f>55112+1413+5327+7942+3917</f>
        <v>73711</v>
      </c>
      <c r="K35" s="104">
        <f t="shared" si="6"/>
        <v>0.16024745289034201</v>
      </c>
      <c r="L35" s="96">
        <f t="shared" si="7"/>
        <v>187216.14160505761</v>
      </c>
      <c r="M35" s="95">
        <f t="shared" si="8"/>
        <v>78481.006560840149</v>
      </c>
      <c r="N35" s="94">
        <f t="shared" si="9"/>
        <v>108735.13504421746</v>
      </c>
    </row>
    <row r="36" spans="1:47" ht="14.1" customHeight="1" x14ac:dyDescent="0.2">
      <c r="A36" s="103" t="s">
        <v>493</v>
      </c>
      <c r="B36" s="103" t="s">
        <v>494</v>
      </c>
      <c r="C36" s="103" t="s">
        <v>80</v>
      </c>
      <c r="D36" s="102" t="s">
        <v>495</v>
      </c>
      <c r="E36" s="101">
        <v>43100</v>
      </c>
      <c r="F36" s="100">
        <v>12.32</v>
      </c>
      <c r="G36" s="96">
        <v>92676.88</v>
      </c>
      <c r="H36" s="99">
        <f t="shared" si="5"/>
        <v>1141779.1616</v>
      </c>
      <c r="I36" s="98">
        <f>842+3604</f>
        <v>4446</v>
      </c>
      <c r="J36" s="98">
        <f>35387+245</f>
        <v>35632</v>
      </c>
      <c r="K36" s="97">
        <f t="shared" si="6"/>
        <v>0.12477548271216883</v>
      </c>
      <c r="L36" s="96">
        <f t="shared" si="7"/>
        <v>142466.04603933543</v>
      </c>
      <c r="M36" s="95">
        <f t="shared" si="8"/>
        <v>59721.766499689416</v>
      </c>
      <c r="N36" s="94">
        <f t="shared" si="9"/>
        <v>82744.279539646013</v>
      </c>
    </row>
    <row r="37" spans="1:47" ht="14.1" customHeight="1" x14ac:dyDescent="0.2">
      <c r="A37" s="103" t="s">
        <v>496</v>
      </c>
      <c r="B37" s="103" t="s">
        <v>497</v>
      </c>
      <c r="C37" s="103" t="s">
        <v>73</v>
      </c>
      <c r="D37" s="102" t="s">
        <v>498</v>
      </c>
      <c r="E37" s="101">
        <v>43281</v>
      </c>
      <c r="F37" s="100">
        <v>15.05</v>
      </c>
      <c r="G37" s="96">
        <v>84956.83</v>
      </c>
      <c r="H37" s="99">
        <f t="shared" si="5"/>
        <v>1278600.2915000001</v>
      </c>
      <c r="I37" s="105">
        <f>4190+5450</f>
        <v>9640</v>
      </c>
      <c r="J37" s="105">
        <f>93985+381</f>
        <v>94366</v>
      </c>
      <c r="K37" s="104">
        <f t="shared" si="6"/>
        <v>0.10215543733971981</v>
      </c>
      <c r="L37" s="96">
        <f t="shared" si="7"/>
        <v>130615.97196087574</v>
      </c>
      <c r="M37" s="95">
        <f t="shared" si="8"/>
        <v>54754.215445999114</v>
      </c>
      <c r="N37" s="94">
        <f t="shared" si="9"/>
        <v>75861.75651487663</v>
      </c>
    </row>
    <row r="38" spans="1:47" ht="14.1" customHeight="1" x14ac:dyDescent="0.2">
      <c r="A38" s="103" t="s">
        <v>499</v>
      </c>
      <c r="B38" s="103" t="s">
        <v>500</v>
      </c>
      <c r="C38" s="103" t="s">
        <v>131</v>
      </c>
      <c r="D38" s="102" t="s">
        <v>501</v>
      </c>
      <c r="E38" s="101">
        <v>43100</v>
      </c>
      <c r="F38" s="100">
        <v>57.91</v>
      </c>
      <c r="G38" s="96">
        <v>83406.070000000007</v>
      </c>
      <c r="H38" s="99">
        <f t="shared" si="5"/>
        <v>4830045.5137</v>
      </c>
      <c r="I38" s="105">
        <f>2444</f>
        <v>2444</v>
      </c>
      <c r="J38" s="105">
        <f>67171+16444+2683+4402</f>
        <v>90700</v>
      </c>
      <c r="K38" s="104">
        <f t="shared" si="6"/>
        <v>2.6945975744211686E-2</v>
      </c>
      <c r="L38" s="96">
        <f t="shared" si="7"/>
        <v>130150.28925559868</v>
      </c>
      <c r="M38" s="95">
        <f t="shared" si="8"/>
        <v>54559.001255946969</v>
      </c>
      <c r="N38" s="94">
        <f t="shared" si="9"/>
        <v>75591.287999651715</v>
      </c>
    </row>
    <row r="39" spans="1:47" ht="14.1" customHeight="1" x14ac:dyDescent="0.2">
      <c r="A39" s="103" t="s">
        <v>502</v>
      </c>
      <c r="B39" s="103" t="s">
        <v>503</v>
      </c>
      <c r="C39" s="103" t="s">
        <v>70</v>
      </c>
      <c r="D39" s="102" t="s">
        <v>504</v>
      </c>
      <c r="E39" s="101">
        <v>43100</v>
      </c>
      <c r="F39" s="100">
        <v>13.56</v>
      </c>
      <c r="G39" s="96">
        <v>83265.789999999994</v>
      </c>
      <c r="H39" s="99">
        <f t="shared" si="5"/>
        <v>1129084.1124</v>
      </c>
      <c r="I39" s="105">
        <f>8031+1888+130+215+73</f>
        <v>10337</v>
      </c>
      <c r="J39" s="105">
        <f>84873+5503+2773+643</f>
        <v>93792</v>
      </c>
      <c r="K39" s="104">
        <f t="shared" si="6"/>
        <v>0.1102119583759809</v>
      </c>
      <c r="L39" s="96">
        <f t="shared" si="7"/>
        <v>124438.57119881014</v>
      </c>
      <c r="M39" s="95">
        <f t="shared" si="8"/>
        <v>52164.649046541213</v>
      </c>
      <c r="N39" s="94">
        <f t="shared" si="9"/>
        <v>72273.922152268933</v>
      </c>
    </row>
    <row r="40" spans="1:47" ht="14.1" customHeight="1" x14ac:dyDescent="0.2">
      <c r="A40" s="103" t="s">
        <v>505</v>
      </c>
      <c r="B40" s="103" t="s">
        <v>506</v>
      </c>
      <c r="C40" s="103" t="s">
        <v>121</v>
      </c>
      <c r="D40" s="102" t="s">
        <v>507</v>
      </c>
      <c r="E40" s="101">
        <v>43008</v>
      </c>
      <c r="F40" s="100">
        <v>6.8</v>
      </c>
      <c r="G40" s="96">
        <v>92541.54</v>
      </c>
      <c r="H40" s="99">
        <f t="shared" si="5"/>
        <v>629282.47199999995</v>
      </c>
      <c r="I40" s="98">
        <f>15384+70+3446+380</f>
        <v>19280</v>
      </c>
      <c r="J40" s="98">
        <f>91413+7412+11058+663</f>
        <v>110546</v>
      </c>
      <c r="K40" s="97">
        <f t="shared" si="6"/>
        <v>0.17440703417581821</v>
      </c>
      <c r="L40" s="96">
        <f t="shared" si="7"/>
        <v>109751.28960034736</v>
      </c>
      <c r="M40" s="95">
        <f t="shared" si="8"/>
        <v>46007.740600465615</v>
      </c>
      <c r="N40" s="94">
        <f t="shared" si="9"/>
        <v>63743.548999881743</v>
      </c>
    </row>
    <row r="41" spans="1:47" ht="14.1" customHeight="1" x14ac:dyDescent="0.2">
      <c r="A41" s="103">
        <v>362293801</v>
      </c>
      <c r="B41" s="103">
        <v>1134127749</v>
      </c>
      <c r="C41" s="103" t="s">
        <v>508</v>
      </c>
      <c r="D41" s="102" t="s">
        <v>509</v>
      </c>
      <c r="E41" s="101">
        <v>43311</v>
      </c>
      <c r="F41" s="100">
        <v>17.7</v>
      </c>
      <c r="G41" s="96">
        <v>90436.15</v>
      </c>
      <c r="H41" s="99">
        <f t="shared" si="5"/>
        <v>1600719.8549999997</v>
      </c>
      <c r="I41" s="105">
        <f>867+1628</f>
        <v>2495</v>
      </c>
      <c r="J41" s="105">
        <f>32321+5260</f>
        <v>37581</v>
      </c>
      <c r="K41" s="104">
        <f t="shared" si="6"/>
        <v>6.6389931082195791E-2</v>
      </c>
      <c r="L41" s="96">
        <f t="shared" si="7"/>
        <v>106271.68085535242</v>
      </c>
      <c r="M41" s="95">
        <f t="shared" si="8"/>
        <v>44549.088614563734</v>
      </c>
      <c r="N41" s="94">
        <f t="shared" si="9"/>
        <v>61722.592240788683</v>
      </c>
    </row>
    <row r="42" spans="1:47" ht="14.1" customHeight="1" x14ac:dyDescent="0.2">
      <c r="A42" s="103" t="s">
        <v>510</v>
      </c>
      <c r="B42" s="103" t="s">
        <v>511</v>
      </c>
      <c r="C42" s="103" t="s">
        <v>32</v>
      </c>
      <c r="D42" s="102" t="s">
        <v>512</v>
      </c>
      <c r="E42" s="101">
        <v>43251</v>
      </c>
      <c r="F42" s="100">
        <v>3.4</v>
      </c>
      <c r="G42" s="96">
        <v>84206.56</v>
      </c>
      <c r="H42" s="99">
        <f t="shared" si="5"/>
        <v>286302.304</v>
      </c>
      <c r="I42" s="105">
        <f>17256+8504+592+75</f>
        <v>26427</v>
      </c>
      <c r="J42" s="105">
        <f>74939+3076+4766+701</f>
        <v>83482</v>
      </c>
      <c r="K42" s="104">
        <f t="shared" si="6"/>
        <v>0.31655925828322273</v>
      </c>
      <c r="L42" s="96">
        <f t="shared" si="7"/>
        <v>90631.64499901775</v>
      </c>
      <c r="M42" s="95">
        <f t="shared" si="8"/>
        <v>37992.785583588244</v>
      </c>
      <c r="N42" s="94">
        <f t="shared" si="9"/>
        <v>52638.859415429506</v>
      </c>
    </row>
    <row r="43" spans="1:47" ht="14.1" customHeight="1" x14ac:dyDescent="0.2">
      <c r="A43" s="103" t="s">
        <v>513</v>
      </c>
      <c r="B43" s="103" t="s">
        <v>514</v>
      </c>
      <c r="C43" s="103" t="s">
        <v>37</v>
      </c>
      <c r="D43" s="102" t="s">
        <v>515</v>
      </c>
      <c r="E43" s="101">
        <v>43251</v>
      </c>
      <c r="F43" s="100">
        <v>2.96</v>
      </c>
      <c r="G43" s="96">
        <v>84791.08</v>
      </c>
      <c r="H43" s="99">
        <f t="shared" si="5"/>
        <v>250981.5968</v>
      </c>
      <c r="I43" s="105">
        <f>22044+130+2909+9</f>
        <v>25092</v>
      </c>
      <c r="J43" s="105">
        <f>65819+3112+2004+324+904</f>
        <v>72163</v>
      </c>
      <c r="K43" s="104">
        <f t="shared" si="6"/>
        <v>0.34771281681748262</v>
      </c>
      <c r="L43" s="96">
        <f t="shared" si="7"/>
        <v>87269.517992677676</v>
      </c>
      <c r="M43" s="95">
        <f t="shared" si="8"/>
        <v>36583.381942530483</v>
      </c>
      <c r="N43" s="94">
        <f t="shared" si="9"/>
        <v>50686.136050147194</v>
      </c>
    </row>
    <row r="44" spans="1:47" ht="14.1" customHeight="1" x14ac:dyDescent="0.2">
      <c r="A44" s="103" t="s">
        <v>516</v>
      </c>
      <c r="B44" s="103" t="s">
        <v>517</v>
      </c>
      <c r="C44" s="103" t="s">
        <v>21</v>
      </c>
      <c r="D44" s="102" t="s">
        <v>518</v>
      </c>
      <c r="E44" s="101">
        <v>43281</v>
      </c>
      <c r="F44" s="100">
        <v>5.5</v>
      </c>
      <c r="G44" s="96">
        <v>85190.48</v>
      </c>
      <c r="H44" s="99">
        <f t="shared" si="5"/>
        <v>468547.63999999996</v>
      </c>
      <c r="I44" s="105">
        <f>16212+4669+613</f>
        <v>21494</v>
      </c>
      <c r="J44" s="105">
        <f>113507+12323+1356+977</f>
        <v>128163</v>
      </c>
      <c r="K44" s="104">
        <f t="shared" si="6"/>
        <v>0.16770830895032107</v>
      </c>
      <c r="L44" s="96">
        <f t="shared" si="7"/>
        <v>78579.332367063806</v>
      </c>
      <c r="M44" s="95">
        <f t="shared" si="8"/>
        <v>32940.456128273152</v>
      </c>
      <c r="N44" s="94">
        <f t="shared" si="9"/>
        <v>45638.876238790654</v>
      </c>
    </row>
    <row r="45" spans="1:47" ht="14.1" customHeight="1" x14ac:dyDescent="0.2">
      <c r="A45" s="103" t="s">
        <v>519</v>
      </c>
      <c r="B45" s="103" t="s">
        <v>520</v>
      </c>
      <c r="C45" s="103" t="s">
        <v>175</v>
      </c>
      <c r="D45" s="102" t="s">
        <v>521</v>
      </c>
      <c r="E45" s="101">
        <v>43281</v>
      </c>
      <c r="F45" s="100">
        <v>10.91</v>
      </c>
      <c r="G45" s="96">
        <v>84956.83</v>
      </c>
      <c r="H45" s="99">
        <f t="shared" si="5"/>
        <v>926879.01530000009</v>
      </c>
      <c r="I45" s="105">
        <f>2536</f>
        <v>2536</v>
      </c>
      <c r="J45" s="105">
        <f>30903</f>
        <v>30903</v>
      </c>
      <c r="K45" s="104">
        <f t="shared" si="6"/>
        <v>8.2063230107109336E-2</v>
      </c>
      <c r="L45" s="96">
        <f t="shared" si="7"/>
        <v>76062.685914014815</v>
      </c>
      <c r="M45" s="95">
        <f t="shared" si="8"/>
        <v>31885.477935155013</v>
      </c>
      <c r="N45" s="94">
        <f t="shared" si="9"/>
        <v>44177.207978859806</v>
      </c>
    </row>
    <row r="46" spans="1:47" ht="14.1" customHeight="1" x14ac:dyDescent="0.2">
      <c r="A46" s="103" t="s">
        <v>522</v>
      </c>
      <c r="B46" s="103" t="s">
        <v>523</v>
      </c>
      <c r="C46" s="103" t="s">
        <v>56</v>
      </c>
      <c r="D46" s="102" t="s">
        <v>524</v>
      </c>
      <c r="E46" s="101">
        <v>43281</v>
      </c>
      <c r="F46" s="100">
        <v>5.45</v>
      </c>
      <c r="G46" s="96">
        <v>85190.48</v>
      </c>
      <c r="H46" s="99">
        <f t="shared" si="5"/>
        <v>464288.11599999998</v>
      </c>
      <c r="I46" s="105">
        <f>6822+1553+267+371</f>
        <v>9013</v>
      </c>
      <c r="J46" s="105">
        <f>61128+6885+2315+582+756</f>
        <v>71666</v>
      </c>
      <c r="K46" s="104">
        <f t="shared" si="6"/>
        <v>0.12576396059498227</v>
      </c>
      <c r="L46" s="96">
        <f t="shared" si="7"/>
        <v>58390.712325342553</v>
      </c>
      <c r="M46" s="95">
        <f t="shared" si="8"/>
        <v>24477.386606783599</v>
      </c>
      <c r="N46" s="94">
        <f t="shared" si="9"/>
        <v>33913.325718558954</v>
      </c>
    </row>
    <row r="47" spans="1:47" s="106" customFormat="1" ht="14.1" customHeight="1" x14ac:dyDescent="0.2">
      <c r="A47" s="103" t="s">
        <v>525</v>
      </c>
      <c r="B47" s="103" t="s">
        <v>526</v>
      </c>
      <c r="C47" s="103" t="s">
        <v>35</v>
      </c>
      <c r="D47" s="102" t="s">
        <v>527</v>
      </c>
      <c r="E47" s="101">
        <v>43008</v>
      </c>
      <c r="F47" s="100">
        <v>2.5099999999999998</v>
      </c>
      <c r="G47" s="96">
        <v>87846.24</v>
      </c>
      <c r="H47" s="99">
        <f t="shared" si="5"/>
        <v>220494.0624</v>
      </c>
      <c r="I47" s="98">
        <f>32742+6189+1100</f>
        <v>40031</v>
      </c>
      <c r="J47" s="98">
        <f>204255+18565+2430</f>
        <v>225250</v>
      </c>
      <c r="K47" s="97">
        <f t="shared" si="6"/>
        <v>0.17771809100998889</v>
      </c>
      <c r="L47" s="96">
        <f t="shared" si="7"/>
        <v>39185.783848765372</v>
      </c>
      <c r="M47" s="95">
        <f t="shared" si="8"/>
        <v>16426.680589402444</v>
      </c>
      <c r="N47" s="94">
        <f t="shared" si="9"/>
        <v>22759.103259362928</v>
      </c>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7" ht="14.1" customHeight="1" x14ac:dyDescent="0.2">
      <c r="A48" s="103">
        <v>194997601</v>
      </c>
      <c r="B48" s="103">
        <v>1851390967</v>
      </c>
      <c r="C48" s="103" t="s">
        <v>45</v>
      </c>
      <c r="D48" s="102" t="s">
        <v>528</v>
      </c>
      <c r="E48" s="101">
        <v>43100</v>
      </c>
      <c r="F48" s="100">
        <v>12.66</v>
      </c>
      <c r="G48" s="96">
        <v>84219.45</v>
      </c>
      <c r="H48" s="99">
        <f t="shared" si="5"/>
        <v>1066218.237</v>
      </c>
      <c r="I48" s="105">
        <f>1524+1181</f>
        <v>2705</v>
      </c>
      <c r="J48" s="105">
        <f>77047+6230+6457+9044+1</f>
        <v>98779</v>
      </c>
      <c r="K48" s="104">
        <f t="shared" si="6"/>
        <v>2.7384363073122829E-2</v>
      </c>
      <c r="L48" s="96">
        <f t="shared" si="7"/>
        <v>29197.707317192922</v>
      </c>
      <c r="M48" s="95">
        <f t="shared" si="8"/>
        <v>12239.678907367273</v>
      </c>
      <c r="N48" s="94">
        <f t="shared" si="9"/>
        <v>16958.028409825649</v>
      </c>
    </row>
    <row r="49" spans="1:14" ht="14.1" customHeight="1" x14ac:dyDescent="0.2">
      <c r="A49" s="103" t="s">
        <v>529</v>
      </c>
      <c r="B49" s="103" t="s">
        <v>530</v>
      </c>
      <c r="C49" s="103" t="s">
        <v>29</v>
      </c>
      <c r="D49" s="102" t="s">
        <v>531</v>
      </c>
      <c r="E49" s="101">
        <v>43251</v>
      </c>
      <c r="F49" s="100">
        <v>1.06</v>
      </c>
      <c r="G49" s="96">
        <v>92092.78</v>
      </c>
      <c r="H49" s="99">
        <f t="shared" si="5"/>
        <v>97618.346799999999</v>
      </c>
      <c r="I49" s="98">
        <f>38787+6178+233+50</f>
        <v>45248</v>
      </c>
      <c r="J49" s="98">
        <f>179650+5842+2692+900</f>
        <v>189084</v>
      </c>
      <c r="K49" s="97">
        <f t="shared" si="6"/>
        <v>0.23930105138456981</v>
      </c>
      <c r="L49" s="96">
        <f t="shared" si="7"/>
        <v>23360.173023663556</v>
      </c>
      <c r="M49" s="95">
        <f t="shared" si="8"/>
        <v>9792.5845315197621</v>
      </c>
      <c r="N49" s="94">
        <f t="shared" si="9"/>
        <v>13567.588492143794</v>
      </c>
    </row>
    <row r="50" spans="1:14" ht="14.1" customHeight="1" x14ac:dyDescent="0.2">
      <c r="A50" s="103" t="s">
        <v>532</v>
      </c>
      <c r="B50" s="103" t="s">
        <v>533</v>
      </c>
      <c r="C50" s="103" t="s">
        <v>534</v>
      </c>
      <c r="D50" s="102" t="s">
        <v>535</v>
      </c>
      <c r="E50" s="101">
        <v>43008</v>
      </c>
      <c r="F50" s="100">
        <v>0.79</v>
      </c>
      <c r="G50" s="96">
        <v>82937.399999999994</v>
      </c>
      <c r="H50" s="99">
        <f t="shared" si="5"/>
        <v>65520.545999999995</v>
      </c>
      <c r="I50" s="105">
        <f>3968+907+214</f>
        <v>5089</v>
      </c>
      <c r="J50" s="105">
        <f>15366+2421+354</f>
        <v>18141</v>
      </c>
      <c r="K50" s="104">
        <f t="shared" si="6"/>
        <v>0.28052477812689486</v>
      </c>
      <c r="L50" s="96">
        <f t="shared" si="7"/>
        <v>18380.136629403009</v>
      </c>
      <c r="M50" s="95">
        <f t="shared" si="8"/>
        <v>7704.9532750457411</v>
      </c>
      <c r="N50" s="94">
        <f t="shared" si="9"/>
        <v>10675.183354357268</v>
      </c>
    </row>
    <row r="51" spans="1:14" ht="14.1" customHeight="1" x14ac:dyDescent="0.2">
      <c r="A51" s="103" t="s">
        <v>536</v>
      </c>
      <c r="B51" s="103" t="s">
        <v>537</v>
      </c>
      <c r="C51" s="103" t="s">
        <v>538</v>
      </c>
      <c r="D51" s="102" t="s">
        <v>539</v>
      </c>
      <c r="E51" s="101">
        <v>43312</v>
      </c>
      <c r="F51" s="100">
        <v>0.41</v>
      </c>
      <c r="G51" s="96">
        <v>95299.839999999997</v>
      </c>
      <c r="H51" s="99">
        <f t="shared" si="5"/>
        <v>39072.934399999998</v>
      </c>
      <c r="I51" s="105">
        <f>2549+217</f>
        <v>2766</v>
      </c>
      <c r="J51" s="105">
        <f>21805+953</f>
        <v>22758</v>
      </c>
      <c r="K51" s="104">
        <f t="shared" si="6"/>
        <v>0.12153967835486422</v>
      </c>
      <c r="L51" s="96">
        <f t="shared" si="7"/>
        <v>4748.9118793567095</v>
      </c>
      <c r="M51" s="95">
        <f t="shared" si="8"/>
        <v>1990.7438598263327</v>
      </c>
      <c r="N51" s="94">
        <f t="shared" si="9"/>
        <v>2758.168019530377</v>
      </c>
    </row>
    <row r="52" spans="1:14" ht="14.1" customHeight="1" x14ac:dyDescent="0.2">
      <c r="A52" s="103" t="s">
        <v>540</v>
      </c>
      <c r="B52" s="103" t="s">
        <v>541</v>
      </c>
      <c r="C52" s="103" t="s">
        <v>164</v>
      </c>
      <c r="D52" s="102" t="s">
        <v>542</v>
      </c>
      <c r="E52" s="101">
        <v>43251</v>
      </c>
      <c r="F52" s="100">
        <v>1.9</v>
      </c>
      <c r="G52" s="96">
        <v>84317</v>
      </c>
      <c r="H52" s="99">
        <f t="shared" si="5"/>
        <v>160202.29999999999</v>
      </c>
      <c r="I52" s="105">
        <v>29</v>
      </c>
      <c r="J52" s="105">
        <v>35294</v>
      </c>
      <c r="K52" s="104">
        <f t="shared" si="6"/>
        <v>8.2166940556468527E-4</v>
      </c>
      <c r="L52" s="96">
        <f t="shared" si="7"/>
        <v>131.63332861109538</v>
      </c>
      <c r="M52" s="95">
        <f t="shared" si="8"/>
        <v>55.180691353771188</v>
      </c>
      <c r="N52" s="94">
        <f t="shared" si="9"/>
        <v>76.452637257324199</v>
      </c>
    </row>
    <row r="53" spans="1:14" ht="14.1" customHeight="1" x14ac:dyDescent="0.2">
      <c r="A53" s="103" t="s">
        <v>543</v>
      </c>
      <c r="B53" s="103" t="s">
        <v>544</v>
      </c>
      <c r="C53" s="103" t="s">
        <v>171</v>
      </c>
      <c r="D53" s="102" t="s">
        <v>172</v>
      </c>
      <c r="E53" s="101">
        <v>43008</v>
      </c>
      <c r="F53" s="100"/>
      <c r="G53" s="96"/>
      <c r="H53" s="99"/>
      <c r="I53" s="98"/>
      <c r="J53" s="98"/>
      <c r="K53" s="97"/>
      <c r="L53" s="96"/>
      <c r="M53" s="95">
        <f t="shared" si="8"/>
        <v>0</v>
      </c>
      <c r="N53" s="94">
        <f t="shared" si="9"/>
        <v>0</v>
      </c>
    </row>
    <row r="54" spans="1:14" ht="14.1" customHeight="1" x14ac:dyDescent="0.2">
      <c r="A54" s="103" t="s">
        <v>545</v>
      </c>
      <c r="B54" s="103" t="s">
        <v>546</v>
      </c>
      <c r="C54" s="103" t="s">
        <v>547</v>
      </c>
      <c r="D54" s="102" t="s">
        <v>548</v>
      </c>
      <c r="E54" s="101">
        <v>43008</v>
      </c>
      <c r="F54" s="100"/>
      <c r="G54" s="96"/>
      <c r="H54" s="99"/>
      <c r="I54" s="98"/>
      <c r="J54" s="98"/>
      <c r="K54" s="97"/>
      <c r="L54" s="96"/>
      <c r="M54" s="95">
        <f t="shared" si="8"/>
        <v>0</v>
      </c>
      <c r="N54" s="94">
        <f t="shared" si="9"/>
        <v>0</v>
      </c>
    </row>
    <row r="55" spans="1:14" ht="14.1" customHeight="1" x14ac:dyDescent="0.2">
      <c r="A55" s="103" t="s">
        <v>549</v>
      </c>
      <c r="B55" s="103" t="s">
        <v>550</v>
      </c>
      <c r="C55" s="103" t="s">
        <v>150</v>
      </c>
      <c r="D55" s="102" t="s">
        <v>551</v>
      </c>
      <c r="E55" s="101">
        <v>43100</v>
      </c>
      <c r="F55" s="100"/>
      <c r="G55" s="96"/>
      <c r="H55" s="99"/>
      <c r="I55" s="98"/>
      <c r="J55" s="98"/>
      <c r="K55" s="97"/>
      <c r="L55" s="96"/>
      <c r="M55" s="95">
        <f t="shared" si="8"/>
        <v>0</v>
      </c>
      <c r="N55" s="94">
        <f t="shared" si="9"/>
        <v>0</v>
      </c>
    </row>
    <row r="56" spans="1:14" ht="14.1" customHeight="1" x14ac:dyDescent="0.2">
      <c r="A56" s="103" t="s">
        <v>552</v>
      </c>
      <c r="B56" s="103" t="s">
        <v>553</v>
      </c>
      <c r="C56" s="103" t="s">
        <v>554</v>
      </c>
      <c r="D56" s="102" t="s">
        <v>555</v>
      </c>
      <c r="E56" s="101">
        <v>43100</v>
      </c>
      <c r="F56" s="100"/>
      <c r="G56" s="96"/>
      <c r="H56" s="99"/>
      <c r="I56" s="98"/>
      <c r="J56" s="98"/>
      <c r="K56" s="97"/>
      <c r="L56" s="96"/>
      <c r="M56" s="95">
        <f t="shared" si="8"/>
        <v>0</v>
      </c>
      <c r="N56" s="94">
        <f t="shared" si="9"/>
        <v>0</v>
      </c>
    </row>
    <row r="57" spans="1:14" ht="14.1" customHeight="1" x14ac:dyDescent="0.2">
      <c r="A57" s="103" t="s">
        <v>556</v>
      </c>
      <c r="B57" s="103" t="s">
        <v>557</v>
      </c>
      <c r="C57" s="103" t="s">
        <v>558</v>
      </c>
      <c r="D57" s="102" t="s">
        <v>559</v>
      </c>
      <c r="E57" s="101">
        <v>43100</v>
      </c>
      <c r="F57" s="100"/>
      <c r="G57" s="96"/>
      <c r="H57" s="99"/>
      <c r="I57" s="98"/>
      <c r="J57" s="98"/>
      <c r="K57" s="97"/>
      <c r="L57" s="96"/>
      <c r="M57" s="95">
        <f t="shared" si="8"/>
        <v>0</v>
      </c>
      <c r="N57" s="94">
        <f t="shared" si="9"/>
        <v>0</v>
      </c>
    </row>
    <row r="58" spans="1:14" ht="14.1" customHeight="1" x14ac:dyDescent="0.2">
      <c r="A58" s="103" t="s">
        <v>560</v>
      </c>
      <c r="B58" s="103" t="s">
        <v>561</v>
      </c>
      <c r="C58" s="103" t="s">
        <v>562</v>
      </c>
      <c r="D58" s="102" t="s">
        <v>563</v>
      </c>
      <c r="E58" s="101">
        <v>43100</v>
      </c>
      <c r="F58" s="100"/>
      <c r="G58" s="96"/>
      <c r="H58" s="99"/>
      <c r="I58" s="98"/>
      <c r="J58" s="98"/>
      <c r="K58" s="97"/>
      <c r="L58" s="96"/>
      <c r="M58" s="95">
        <f t="shared" si="8"/>
        <v>0</v>
      </c>
      <c r="N58" s="94">
        <f t="shared" si="9"/>
        <v>0</v>
      </c>
    </row>
    <row r="59" spans="1:14" ht="14.1" customHeight="1" x14ac:dyDescent="0.2">
      <c r="C59" s="5" t="s">
        <v>564</v>
      </c>
      <c r="D59" s="90" t="s">
        <v>564</v>
      </c>
      <c r="E59" s="89" t="s">
        <v>564</v>
      </c>
      <c r="F59" s="4" t="s">
        <v>564</v>
      </c>
      <c r="G59" s="86" t="s">
        <v>564</v>
      </c>
      <c r="H59" s="93">
        <f>SUM(H2:H58)</f>
        <v>320088638.66769999</v>
      </c>
      <c r="I59" s="91">
        <f>SUM(I2:I58)</f>
        <v>1191859</v>
      </c>
      <c r="J59" s="91">
        <f>SUM(J2:J58)</f>
        <v>5799499</v>
      </c>
      <c r="K59" s="92"/>
      <c r="L59" s="91">
        <f>SUM(L2:L58)</f>
        <v>83032865.725384861</v>
      </c>
      <c r="M59" s="91">
        <f>SUM(M2:M58)</f>
        <v>34807377.312081322</v>
      </c>
      <c r="N59" s="91">
        <f>SUM(N2:N58)</f>
        <v>48225488.413303517</v>
      </c>
    </row>
    <row r="60" spans="1:14" ht="14.1" customHeight="1" x14ac:dyDescent="0.2">
      <c r="K60" s="92"/>
      <c r="L60" s="91">
        <f>SUBTOTAL(9,L2:L52)</f>
        <v>83032865.725384861</v>
      </c>
      <c r="M60" s="91"/>
      <c r="N60" s="91"/>
    </row>
    <row r="61" spans="1:14" ht="14.1" customHeight="1" x14ac:dyDescent="0.2"/>
    <row r="62" spans="1:14" ht="14.1" customHeight="1" x14ac:dyDescent="0.2"/>
    <row r="63" spans="1:14" ht="14.1" customHeight="1" x14ac:dyDescent="0.2"/>
    <row r="64" spans="1:1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sheetData>
  <autoFilter ref="A1:AU59" xr:uid="{1A296C37-5383-4B94-94F0-7A70621EFBCB}"/>
  <pageMargins left="0.7" right="0.7" top="0.75" bottom="0.75" header="0.3" footer="0.3"/>
  <pageSetup paperSize="5"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E850AA233B2843A720BA9C6BA048A8" ma:contentTypeVersion="22" ma:contentTypeDescription="Create a new document." ma:contentTypeScope="" ma:versionID="907c844deefd7db4178779593fc518be">
  <xsd:schema xmlns:xsd="http://www.w3.org/2001/XMLSchema" xmlns:xs="http://www.w3.org/2001/XMLSchema" xmlns:p="http://schemas.microsoft.com/office/2006/metadata/properties" xmlns:ns2="92d3b7a5-8da5-4615-950f-0681d7046a28" xmlns:ns3="f366c82d-602b-473b-b347-900e046777c0" xmlns:ns4="d853a810-d2a2-4c28-9ad9-9100c9a22e04" targetNamespace="http://schemas.microsoft.com/office/2006/metadata/properties" ma:root="true" ma:fieldsID="9f08ca807ac3d6dbfb008cfc16cf62e8" ns2:_="" ns3:_="" ns4:_="">
    <xsd:import namespace="92d3b7a5-8da5-4615-950f-0681d7046a28"/>
    <xsd:import namespace="f366c82d-602b-473b-b347-900e046777c0"/>
    <xsd:import namespace="d853a810-d2a2-4c28-9ad9-9100c9a22e04"/>
    <xsd:element name="properties">
      <xsd:complexType>
        <xsd:sequence>
          <xsd:element name="documentManagement">
            <xsd:complexType>
              <xsd:all>
                <xsd:element ref="ns2:_dlc_DocId" minOccurs="0"/>
                <xsd:element ref="ns2:_dlc_DocIdUrl" minOccurs="0"/>
                <xsd:element ref="ns2:_dlc_DocIdPersistId" minOccurs="0"/>
                <xsd:element ref="ns3:Project_x0020_ID"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66c82d-602b-473b-b347-900e046777c0" elementFormDefault="qualified">
    <xsd:import namespace="http://schemas.microsoft.com/office/2006/documentManagement/types"/>
    <xsd:import namespace="http://schemas.microsoft.com/office/infopath/2007/PartnerControls"/>
    <xsd:element name="Project_x0020_ID" ma:index="7" nillable="true" ma:displayName="Project ID" ma:indexed="true" ma:internalName="Project_x0020_ID" ma:readOnly="fals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c590b57-b2b8-4f92-a7a2-a2c14f8ff435"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3a810-d2a2-4c28-9ad9-9100c9a22e0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b9fa8aef-99b7-4a50-8e86-c4659143bb48}" ma:internalName="TaxCatchAll" ma:showField="CatchAllData" ma:web="92d3b7a5-8da5-4615-950f-0681d7046a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366c82d-602b-473b-b347-900e046777c0">
      <Terms xmlns="http://schemas.microsoft.com/office/infopath/2007/PartnerControls"/>
    </lcf76f155ced4ddcb4097134ff3c332f>
    <TaxCatchAll xmlns="d853a810-d2a2-4c28-9ad9-9100c9a22e04" xsi:nil="true"/>
    <Project_x0020_ID xmlns="f366c82d-602b-473b-b347-900e046777c0" xsi:nil="true"/>
  </documentManagement>
</p:properties>
</file>

<file path=customXml/itemProps1.xml><?xml version="1.0" encoding="utf-8"?>
<ds:datastoreItem xmlns:ds="http://schemas.openxmlformats.org/officeDocument/2006/customXml" ds:itemID="{333EE90B-D1A7-4402-BAF2-55D9C15FEA73}">
  <ds:schemaRefs>
    <ds:schemaRef ds:uri="http://schemas.microsoft.com/sharepoint/events"/>
  </ds:schemaRefs>
</ds:datastoreItem>
</file>

<file path=customXml/itemProps2.xml><?xml version="1.0" encoding="utf-8"?>
<ds:datastoreItem xmlns:ds="http://schemas.openxmlformats.org/officeDocument/2006/customXml" ds:itemID="{0A77AC47-7727-407A-AE8C-6540F7A6D0CB}">
  <ds:schemaRefs>
    <ds:schemaRef ds:uri="http://schemas.microsoft.com/sharepoint/v3/contenttype/forms"/>
  </ds:schemaRefs>
</ds:datastoreItem>
</file>

<file path=customXml/itemProps3.xml><?xml version="1.0" encoding="utf-8"?>
<ds:datastoreItem xmlns:ds="http://schemas.openxmlformats.org/officeDocument/2006/customXml" ds:itemID="{1104044A-54AF-4AE0-9723-8A76A82E0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f366c82d-602b-473b-b347-900e046777c0"/>
    <ds:schemaRef ds:uri="d853a810-d2a2-4c28-9ad9-9100c9a22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5D8B12-2490-4A32-A367-BB4519688CC1}">
  <ds:schemaRefs>
    <ds:schemaRef ds:uri="http://schemas.microsoft.com/office/2006/metadata/properties"/>
    <ds:schemaRef ds:uri="http://schemas.microsoft.com/office/infopath/2007/PartnerControls"/>
    <ds:schemaRef ds:uri="f366c82d-602b-473b-b347-900e046777c0"/>
    <ds:schemaRef ds:uri="d853a810-d2a2-4c28-9ad9-9100c9a22e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GME Private Calc</vt:lpstr>
      <vt:lpstr>Reference</vt:lpstr>
      <vt:lpstr>HCRIS Data</vt:lpstr>
      <vt:lpstr>Market Basket</vt:lpstr>
      <vt:lpstr>Previous Private GME Estimate</vt:lpstr>
      <vt:lpstr>'HCRIS Data'!_FilterDatabase</vt:lpstr>
      <vt:lpstr>'Market Basket'!Print_Area</vt:lpstr>
      <vt:lpstr>'Previous Private GME Estimate'!Print_Area</vt:lpstr>
      <vt:lpstr>'Market Basket'!Print_Titles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Dutcher,James (HHSC)</dc:creator>
  <cp:keywords/>
  <dc:description/>
  <cp:lastModifiedBy>Dutcher,James (HHSC)</cp:lastModifiedBy>
  <cp:revision/>
  <dcterms:created xsi:type="dcterms:W3CDTF">2021-11-04T23:22:51Z</dcterms:created>
  <dcterms:modified xsi:type="dcterms:W3CDTF">2023-08-24T14:14:29Z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0x010100D5E850AA233B2843A720BA9C6BA048A8</vt:lpwstr>
  </property>
</Properties>
</file>